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Bryan\LINEAMIENTOS\MINEDU\"/>
    </mc:Choice>
  </mc:AlternateContent>
  <workbookProtection workbookAlgorithmName="SHA-512" workbookHashValue="B+VgZ97z6syhxr/Kf6siQGlmJlBdO4CTJQVKvo3gv6E8GCwfujNtPnhq3AFKafIbb6nBCwDtmn9djGzieuHEKQ==" workbookSaltValue="1Hu+lHRbiUL3U8QLepn8Qg==" workbookSpinCount="100000" lockStructure="1"/>
  <bookViews>
    <workbookView xWindow="0" yWindow="0" windowWidth="28800" windowHeight="12435" tabRatio="910"/>
  </bookViews>
  <sheets>
    <sheet name="FICHA_SIMPLIFICADA" sheetId="11" r:id="rId1"/>
    <sheet name="D_metodologías" sheetId="19" state="hidden" r:id="rId2"/>
    <sheet name="Hoja2" sheetId="17" state="hidden" r:id="rId3"/>
    <sheet name="Hoja1" sheetId="16" state="hidden" r:id="rId4"/>
    <sheet name="Base_datos" sheetId="15" state="hidden" r:id="rId5"/>
    <sheet name="D1" sheetId="13" state="hidden" r:id="rId6"/>
    <sheet name="Anexo 1_Diag" sheetId="4" state="hidden" r:id="rId7"/>
    <sheet name="Anexo 2_O-D" sheetId="6" state="hidden" r:id="rId8"/>
    <sheet name="Anexo 3_Arq" sheetId="7" state="hidden" r:id="rId9"/>
    <sheet name="Anexo 4_Ppto" sheetId="8" state="hidden" r:id="rId10"/>
    <sheet name="Anexo 5_EVAL" sheetId="9" state="hidden" r:id="rId11"/>
    <sheet name="Hoja3" sheetId="18" state="hidden" r:id="rId12"/>
    <sheet name="PROGR" sheetId="14" state="hidden" r:id="rId13"/>
  </sheets>
  <externalReferences>
    <externalReference r:id="rId14"/>
    <externalReference r:id="rId15"/>
    <externalReference r:id="rId16"/>
    <externalReference r:id="rId17"/>
  </externalReferences>
  <definedNames>
    <definedName name="_xlnm._FilterDatabase" localSheetId="0" hidden="1">FICHA_SIMPLIFICADA!$D$63:$P$68</definedName>
    <definedName name="_xlnm.Print_Area" localSheetId="0">FICHA_SIMPLIFICADA!$C$2:$Q$440</definedName>
    <definedName name="nivel" localSheetId="4">Base_datos!$J$3:$J$5</definedName>
    <definedName name="nivel">[1]Base_datos!$C$3:$C$5</definedName>
    <definedName name="_xlnm.Print_Titles" localSheetId="0">FICHA_SIMPLIFICADA!$1:$5</definedName>
  </definedNames>
  <calcPr calcId="152511"/>
</workbook>
</file>

<file path=xl/calcChain.xml><?xml version="1.0" encoding="utf-8"?>
<calcChain xmlns="http://schemas.openxmlformats.org/spreadsheetml/2006/main">
  <c r="E266" i="11" l="1"/>
  <c r="E285" i="11" s="1"/>
  <c r="D279" i="11"/>
  <c r="D266" i="11"/>
  <c r="D283" i="11" l="1"/>
  <c r="E283" i="11"/>
  <c r="P247" i="11" l="1"/>
  <c r="P245" i="11"/>
  <c r="P244" i="11"/>
  <c r="P240" i="11"/>
  <c r="P232" i="11"/>
  <c r="P233" i="11"/>
  <c r="P234" i="11"/>
  <c r="P235" i="11"/>
  <c r="P236" i="11"/>
  <c r="P237" i="11"/>
  <c r="P229" i="11"/>
  <c r="P231" i="11"/>
  <c r="P221" i="11"/>
  <c r="P222" i="11"/>
  <c r="P223" i="11"/>
  <c r="P224" i="11"/>
  <c r="P225" i="11"/>
  <c r="P226" i="11"/>
  <c r="P227" i="11"/>
  <c r="P228" i="11"/>
  <c r="P220" i="11"/>
  <c r="L230" i="11"/>
  <c r="L219" i="11"/>
  <c r="E269" i="11" l="1"/>
  <c r="E288" i="11" l="1"/>
  <c r="E280" i="11"/>
  <c r="E300" i="11" s="1"/>
  <c r="E279" i="11"/>
  <c r="E299" i="11" s="1"/>
  <c r="E278" i="11"/>
  <c r="E298" i="11" s="1"/>
  <c r="E277" i="11"/>
  <c r="E297" i="11" s="1"/>
  <c r="E276" i="11"/>
  <c r="E296" i="11" s="1"/>
  <c r="E275" i="11"/>
  <c r="E295" i="11" s="1"/>
  <c r="E274" i="11"/>
  <c r="E294" i="11" s="1"/>
  <c r="E273" i="11"/>
  <c r="E293" i="11" s="1"/>
  <c r="E272" i="11"/>
  <c r="E291" i="11" s="1"/>
  <c r="E271" i="11"/>
  <c r="E290" i="11" s="1"/>
  <c r="E270" i="11"/>
  <c r="E289" i="11" s="1"/>
  <c r="E268" i="11"/>
  <c r="E287" i="11" s="1"/>
  <c r="D299" i="11"/>
  <c r="D277" i="11"/>
  <c r="D297" i="11" s="1"/>
  <c r="D273" i="11"/>
  <c r="D292" i="11" s="1"/>
  <c r="D284" i="11"/>
  <c r="P214" i="11" l="1"/>
  <c r="P211" i="11"/>
  <c r="P210" i="11"/>
  <c r="P209" i="11"/>
  <c r="P202" i="11"/>
  <c r="P201" i="11"/>
  <c r="P199" i="11"/>
  <c r="P198" i="11"/>
  <c r="P196" i="11"/>
  <c r="P195" i="11"/>
  <c r="P194" i="11"/>
  <c r="P193" i="11"/>
  <c r="P192" i="11"/>
  <c r="P190" i="11"/>
  <c r="P186" i="11"/>
  <c r="P185" i="11"/>
  <c r="P184" i="11"/>
  <c r="P183" i="11"/>
  <c r="P180" i="11"/>
  <c r="P230" i="11" l="1"/>
  <c r="J212" i="6" l="1"/>
  <c r="R37" i="18" l="1"/>
  <c r="R29" i="18"/>
  <c r="R30" i="18"/>
  <c r="R31" i="18"/>
  <c r="R32" i="18"/>
  <c r="R33" i="18"/>
  <c r="R34" i="18"/>
  <c r="R35" i="18"/>
  <c r="R36" i="18"/>
  <c r="R28" i="18"/>
  <c r="P239" i="11" l="1"/>
  <c r="P238" i="11" s="1"/>
  <c r="H296" i="11" l="1"/>
  <c r="O296" i="11" l="1"/>
  <c r="N296" i="11"/>
  <c r="P253" i="11"/>
  <c r="F215" i="11" l="1"/>
  <c r="H295" i="11" l="1"/>
  <c r="P217" i="11"/>
  <c r="P216" i="11" s="1"/>
  <c r="P215" i="11" s="1"/>
  <c r="P213" i="11"/>
  <c r="P212" i="11" s="1"/>
  <c r="P205" i="11"/>
  <c r="P204" i="11"/>
  <c r="P203" i="11"/>
  <c r="N191" i="11"/>
  <c r="N182" i="11"/>
  <c r="P206" i="11"/>
  <c r="P207" i="11"/>
  <c r="L191" i="11"/>
  <c r="P189" i="11"/>
  <c r="L182" i="11"/>
  <c r="F178" i="11" l="1"/>
  <c r="H291" i="11"/>
  <c r="N291" i="11" s="1"/>
  <c r="O295" i="11"/>
  <c r="N295" i="11"/>
  <c r="P219" i="11"/>
  <c r="P191" i="11"/>
  <c r="P197" i="11"/>
  <c r="L291" i="11" l="1"/>
  <c r="H294" i="11"/>
  <c r="N294" i="11" s="1"/>
  <c r="P218" i="11"/>
  <c r="G215" i="11"/>
  <c r="M291" i="11"/>
  <c r="O291" i="11"/>
  <c r="G307" i="11"/>
  <c r="M31" i="18"/>
  <c r="M30" i="18"/>
  <c r="M29" i="18"/>
  <c r="O294" i="11" l="1"/>
  <c r="N13" i="18"/>
  <c r="M13" i="18"/>
  <c r="L13" i="18"/>
  <c r="K13" i="18"/>
  <c r="J13" i="18"/>
  <c r="I13" i="18"/>
  <c r="H13" i="18"/>
  <c r="G13" i="18"/>
  <c r="F13" i="18"/>
  <c r="E13" i="18"/>
  <c r="H97" i="11" l="1"/>
  <c r="F97" i="11" l="1"/>
  <c r="L17" i="8" l="1"/>
  <c r="D6" i="8" l="1"/>
  <c r="L14" i="8"/>
  <c r="P249" i="11"/>
  <c r="P250" i="11"/>
  <c r="P242" i="11"/>
  <c r="P246" i="11"/>
  <c r="H299" i="11" s="1"/>
  <c r="N299" i="11" s="1"/>
  <c r="P243" i="11" l="1"/>
  <c r="H298" i="11" s="1"/>
  <c r="P298" i="11" s="1"/>
  <c r="P248" i="11"/>
  <c r="P241" i="11"/>
  <c r="P179" i="11"/>
  <c r="P208" i="11"/>
  <c r="P187" i="11"/>
  <c r="P188" i="11"/>
  <c r="H285" i="11" l="1"/>
  <c r="K285" i="11" s="1"/>
  <c r="P178" i="11"/>
  <c r="H300" i="11"/>
  <c r="G241" i="11"/>
  <c r="H297" i="11"/>
  <c r="O297" i="11" s="1"/>
  <c r="H293" i="11"/>
  <c r="K293" i="11" s="1"/>
  <c r="G246" i="11"/>
  <c r="P200" i="11"/>
  <c r="P182" i="11"/>
  <c r="N36" i="8"/>
  <c r="P181" i="11" l="1"/>
  <c r="G178" i="11"/>
  <c r="P251" i="11"/>
  <c r="P255" i="11" s="1"/>
  <c r="O300" i="11"/>
  <c r="P300" i="11"/>
  <c r="H287" i="11"/>
  <c r="H301" i="11" s="1"/>
  <c r="K212" i="6"/>
  <c r="K210" i="6"/>
  <c r="L210" i="6" s="1"/>
  <c r="M210" i="6" s="1"/>
  <c r="N210" i="6" s="1"/>
  <c r="O210" i="6" s="1"/>
  <c r="P210" i="6" s="1"/>
  <c r="Q210" i="6" s="1"/>
  <c r="R210" i="6" s="1"/>
  <c r="S210" i="6" s="1"/>
  <c r="H202" i="6"/>
  <c r="H199" i="6"/>
  <c r="H200" i="6"/>
  <c r="H201" i="6"/>
  <c r="G202" i="6"/>
  <c r="C214" i="6"/>
  <c r="G199" i="6"/>
  <c r="G200" i="6"/>
  <c r="G201" i="6"/>
  <c r="L212" i="6" l="1"/>
  <c r="M212" i="6" s="1"/>
  <c r="N212" i="6" s="1"/>
  <c r="O212" i="6" s="1"/>
  <c r="P212" i="6" s="1"/>
  <c r="Q212" i="6" s="1"/>
  <c r="R212" i="6" s="1"/>
  <c r="S212" i="6" s="1"/>
  <c r="N287" i="11"/>
  <c r="M287" i="11"/>
  <c r="L287" i="11"/>
  <c r="F24" i="7"/>
  <c r="H6" i="7"/>
  <c r="F27" i="7"/>
  <c r="F28" i="7"/>
  <c r="F26" i="7"/>
  <c r="F25" i="7"/>
  <c r="F23" i="7"/>
  <c r="F17" i="7"/>
  <c r="F18" i="7"/>
  <c r="F19" i="7"/>
  <c r="F20" i="7"/>
  <c r="F21" i="7"/>
  <c r="F22" i="7"/>
  <c r="F16" i="7"/>
  <c r="F15" i="7"/>
  <c r="F14" i="7"/>
  <c r="E27" i="7"/>
  <c r="E28" i="7"/>
  <c r="E26" i="7"/>
  <c r="E25" i="7"/>
  <c r="D27" i="7"/>
  <c r="D28" i="7"/>
  <c r="D26" i="7"/>
  <c r="D25" i="7"/>
  <c r="C26" i="7"/>
  <c r="B25" i="7"/>
  <c r="B6" i="7"/>
  <c r="C25" i="7"/>
  <c r="E24" i="7"/>
  <c r="E23" i="7"/>
  <c r="D24" i="7"/>
  <c r="D23" i="7"/>
  <c r="C24" i="7"/>
  <c r="C23" i="7"/>
  <c r="D21" i="7"/>
  <c r="D22" i="7"/>
  <c r="E17" i="7"/>
  <c r="E18" i="7"/>
  <c r="E19" i="7"/>
  <c r="E20" i="7"/>
  <c r="E21" i="7"/>
  <c r="E22" i="7"/>
  <c r="E16" i="7"/>
  <c r="D17" i="7"/>
  <c r="D18" i="7"/>
  <c r="D19" i="7"/>
  <c r="D20" i="7"/>
  <c r="D16" i="7"/>
  <c r="F13" i="7"/>
  <c r="F12" i="7"/>
  <c r="F7" i="7"/>
  <c r="F8" i="7"/>
  <c r="F9" i="7"/>
  <c r="F10" i="7"/>
  <c r="F11" i="7"/>
  <c r="F6" i="7"/>
  <c r="E15" i="7"/>
  <c r="E14" i="7"/>
  <c r="D15" i="7"/>
  <c r="D14" i="7"/>
  <c r="E13" i="7"/>
  <c r="E12" i="7"/>
  <c r="E7" i="7"/>
  <c r="E8" i="7"/>
  <c r="E9" i="7"/>
  <c r="E10" i="7"/>
  <c r="E11" i="7"/>
  <c r="E6" i="7"/>
  <c r="D13" i="7"/>
  <c r="D12" i="7"/>
  <c r="D7" i="7"/>
  <c r="D8" i="7"/>
  <c r="D9" i="7"/>
  <c r="D10" i="7"/>
  <c r="D11" i="7"/>
  <c r="D6" i="7"/>
  <c r="C16" i="7"/>
  <c r="C14" i="7"/>
  <c r="C12" i="7"/>
  <c r="C6" i="7"/>
  <c r="N44" i="8"/>
  <c r="Y44" i="8" s="1"/>
  <c r="N43" i="8"/>
  <c r="Y43" i="8" s="1"/>
  <c r="N42" i="8"/>
  <c r="N41" i="8" s="1"/>
  <c r="L41" i="8"/>
  <c r="D39" i="8" s="1"/>
  <c r="J41" i="8"/>
  <c r="N40" i="8"/>
  <c r="Y40" i="8" s="1"/>
  <c r="N39" i="8"/>
  <c r="E39" i="8" s="1"/>
  <c r="L39" i="8"/>
  <c r="J39" i="8"/>
  <c r="T38" i="8"/>
  <c r="J37" i="8"/>
  <c r="T36" i="8"/>
  <c r="U36" i="8" s="1"/>
  <c r="J35" i="8"/>
  <c r="T34" i="8"/>
  <c r="T33" i="8"/>
  <c r="U33" i="8" s="1"/>
  <c r="V32" i="8"/>
  <c r="T32" i="8"/>
  <c r="U32" i="8" s="1"/>
  <c r="T31" i="8"/>
  <c r="V31" i="8" s="1"/>
  <c r="T30" i="8"/>
  <c r="U29" i="8"/>
  <c r="T29" i="8"/>
  <c r="T28" i="8"/>
  <c r="U28" i="8" s="1"/>
  <c r="J27" i="8"/>
  <c r="T26" i="8"/>
  <c r="U26" i="8" s="1"/>
  <c r="T25" i="8"/>
  <c r="U25" i="8" s="1"/>
  <c r="J24" i="8"/>
  <c r="T23" i="8"/>
  <c r="U23" i="8" s="1"/>
  <c r="T22" i="8"/>
  <c r="T21" i="8"/>
  <c r="V21" i="8" s="1"/>
  <c r="T20" i="8"/>
  <c r="U20" i="8" s="1"/>
  <c r="T19" i="8"/>
  <c r="L18" i="8"/>
  <c r="J18" i="8"/>
  <c r="J14" i="8"/>
  <c r="L13" i="8"/>
  <c r="L6" i="8" s="1"/>
  <c r="J6" i="8"/>
  <c r="V20" i="8" l="1"/>
  <c r="W20" i="8" s="1"/>
  <c r="X20" i="8" s="1"/>
  <c r="Y20" i="8" s="1"/>
  <c r="R20" i="8" s="1"/>
  <c r="V25" i="8"/>
  <c r="U19" i="8"/>
  <c r="W19" i="8" s="1"/>
  <c r="X19" i="8" s="1"/>
  <c r="Y19" i="8" s="1"/>
  <c r="R19" i="8" s="1"/>
  <c r="V28" i="8"/>
  <c r="V36" i="8"/>
  <c r="V19" i="8"/>
  <c r="T24" i="8"/>
  <c r="V26" i="8"/>
  <c r="T18" i="8"/>
  <c r="U22" i="8"/>
  <c r="W22" i="8" s="1"/>
  <c r="V23" i="8"/>
  <c r="W23" i="8" s="1"/>
  <c r="W25" i="8"/>
  <c r="W26" i="8"/>
  <c r="W28" i="8"/>
  <c r="V29" i="8"/>
  <c r="W29" i="8" s="1"/>
  <c r="U30" i="8"/>
  <c r="W32" i="8"/>
  <c r="V33" i="8"/>
  <c r="W33" i="8" s="1"/>
  <c r="U34" i="8"/>
  <c r="W34" i="8" s="1"/>
  <c r="W36" i="8"/>
  <c r="U38" i="8"/>
  <c r="Y42" i="8"/>
  <c r="U21" i="8"/>
  <c r="W21" i="8" s="1"/>
  <c r="V22" i="8"/>
  <c r="T27" i="8"/>
  <c r="V30" i="8"/>
  <c r="U31" i="8"/>
  <c r="W31" i="8" s="1"/>
  <c r="V34" i="8"/>
  <c r="V38" i="8"/>
  <c r="W38" i="8" l="1"/>
  <c r="W30" i="8"/>
  <c r="X29" i="8"/>
  <c r="Y29" i="8"/>
  <c r="N29" i="8" s="1"/>
  <c r="M29" i="8" s="1"/>
  <c r="Q29" i="8" s="1"/>
  <c r="X30" i="8"/>
  <c r="Y30" i="8" s="1"/>
  <c r="N30" i="8" s="1"/>
  <c r="M30" i="8" s="1"/>
  <c r="Q30" i="8" s="1"/>
  <c r="X33" i="8"/>
  <c r="Y33" i="8"/>
  <c r="N33" i="8" s="1"/>
  <c r="M33" i="8" s="1"/>
  <c r="Q33" i="8" s="1"/>
  <c r="X22" i="8"/>
  <c r="Y22" i="8" s="1"/>
  <c r="R22" i="8" s="1"/>
  <c r="X38" i="8"/>
  <c r="Y38" i="8" s="1"/>
  <c r="N38" i="8" s="1"/>
  <c r="X36" i="8"/>
  <c r="Y36" i="8" s="1"/>
  <c r="X25" i="8"/>
  <c r="Y25" i="8" s="1"/>
  <c r="N25" i="8" s="1"/>
  <c r="X34" i="8"/>
  <c r="Y34" i="8" s="1"/>
  <c r="N34" i="8" s="1"/>
  <c r="M34" i="8" s="1"/>
  <c r="Q34" i="8" s="1"/>
  <c r="X31" i="8"/>
  <c r="Y31" i="8" s="1"/>
  <c r="N31" i="8" s="1"/>
  <c r="M31" i="8" s="1"/>
  <c r="Q31" i="8" s="1"/>
  <c r="X21" i="8"/>
  <c r="Y21" i="8" s="1"/>
  <c r="R21" i="8" s="1"/>
  <c r="X28" i="8"/>
  <c r="Y28" i="8" s="1"/>
  <c r="N28" i="8" s="1"/>
  <c r="X23" i="8"/>
  <c r="Y23" i="8" s="1"/>
  <c r="R23" i="8" s="1"/>
  <c r="X32" i="8"/>
  <c r="Y32" i="8" s="1"/>
  <c r="N32" i="8" s="1"/>
  <c r="M32" i="8" s="1"/>
  <c r="Q32" i="8" s="1"/>
  <c r="X26" i="8"/>
  <c r="Y26" i="8" s="1"/>
  <c r="N26" i="8" s="1"/>
  <c r="M26" i="8" s="1"/>
  <c r="R18" i="8" l="1"/>
  <c r="R16" i="8"/>
  <c r="Q16" i="8" s="1"/>
  <c r="S16" i="8" s="1"/>
  <c r="T16" i="8" s="1"/>
  <c r="R7" i="8"/>
  <c r="Q7" i="8" s="1"/>
  <c r="S7" i="8" s="1"/>
  <c r="T7" i="8" s="1"/>
  <c r="R15" i="8"/>
  <c r="Q15" i="8" s="1"/>
  <c r="S15" i="8" s="1"/>
  <c r="T15" i="8" s="1"/>
  <c r="R10" i="8"/>
  <c r="Q10" i="8" s="1"/>
  <c r="S10" i="8" s="1"/>
  <c r="T10" i="8" s="1"/>
  <c r="R8" i="8"/>
  <c r="Q8" i="8" s="1"/>
  <c r="S8" i="8" s="1"/>
  <c r="T8" i="8" s="1"/>
  <c r="R17" i="8"/>
  <c r="Q17" i="8" s="1"/>
  <c r="S17" i="8" s="1"/>
  <c r="T17" i="8" s="1"/>
  <c r="R9" i="8"/>
  <c r="Q9" i="8" s="1"/>
  <c r="S9" i="8" s="1"/>
  <c r="T9" i="8" s="1"/>
  <c r="R12" i="8"/>
  <c r="Q12" i="8" s="1"/>
  <c r="S12" i="8" s="1"/>
  <c r="T12" i="8" s="1"/>
  <c r="R13" i="8"/>
  <c r="Q13" i="8" s="1"/>
  <c r="S13" i="8" s="1"/>
  <c r="T13" i="8" s="1"/>
  <c r="R11" i="8"/>
  <c r="Q11" i="8" s="1"/>
  <c r="S11" i="8" s="1"/>
  <c r="T11" i="8" s="1"/>
  <c r="M38" i="8"/>
  <c r="N37" i="8"/>
  <c r="N35" i="8"/>
  <c r="M36" i="8"/>
  <c r="M28" i="8"/>
  <c r="Q28" i="8" s="1"/>
  <c r="N27" i="8"/>
  <c r="N24" i="8"/>
  <c r="M25" i="8"/>
  <c r="J121" i="11"/>
  <c r="V10" i="8" l="1"/>
  <c r="U10" i="8"/>
  <c r="W10" i="8" s="1"/>
  <c r="V9" i="8"/>
  <c r="U9" i="8"/>
  <c r="V15" i="8"/>
  <c r="T14" i="8"/>
  <c r="U15" i="8"/>
  <c r="U11" i="8"/>
  <c r="W11" i="8" s="1"/>
  <c r="V11" i="8"/>
  <c r="V17" i="8"/>
  <c r="U17" i="8"/>
  <c r="W17" i="8" s="1"/>
  <c r="V7" i="8"/>
  <c r="U7" i="8"/>
  <c r="U12" i="8"/>
  <c r="V12" i="8"/>
  <c r="U13" i="8"/>
  <c r="W13" i="8" s="1"/>
  <c r="V13" i="8"/>
  <c r="U8" i="8"/>
  <c r="V8" i="8"/>
  <c r="W8" i="8" s="1"/>
  <c r="V16" i="8"/>
  <c r="U16" i="8"/>
  <c r="W16" i="8" l="1"/>
  <c r="W12" i="8"/>
  <c r="X12" i="8" s="1"/>
  <c r="Y12" i="8" s="1"/>
  <c r="N12" i="8" s="1"/>
  <c r="M12" i="8" s="1"/>
  <c r="M13" i="8" s="1"/>
  <c r="N13" i="8" s="1"/>
  <c r="W9" i="8"/>
  <c r="X9" i="8" s="1"/>
  <c r="Y9" i="8" s="1"/>
  <c r="W15" i="8"/>
  <c r="X15" i="8" s="1"/>
  <c r="Y15" i="8" s="1"/>
  <c r="N15" i="8" s="1"/>
  <c r="X17" i="8"/>
  <c r="Y17" i="8" s="1"/>
  <c r="X16" i="8"/>
  <c r="Y16" i="8" s="1"/>
  <c r="N16" i="8" s="1"/>
  <c r="M16" i="8" s="1"/>
  <c r="M17" i="8" s="1"/>
  <c r="N17" i="8" s="1"/>
  <c r="X10" i="8"/>
  <c r="Y10" i="8" s="1"/>
  <c r="N10" i="8" s="1"/>
  <c r="M10" i="8" s="1"/>
  <c r="X8" i="8"/>
  <c r="Y8" i="8" s="1"/>
  <c r="N8" i="8" s="1"/>
  <c r="M8" i="8" s="1"/>
  <c r="X13" i="8"/>
  <c r="Y13" i="8" s="1"/>
  <c r="X11" i="8"/>
  <c r="U45" i="8"/>
  <c r="T6" i="8"/>
  <c r="T45" i="8" s="1"/>
  <c r="V45" i="8"/>
  <c r="W7" i="8"/>
  <c r="N9" i="8" l="1"/>
  <c r="M9" i="8" s="1"/>
  <c r="Y11" i="8"/>
  <c r="N11" i="8" s="1"/>
  <c r="M11" i="8" s="1"/>
  <c r="N14" i="8"/>
  <c r="M15" i="8"/>
  <c r="X7" i="8"/>
  <c r="X45" i="8" s="1"/>
  <c r="W45" i="8"/>
  <c r="G168" i="11"/>
  <c r="H168" i="11"/>
  <c r="I168" i="11"/>
  <c r="J168" i="11"/>
  <c r="K168" i="11"/>
  <c r="L168" i="11"/>
  <c r="M168" i="11"/>
  <c r="N168" i="11"/>
  <c r="O168" i="11"/>
  <c r="P168" i="11"/>
  <c r="G169" i="11"/>
  <c r="H169" i="11"/>
  <c r="I169" i="11"/>
  <c r="J169" i="11"/>
  <c r="K169" i="11"/>
  <c r="L169" i="11"/>
  <c r="M169" i="11"/>
  <c r="N169" i="11"/>
  <c r="O169" i="11"/>
  <c r="P169" i="11"/>
  <c r="H167" i="11"/>
  <c r="I167" i="11"/>
  <c r="J167" i="11"/>
  <c r="K167" i="11"/>
  <c r="L167" i="11"/>
  <c r="M167" i="11"/>
  <c r="N167" i="11"/>
  <c r="O167" i="11"/>
  <c r="P167" i="11"/>
  <c r="G167" i="11"/>
  <c r="Y7" i="8" l="1"/>
  <c r="N7" i="8" s="1"/>
  <c r="G170" i="11"/>
  <c r="H170" i="11"/>
  <c r="E386" i="11"/>
  <c r="Y45" i="8" l="1"/>
  <c r="E388" i="11"/>
  <c r="M7" i="8" l="1"/>
  <c r="N6" i="8"/>
  <c r="E6" i="8" s="1"/>
  <c r="K92" i="13"/>
  <c r="K93" i="13"/>
  <c r="K94" i="13"/>
  <c r="K95" i="13"/>
  <c r="K96" i="13"/>
  <c r="K97" i="13"/>
  <c r="H103" i="13"/>
  <c r="H102" i="13"/>
  <c r="H101" i="13"/>
  <c r="H100" i="13"/>
  <c r="H99" i="13"/>
  <c r="H98" i="13"/>
  <c r="H97" i="13"/>
  <c r="H96" i="13"/>
  <c r="H95" i="13"/>
  <c r="H94" i="13"/>
  <c r="H93" i="13"/>
  <c r="H92" i="13"/>
  <c r="H78" i="13"/>
  <c r="H79" i="13"/>
  <c r="H80" i="13"/>
  <c r="H81" i="13"/>
  <c r="H82" i="13"/>
  <c r="H83" i="13"/>
  <c r="H84" i="13"/>
  <c r="H85" i="13"/>
  <c r="H86" i="13"/>
  <c r="H87" i="13"/>
  <c r="H88" i="13"/>
  <c r="H77" i="13"/>
  <c r="E391" i="11"/>
  <c r="E392" i="11"/>
  <c r="E393" i="11"/>
  <c r="E394" i="11"/>
  <c r="N45" i="8" l="1"/>
  <c r="N47" i="8" s="1"/>
  <c r="N48" i="8" s="1"/>
  <c r="E390" i="11"/>
  <c r="D62" i="13"/>
  <c r="D63" i="13"/>
  <c r="D64" i="13"/>
  <c r="D65" i="13"/>
  <c r="D66" i="13"/>
  <c r="D67" i="13"/>
  <c r="D68" i="13"/>
  <c r="D69" i="13"/>
  <c r="D70" i="13"/>
  <c r="D71" i="13"/>
  <c r="D72" i="13"/>
  <c r="D61" i="13"/>
  <c r="N46" i="8" l="1"/>
  <c r="X51" i="6"/>
  <c r="P51" i="6"/>
  <c r="X46" i="6"/>
  <c r="P46" i="6"/>
  <c r="P41" i="6"/>
  <c r="X41" i="6"/>
  <c r="X36" i="6"/>
  <c r="P36" i="6"/>
  <c r="P31" i="6"/>
  <c r="X31" i="6"/>
  <c r="X26" i="6"/>
  <c r="P26" i="6"/>
  <c r="U158" i="6"/>
  <c r="P319" i="11" l="1"/>
  <c r="O319" i="11"/>
  <c r="N319" i="11"/>
  <c r="M319" i="11"/>
  <c r="L319" i="11"/>
  <c r="K319" i="11"/>
  <c r="J319" i="11"/>
  <c r="I319" i="11"/>
  <c r="H319" i="11"/>
  <c r="G319" i="11"/>
  <c r="P314" i="11"/>
  <c r="O314" i="11"/>
  <c r="N314" i="11"/>
  <c r="M314" i="11"/>
  <c r="L314" i="11"/>
  <c r="K314" i="11"/>
  <c r="J314" i="11"/>
  <c r="I314" i="11"/>
  <c r="H314" i="11"/>
  <c r="G314" i="11"/>
  <c r="P312" i="11"/>
  <c r="O312" i="11"/>
  <c r="N312" i="11"/>
  <c r="M312" i="11"/>
  <c r="L312" i="11"/>
  <c r="K312" i="11"/>
  <c r="J312" i="11"/>
  <c r="I312" i="11"/>
  <c r="H312" i="11"/>
  <c r="G312" i="11"/>
  <c r="P307" i="11"/>
  <c r="O307" i="11"/>
  <c r="N307" i="11"/>
  <c r="M307" i="11"/>
  <c r="L307" i="11"/>
  <c r="K307" i="11"/>
  <c r="J307" i="11"/>
  <c r="I307" i="11"/>
  <c r="H307" i="11"/>
  <c r="P170" i="11"/>
  <c r="O170" i="11"/>
  <c r="N170" i="11"/>
  <c r="M170" i="11"/>
  <c r="L170" i="11"/>
  <c r="K170" i="11"/>
  <c r="J170" i="11"/>
  <c r="I170" i="11"/>
  <c r="P161" i="11"/>
  <c r="O161" i="11"/>
  <c r="N161" i="11"/>
  <c r="M161" i="11"/>
  <c r="L161" i="11"/>
  <c r="K161" i="11"/>
  <c r="J161" i="11"/>
  <c r="I161" i="11"/>
  <c r="H161" i="11"/>
  <c r="G161" i="11"/>
  <c r="P143" i="11"/>
  <c r="O143" i="11"/>
  <c r="N143" i="11"/>
  <c r="M143" i="11"/>
  <c r="L143" i="11"/>
  <c r="K143" i="11"/>
  <c r="J143" i="11"/>
  <c r="I143" i="11"/>
  <c r="H143" i="11"/>
  <c r="G143" i="11"/>
  <c r="I342" i="11" l="1"/>
  <c r="I336" i="11"/>
  <c r="I326" i="11"/>
  <c r="H322" i="11"/>
  <c r="G322" i="11"/>
  <c r="K321" i="11"/>
  <c r="I322" i="11"/>
  <c r="L321" i="11"/>
  <c r="M321" i="11"/>
  <c r="K322" i="11"/>
  <c r="J322" i="11"/>
  <c r="N321" i="11"/>
  <c r="L322" i="11"/>
  <c r="G321" i="11"/>
  <c r="O321" i="11"/>
  <c r="M322" i="11"/>
  <c r="H321" i="11"/>
  <c r="P321" i="11"/>
  <c r="N322" i="11"/>
  <c r="I321" i="11"/>
  <c r="O322" i="11"/>
  <c r="J321" i="11"/>
  <c r="P322" i="11"/>
  <c r="P323" i="11" l="1"/>
  <c r="P324" i="11" s="1"/>
  <c r="M323" i="11"/>
  <c r="M324" i="11" s="1"/>
  <c r="O323" i="11"/>
  <c r="O324" i="11" s="1"/>
  <c r="L323" i="11"/>
  <c r="L324" i="11" s="1"/>
  <c r="N323" i="11"/>
  <c r="N324" i="11" s="1"/>
  <c r="K323" i="11"/>
  <c r="K324" i="11" s="1"/>
  <c r="G323" i="11"/>
  <c r="G324" i="11" s="1"/>
  <c r="H323" i="11"/>
  <c r="H324" i="11" s="1"/>
  <c r="J323" i="11"/>
  <c r="J324" i="11" s="1"/>
  <c r="I323" i="11"/>
  <c r="I324" i="11" s="1"/>
  <c r="H25" i="6"/>
  <c r="N121" i="6"/>
  <c r="N87" i="6"/>
  <c r="C158" i="6" s="1"/>
  <c r="AI30" i="15"/>
  <c r="I341" i="11" l="1"/>
  <c r="I343" i="11" s="1"/>
  <c r="Q159" i="6"/>
  <c r="Q160" i="6"/>
  <c r="Q161" i="6"/>
  <c r="Q162" i="6"/>
  <c r="Q163" i="6"/>
  <c r="J20" i="14"/>
  <c r="J19" i="14"/>
  <c r="I18" i="14"/>
  <c r="J18" i="14" s="1"/>
  <c r="H18" i="14"/>
  <c r="J17" i="14"/>
  <c r="H17" i="14"/>
  <c r="I16" i="14"/>
  <c r="J16" i="14" s="1"/>
  <c r="H16" i="14"/>
  <c r="I15" i="14"/>
  <c r="J15" i="14" s="1"/>
  <c r="H15" i="14"/>
  <c r="J14" i="14"/>
  <c r="I14" i="14"/>
  <c r="H14" i="14"/>
  <c r="J13" i="14"/>
  <c r="H13" i="14"/>
  <c r="J12" i="14"/>
  <c r="H12" i="14"/>
  <c r="I11" i="14"/>
  <c r="J11" i="14" s="1"/>
  <c r="H11" i="14"/>
  <c r="I10" i="14"/>
  <c r="J10" i="14" s="1"/>
  <c r="H10" i="14"/>
  <c r="I9" i="14"/>
  <c r="H9" i="14"/>
  <c r="I8" i="14"/>
  <c r="J8" i="14" s="1"/>
  <c r="H8" i="14"/>
  <c r="L7" i="14"/>
  <c r="M7" i="14" s="1"/>
  <c r="K7" i="14"/>
  <c r="J7" i="14"/>
  <c r="J9" i="14" l="1"/>
  <c r="S6" i="14" s="1"/>
  <c r="G92" i="4"/>
  <c r="F92" i="4"/>
  <c r="G91" i="4"/>
  <c r="F91" i="4"/>
  <c r="Q90" i="4"/>
  <c r="K90" i="4"/>
  <c r="G90" i="4"/>
  <c r="F90" i="4"/>
  <c r="T85" i="4"/>
  <c r="S85" i="4"/>
  <c r="G85" i="4"/>
  <c r="T84" i="4"/>
  <c r="S84" i="4"/>
  <c r="G84" i="4"/>
  <c r="T83" i="4"/>
  <c r="S83" i="4"/>
  <c r="G83" i="4"/>
  <c r="S80" i="4"/>
  <c r="G80" i="4"/>
  <c r="S79" i="4"/>
  <c r="G79" i="4"/>
  <c r="S78" i="4"/>
  <c r="G78" i="4"/>
  <c r="S77" i="4"/>
  <c r="G77" i="4"/>
  <c r="S76" i="4"/>
  <c r="G76" i="4"/>
  <c r="S75" i="4"/>
  <c r="G75" i="4"/>
  <c r="S74" i="4"/>
  <c r="G74" i="4"/>
  <c r="W19" i="4"/>
  <c r="AH181" i="6" l="1"/>
  <c r="AI181" i="6" s="1"/>
  <c r="AJ181" i="6" s="1"/>
  <c r="AK181" i="6" s="1"/>
  <c r="W163" i="6"/>
  <c r="U163" i="6"/>
  <c r="I163" i="6"/>
  <c r="G163" i="6"/>
  <c r="W162" i="6"/>
  <c r="U162" i="6"/>
  <c r="I162" i="6"/>
  <c r="G162" i="6"/>
  <c r="W161" i="6"/>
  <c r="U161" i="6"/>
  <c r="I161" i="6"/>
  <c r="G161" i="6"/>
  <c r="W160" i="6"/>
  <c r="U160" i="6"/>
  <c r="I160" i="6"/>
  <c r="G160" i="6"/>
  <c r="W159" i="6"/>
  <c r="U159" i="6"/>
  <c r="I159" i="6"/>
  <c r="G159" i="6"/>
  <c r="W158" i="6"/>
  <c r="Q158" i="6"/>
  <c r="I158" i="6"/>
  <c r="G158" i="6"/>
  <c r="C151" i="6"/>
  <c r="B151" i="6"/>
  <c r="C150" i="6"/>
  <c r="B150" i="6"/>
  <c r="C149" i="6"/>
  <c r="B149" i="6"/>
  <c r="C148" i="6"/>
  <c r="B148" i="6"/>
  <c r="C147" i="6"/>
  <c r="C146" i="6"/>
  <c r="B146" i="6"/>
  <c r="C145" i="6"/>
  <c r="B145" i="6"/>
  <c r="C144" i="6"/>
  <c r="B144" i="6"/>
  <c r="C143" i="6"/>
  <c r="B143" i="6"/>
  <c r="C142" i="6"/>
  <c r="C141" i="6"/>
  <c r="B141" i="6"/>
  <c r="C140" i="6"/>
  <c r="B140" i="6"/>
  <c r="C139" i="6"/>
  <c r="B139" i="6"/>
  <c r="C138" i="6"/>
  <c r="B138" i="6"/>
  <c r="C137" i="6"/>
  <c r="C136" i="6"/>
  <c r="B136" i="6"/>
  <c r="C135" i="6"/>
  <c r="B135" i="6"/>
  <c r="C134" i="6"/>
  <c r="B134" i="6"/>
  <c r="C133" i="6"/>
  <c r="B133" i="6"/>
  <c r="C132" i="6"/>
  <c r="N173" i="6" s="1"/>
  <c r="C131" i="6"/>
  <c r="B131" i="6"/>
  <c r="C130" i="6"/>
  <c r="B130" i="6"/>
  <c r="C129" i="6"/>
  <c r="B129" i="6"/>
  <c r="C128" i="6"/>
  <c r="B128" i="6"/>
  <c r="C127" i="6"/>
  <c r="C126" i="6"/>
  <c r="B126" i="6"/>
  <c r="C125" i="6"/>
  <c r="B125" i="6"/>
  <c r="C124" i="6"/>
  <c r="B124" i="6"/>
  <c r="C123" i="6"/>
  <c r="B123" i="6"/>
  <c r="C122" i="6"/>
  <c r="C117" i="6"/>
  <c r="B117" i="6"/>
  <c r="C116" i="6"/>
  <c r="B116" i="6"/>
  <c r="C115" i="6"/>
  <c r="B115" i="6"/>
  <c r="C114" i="6"/>
  <c r="B114" i="6"/>
  <c r="C113" i="6"/>
  <c r="C112" i="6"/>
  <c r="B112" i="6"/>
  <c r="C111" i="6"/>
  <c r="B111" i="6"/>
  <c r="C110" i="6"/>
  <c r="B110" i="6"/>
  <c r="C109" i="6"/>
  <c r="B109" i="6"/>
  <c r="C108" i="6"/>
  <c r="C107" i="6"/>
  <c r="B107" i="6"/>
  <c r="C106" i="6"/>
  <c r="B106" i="6"/>
  <c r="C105" i="6"/>
  <c r="B105" i="6"/>
  <c r="C104" i="6"/>
  <c r="B104" i="6"/>
  <c r="C103" i="6"/>
  <c r="C102" i="6"/>
  <c r="B102" i="6"/>
  <c r="C101" i="6"/>
  <c r="B101" i="6"/>
  <c r="C100" i="6"/>
  <c r="B100" i="6"/>
  <c r="C99" i="6"/>
  <c r="B99" i="6"/>
  <c r="C98" i="6"/>
  <c r="C97" i="6"/>
  <c r="B97" i="6"/>
  <c r="C96" i="6"/>
  <c r="B96" i="6"/>
  <c r="C95" i="6"/>
  <c r="B95" i="6"/>
  <c r="C94" i="6"/>
  <c r="B94" i="6"/>
  <c r="C93" i="6"/>
  <c r="C92" i="6"/>
  <c r="B92" i="6"/>
  <c r="C91" i="6"/>
  <c r="B91" i="6"/>
  <c r="C90" i="6"/>
  <c r="B90" i="6"/>
  <c r="C89" i="6"/>
  <c r="B89" i="6"/>
  <c r="C88" i="6"/>
  <c r="C76" i="6"/>
  <c r="Y58" i="6"/>
  <c r="W157" i="6" s="1"/>
  <c r="W58" i="6"/>
  <c r="U157" i="6" s="1"/>
  <c r="I58" i="6"/>
  <c r="I157" i="6" s="1"/>
  <c r="G58" i="6"/>
  <c r="G157" i="6" s="1"/>
  <c r="B51" i="6"/>
  <c r="L64" i="6" s="1"/>
  <c r="B46" i="6"/>
  <c r="B41" i="6"/>
  <c r="L62" i="6" s="1"/>
  <c r="B36" i="6"/>
  <c r="B132" i="6" s="1"/>
  <c r="B31" i="6"/>
  <c r="B60" i="6" s="1"/>
  <c r="B26" i="6"/>
  <c r="B122" i="6" s="1"/>
  <c r="G25" i="6"/>
  <c r="F25" i="6" s="1"/>
  <c r="E25" i="6" s="1"/>
  <c r="D25" i="6" s="1"/>
  <c r="C25" i="6" s="1"/>
  <c r="B25" i="6"/>
  <c r="B58" i="6" s="1"/>
  <c r="B18" i="6"/>
  <c r="B82" i="6" s="1"/>
  <c r="B17" i="6"/>
  <c r="B81" i="6" s="1"/>
  <c r="B16" i="6"/>
  <c r="B80" i="6" s="1"/>
  <c r="B15" i="6"/>
  <c r="B79" i="6" s="1"/>
  <c r="B14" i="6"/>
  <c r="B78" i="6" s="1"/>
  <c r="B13" i="6"/>
  <c r="B77" i="6" s="1"/>
  <c r="D98" i="6" l="1"/>
  <c r="P98" i="6" s="1"/>
  <c r="C87" i="6"/>
  <c r="D87" i="6" s="1"/>
  <c r="E87" i="6" s="1"/>
  <c r="C79" i="6"/>
  <c r="C82" i="6"/>
  <c r="C78" i="6"/>
  <c r="C81" i="6"/>
  <c r="C77" i="6"/>
  <c r="C80" i="6"/>
  <c r="D137" i="6"/>
  <c r="P137" i="6" s="1"/>
  <c r="D113" i="6"/>
  <c r="P113" i="6" s="1"/>
  <c r="D103" i="6"/>
  <c r="D142" i="6"/>
  <c r="D143" i="6" s="1"/>
  <c r="N176" i="6"/>
  <c r="D147" i="6"/>
  <c r="D108" i="6"/>
  <c r="B76" i="6"/>
  <c r="C118" i="6"/>
  <c r="L60" i="6"/>
  <c r="G164" i="6"/>
  <c r="W164" i="6"/>
  <c r="D76" i="6"/>
  <c r="C152" i="6"/>
  <c r="Q164" i="6"/>
  <c r="B172" i="6"/>
  <c r="P159" i="6"/>
  <c r="B159" i="6"/>
  <c r="B142" i="6"/>
  <c r="B108" i="6"/>
  <c r="B59" i="6"/>
  <c r="B63" i="6"/>
  <c r="P157" i="6"/>
  <c r="B157" i="6"/>
  <c r="B137" i="6"/>
  <c r="B103" i="6"/>
  <c r="L58" i="6"/>
  <c r="L59" i="6"/>
  <c r="B62" i="6"/>
  <c r="L63" i="6"/>
  <c r="B87" i="6"/>
  <c r="S163" i="6"/>
  <c r="Y163" i="6" s="1"/>
  <c r="E163" i="6"/>
  <c r="E162" i="6"/>
  <c r="E161" i="6"/>
  <c r="C160" i="6"/>
  <c r="C159" i="6"/>
  <c r="C163" i="6"/>
  <c r="S162" i="6"/>
  <c r="Y162" i="6" s="1"/>
  <c r="S159" i="6"/>
  <c r="Y159" i="6" s="1"/>
  <c r="C162" i="6"/>
  <c r="S161" i="6"/>
  <c r="Y161" i="6" s="1"/>
  <c r="E159" i="6"/>
  <c r="C161" i="6"/>
  <c r="S158" i="6"/>
  <c r="Y158" i="6" s="1"/>
  <c r="C171" i="6" s="1"/>
  <c r="S160" i="6"/>
  <c r="Y160" i="6" s="1"/>
  <c r="E158" i="6"/>
  <c r="K158" i="6" s="1"/>
  <c r="E160" i="6"/>
  <c r="B88" i="6"/>
  <c r="B93" i="6"/>
  <c r="B127" i="6"/>
  <c r="O93" i="6"/>
  <c r="O113" i="6"/>
  <c r="B61" i="6"/>
  <c r="O88" i="6"/>
  <c r="B147" i="6"/>
  <c r="B113" i="6"/>
  <c r="L61" i="6"/>
  <c r="B64" i="6"/>
  <c r="C170" i="6"/>
  <c r="N170" i="6" s="1"/>
  <c r="C121" i="6"/>
  <c r="D88" i="6"/>
  <c r="D91" i="6" s="1"/>
  <c r="D93" i="6"/>
  <c r="D94" i="6" s="1"/>
  <c r="B98" i="6"/>
  <c r="B121" i="6"/>
  <c r="O122" i="6"/>
  <c r="D132" i="6"/>
  <c r="D134" i="6" s="1"/>
  <c r="O127" i="6"/>
  <c r="O98" i="6"/>
  <c r="O103" i="6"/>
  <c r="O108" i="6"/>
  <c r="D122" i="6"/>
  <c r="D123" i="6" s="1"/>
  <c r="D127" i="6"/>
  <c r="D131" i="6" s="1"/>
  <c r="O132" i="6"/>
  <c r="O137" i="6"/>
  <c r="N171" i="6"/>
  <c r="O142" i="6"/>
  <c r="O147" i="6"/>
  <c r="I164" i="6"/>
  <c r="U164" i="6"/>
  <c r="N172" i="6"/>
  <c r="N174" i="6"/>
  <c r="N175" i="6"/>
  <c r="K162" i="6" l="1"/>
  <c r="O87" i="6"/>
  <c r="P87" i="6"/>
  <c r="D145" i="6"/>
  <c r="D100" i="6"/>
  <c r="D102" i="6"/>
  <c r="D101" i="6"/>
  <c r="E103" i="6"/>
  <c r="Q103" i="6" s="1"/>
  <c r="D99" i="6"/>
  <c r="E108" i="6"/>
  <c r="Q108" i="6" s="1"/>
  <c r="D114" i="6"/>
  <c r="D115" i="6"/>
  <c r="D112" i="6"/>
  <c r="D116" i="6"/>
  <c r="D117" i="6"/>
  <c r="D133" i="6"/>
  <c r="E147" i="6"/>
  <c r="Q147" i="6" s="1"/>
  <c r="D106" i="6"/>
  <c r="E113" i="6"/>
  <c r="Q113" i="6" s="1"/>
  <c r="P142" i="6"/>
  <c r="D144" i="6"/>
  <c r="O175" i="6"/>
  <c r="D146" i="6"/>
  <c r="D139" i="6"/>
  <c r="P103" i="6"/>
  <c r="D170" i="6"/>
  <c r="O170" i="6" s="1"/>
  <c r="D78" i="6"/>
  <c r="D80" i="6"/>
  <c r="D82" i="6"/>
  <c r="D79" i="6"/>
  <c r="D81" i="6"/>
  <c r="D77" i="6"/>
  <c r="C83" i="6" a="1"/>
  <c r="C83" i="6" s="1"/>
  <c r="E137" i="6"/>
  <c r="D109" i="6"/>
  <c r="D110" i="6"/>
  <c r="D111" i="6"/>
  <c r="D151" i="6"/>
  <c r="P108" i="6"/>
  <c r="P147" i="6"/>
  <c r="D148" i="6"/>
  <c r="O171" i="6"/>
  <c r="K163" i="6"/>
  <c r="O174" i="6"/>
  <c r="O172" i="6"/>
  <c r="D126" i="6"/>
  <c r="E76" i="6"/>
  <c r="F76" i="6" s="1"/>
  <c r="D141" i="6"/>
  <c r="K160" i="6"/>
  <c r="K159" i="6"/>
  <c r="D89" i="6"/>
  <c r="D129" i="6"/>
  <c r="D130" i="6"/>
  <c r="D135" i="6"/>
  <c r="D104" i="6"/>
  <c r="D105" i="6"/>
  <c r="D107" i="6"/>
  <c r="C174" i="6"/>
  <c r="D174" i="6"/>
  <c r="O176" i="6"/>
  <c r="D150" i="6"/>
  <c r="D149" i="6"/>
  <c r="D138" i="6"/>
  <c r="D175" i="6"/>
  <c r="C175" i="6"/>
  <c r="D176" i="6"/>
  <c r="C176" i="6"/>
  <c r="N177" i="6"/>
  <c r="E142" i="6"/>
  <c r="D140" i="6"/>
  <c r="D121" i="6"/>
  <c r="O121" i="6"/>
  <c r="B175" i="6"/>
  <c r="P162" i="6"/>
  <c r="B162" i="6"/>
  <c r="D172" i="6"/>
  <c r="C172" i="6"/>
  <c r="D171" i="6"/>
  <c r="Y164" i="6"/>
  <c r="D173" i="6"/>
  <c r="C173" i="6"/>
  <c r="P127" i="6"/>
  <c r="E132" i="6"/>
  <c r="D152" i="6"/>
  <c r="E127" i="6"/>
  <c r="E122" i="6"/>
  <c r="P122" i="6"/>
  <c r="D125" i="6"/>
  <c r="D128" i="6"/>
  <c r="E112" i="6"/>
  <c r="P93" i="6"/>
  <c r="E98" i="6"/>
  <c r="D97" i="6"/>
  <c r="P163" i="6"/>
  <c r="B176" i="6"/>
  <c r="B163" i="6"/>
  <c r="D95" i="6"/>
  <c r="D96" i="6"/>
  <c r="K161" i="6"/>
  <c r="D124" i="6"/>
  <c r="O173" i="6"/>
  <c r="P132" i="6"/>
  <c r="D136" i="6"/>
  <c r="O152" i="6"/>
  <c r="O118" i="6"/>
  <c r="E164" i="6"/>
  <c r="B174" i="6"/>
  <c r="P161" i="6"/>
  <c r="B161" i="6"/>
  <c r="F87" i="6"/>
  <c r="Q87" i="6"/>
  <c r="D118" i="6"/>
  <c r="P88" i="6"/>
  <c r="E93" i="6"/>
  <c r="D92" i="6"/>
  <c r="E88" i="6"/>
  <c r="B173" i="6"/>
  <c r="P160" i="6"/>
  <c r="B160" i="6"/>
  <c r="D90" i="6"/>
  <c r="S164" i="6"/>
  <c r="C164" i="6"/>
  <c r="B171" i="6"/>
  <c r="P158" i="6"/>
  <c r="B158" i="6"/>
  <c r="E109" i="6" l="1"/>
  <c r="F103" i="6"/>
  <c r="R103" i="6" s="1"/>
  <c r="E105" i="6"/>
  <c r="E110" i="6"/>
  <c r="E111" i="6"/>
  <c r="E176" i="6"/>
  <c r="E170" i="6"/>
  <c r="P170" i="6" s="1"/>
  <c r="E116" i="6"/>
  <c r="E114" i="6"/>
  <c r="F113" i="6"/>
  <c r="F114" i="6" s="1"/>
  <c r="E117" i="6"/>
  <c r="E115" i="6"/>
  <c r="D83" i="6" a="1"/>
  <c r="D83" i="6" s="1"/>
  <c r="P118" i="6"/>
  <c r="F79" i="6"/>
  <c r="F81" i="6"/>
  <c r="F77" i="6"/>
  <c r="F78" i="6"/>
  <c r="F80" i="6"/>
  <c r="F82" i="6"/>
  <c r="E77" i="6"/>
  <c r="E78" i="6"/>
  <c r="E80" i="6"/>
  <c r="E82" i="6"/>
  <c r="E79" i="6"/>
  <c r="E81" i="6"/>
  <c r="F137" i="6"/>
  <c r="Q137" i="6"/>
  <c r="E175" i="6"/>
  <c r="F147" i="6"/>
  <c r="O177" i="6"/>
  <c r="K164" i="6"/>
  <c r="E104" i="6"/>
  <c r="E107" i="6"/>
  <c r="F108" i="6"/>
  <c r="F110" i="6" s="1"/>
  <c r="E106" i="6"/>
  <c r="C177" i="6"/>
  <c r="P152" i="6"/>
  <c r="F170" i="6"/>
  <c r="Q170" i="6" s="1"/>
  <c r="G76" i="6"/>
  <c r="E118" i="6"/>
  <c r="F93" i="6"/>
  <c r="F88" i="6"/>
  <c r="E89" i="6"/>
  <c r="Q88" i="6"/>
  <c r="E92" i="6"/>
  <c r="E91" i="6"/>
  <c r="E90" i="6"/>
  <c r="E152" i="6"/>
  <c r="Q122" i="6"/>
  <c r="F127" i="6"/>
  <c r="F122" i="6"/>
  <c r="E126" i="6"/>
  <c r="E124" i="6"/>
  <c r="E125" i="6"/>
  <c r="P171" i="6"/>
  <c r="E123" i="6"/>
  <c r="E171" i="6"/>
  <c r="Q142" i="6"/>
  <c r="E146" i="6"/>
  <c r="E144" i="6"/>
  <c r="E145" i="6"/>
  <c r="P175" i="6"/>
  <c r="E143" i="6"/>
  <c r="F142" i="6"/>
  <c r="E141" i="6"/>
  <c r="E138" i="6"/>
  <c r="E139" i="6"/>
  <c r="E140" i="6"/>
  <c r="P174" i="6"/>
  <c r="Q98" i="6"/>
  <c r="E99" i="6"/>
  <c r="E100" i="6"/>
  <c r="E102" i="6"/>
  <c r="E101" i="6"/>
  <c r="P173" i="6"/>
  <c r="Q132" i="6"/>
  <c r="E133" i="6"/>
  <c r="E135" i="6"/>
  <c r="E136" i="6"/>
  <c r="E134" i="6"/>
  <c r="E174" i="6"/>
  <c r="F132" i="6"/>
  <c r="Q127" i="6"/>
  <c r="E128" i="6"/>
  <c r="E130" i="6"/>
  <c r="P172" i="6"/>
  <c r="E131" i="6"/>
  <c r="E129" i="6"/>
  <c r="E173" i="6"/>
  <c r="D177" i="6"/>
  <c r="E172" i="6"/>
  <c r="E121" i="6"/>
  <c r="P121" i="6"/>
  <c r="F98" i="6"/>
  <c r="E94" i="6"/>
  <c r="Q93" i="6"/>
  <c r="E97" i="6"/>
  <c r="E96" i="6"/>
  <c r="E95" i="6"/>
  <c r="G87" i="6"/>
  <c r="R87" i="6"/>
  <c r="P176" i="6"/>
  <c r="E148" i="6"/>
  <c r="E151" i="6"/>
  <c r="E150" i="6"/>
  <c r="E149" i="6"/>
  <c r="G103" i="6" l="1"/>
  <c r="S103" i="6" s="1"/>
  <c r="F117" i="6"/>
  <c r="F116" i="6"/>
  <c r="F115" i="6"/>
  <c r="R113" i="6"/>
  <c r="G79" i="6"/>
  <c r="G81" i="6"/>
  <c r="G77" i="6"/>
  <c r="G78" i="6"/>
  <c r="G80" i="6"/>
  <c r="G82" i="6"/>
  <c r="E83" i="6" a="1"/>
  <c r="E83" i="6" s="1"/>
  <c r="F83" i="6" a="1"/>
  <c r="F83" i="6" s="1"/>
  <c r="G137" i="6"/>
  <c r="S137" i="6" s="1"/>
  <c r="R137" i="6"/>
  <c r="F112" i="6"/>
  <c r="R108" i="6"/>
  <c r="G113" i="6"/>
  <c r="G116" i="6" s="1"/>
  <c r="G147" i="6"/>
  <c r="R147" i="6"/>
  <c r="F111" i="6"/>
  <c r="F109" i="6"/>
  <c r="F99" i="6"/>
  <c r="F100" i="6"/>
  <c r="R98" i="6"/>
  <c r="F101" i="6"/>
  <c r="F102" i="6"/>
  <c r="G142" i="6"/>
  <c r="F138" i="6"/>
  <c r="F139" i="6"/>
  <c r="F141" i="6"/>
  <c r="F140" i="6"/>
  <c r="Q174" i="6"/>
  <c r="F174" i="6"/>
  <c r="Q176" i="6"/>
  <c r="F148" i="6"/>
  <c r="F149" i="6"/>
  <c r="F151" i="6"/>
  <c r="F150" i="6"/>
  <c r="F176" i="6"/>
  <c r="Q152" i="6"/>
  <c r="G88" i="6"/>
  <c r="F118" i="6"/>
  <c r="G93" i="6"/>
  <c r="R88" i="6"/>
  <c r="F90" i="6"/>
  <c r="F92" i="6"/>
  <c r="F89" i="6"/>
  <c r="F91" i="6"/>
  <c r="Q173" i="6"/>
  <c r="R132" i="6"/>
  <c r="F134" i="6"/>
  <c r="F135" i="6"/>
  <c r="F136" i="6"/>
  <c r="F133" i="6"/>
  <c r="F173" i="6"/>
  <c r="G98" i="6"/>
  <c r="H103" i="6" s="1"/>
  <c r="T103" i="6" s="1"/>
  <c r="R93" i="6"/>
  <c r="F95" i="6"/>
  <c r="F94" i="6"/>
  <c r="F97" i="6"/>
  <c r="F96" i="6"/>
  <c r="G170" i="6"/>
  <c r="R170" i="6" s="1"/>
  <c r="H76" i="6"/>
  <c r="Q121" i="6"/>
  <c r="F121" i="6"/>
  <c r="G108" i="6"/>
  <c r="F104" i="6"/>
  <c r="F105" i="6"/>
  <c r="F106" i="6"/>
  <c r="F107" i="6"/>
  <c r="G132" i="6"/>
  <c r="R127" i="6"/>
  <c r="F129" i="6"/>
  <c r="F130" i="6"/>
  <c r="F128" i="6"/>
  <c r="F131" i="6"/>
  <c r="Q172" i="6"/>
  <c r="F172" i="6"/>
  <c r="H87" i="6"/>
  <c r="S87" i="6"/>
  <c r="F143" i="6"/>
  <c r="R142" i="6"/>
  <c r="F144" i="6"/>
  <c r="Q175" i="6"/>
  <c r="F145" i="6"/>
  <c r="F146" i="6"/>
  <c r="F175" i="6"/>
  <c r="E177" i="6"/>
  <c r="P177" i="6"/>
  <c r="F152" i="6"/>
  <c r="G127" i="6"/>
  <c r="G122" i="6"/>
  <c r="F123" i="6"/>
  <c r="R122" i="6"/>
  <c r="F126" i="6"/>
  <c r="F125" i="6"/>
  <c r="F124" i="6"/>
  <c r="Q171" i="6"/>
  <c r="F171" i="6"/>
  <c r="Q118" i="6"/>
  <c r="H137" i="6" l="1"/>
  <c r="T137" i="6" s="1"/>
  <c r="G114" i="6"/>
  <c r="G115" i="6"/>
  <c r="G83" i="6" a="1"/>
  <c r="G83" i="6" s="1"/>
  <c r="H78" i="6"/>
  <c r="H80" i="6"/>
  <c r="H82" i="6"/>
  <c r="H79" i="6"/>
  <c r="H81" i="6"/>
  <c r="H77" i="6"/>
  <c r="G117" i="6"/>
  <c r="H147" i="6"/>
  <c r="S147" i="6"/>
  <c r="H113" i="6"/>
  <c r="S113" i="6"/>
  <c r="F177" i="6"/>
  <c r="G152" i="6"/>
  <c r="H127" i="6"/>
  <c r="H122" i="6"/>
  <c r="S122" i="6"/>
  <c r="G125" i="6"/>
  <c r="G124" i="6"/>
  <c r="G123" i="6"/>
  <c r="R171" i="6"/>
  <c r="G126" i="6"/>
  <c r="G171" i="6"/>
  <c r="R176" i="6"/>
  <c r="G149" i="6"/>
  <c r="G148" i="6"/>
  <c r="G151" i="6"/>
  <c r="G150" i="6"/>
  <c r="G176" i="6"/>
  <c r="S98" i="6"/>
  <c r="G100" i="6"/>
  <c r="G101" i="6"/>
  <c r="G102" i="6"/>
  <c r="G99" i="6"/>
  <c r="H132" i="6"/>
  <c r="S127" i="6"/>
  <c r="G129" i="6"/>
  <c r="G131" i="6"/>
  <c r="G130" i="6"/>
  <c r="G128" i="6"/>
  <c r="R172" i="6"/>
  <c r="G172" i="6"/>
  <c r="G121" i="6"/>
  <c r="R121" i="6"/>
  <c r="R118" i="6"/>
  <c r="S142" i="6"/>
  <c r="G144" i="6"/>
  <c r="R175" i="6"/>
  <c r="G146" i="6"/>
  <c r="G143" i="6"/>
  <c r="G145" i="6"/>
  <c r="G175" i="6"/>
  <c r="Q177" i="6"/>
  <c r="R152" i="6"/>
  <c r="T87" i="6"/>
  <c r="I87" i="6"/>
  <c r="R173" i="6"/>
  <c r="S132" i="6"/>
  <c r="G134" i="6"/>
  <c r="G136" i="6"/>
  <c r="G135" i="6"/>
  <c r="G133" i="6"/>
  <c r="G173" i="6"/>
  <c r="H98" i="6"/>
  <c r="I103" i="6" s="1"/>
  <c r="U103" i="6" s="1"/>
  <c r="S93" i="6"/>
  <c r="G95" i="6"/>
  <c r="G97" i="6"/>
  <c r="G94" i="6"/>
  <c r="G96" i="6"/>
  <c r="S108" i="6"/>
  <c r="G112" i="6"/>
  <c r="G110" i="6"/>
  <c r="G111" i="6"/>
  <c r="G109" i="6"/>
  <c r="G118" i="6"/>
  <c r="H93" i="6"/>
  <c r="H88" i="6"/>
  <c r="S88" i="6"/>
  <c r="G92" i="6"/>
  <c r="G91" i="6"/>
  <c r="G90" i="6"/>
  <c r="G89" i="6"/>
  <c r="H170" i="6"/>
  <c r="S170" i="6" s="1"/>
  <c r="I76" i="6"/>
  <c r="H142" i="6"/>
  <c r="G138" i="6"/>
  <c r="G139" i="6"/>
  <c r="G141" i="6"/>
  <c r="G140" i="6"/>
  <c r="R174" i="6"/>
  <c r="G174" i="6"/>
  <c r="H108" i="6"/>
  <c r="G107" i="6"/>
  <c r="G105" i="6"/>
  <c r="G104" i="6"/>
  <c r="G106" i="6"/>
  <c r="I137" i="6" l="1"/>
  <c r="U137" i="6" s="1"/>
  <c r="I77" i="6"/>
  <c r="I78" i="6"/>
  <c r="I80" i="6"/>
  <c r="I82" i="6"/>
  <c r="I79" i="6"/>
  <c r="I81" i="6"/>
  <c r="H83" i="6" a="1"/>
  <c r="H83" i="6" s="1"/>
  <c r="I113" i="6"/>
  <c r="T113" i="6"/>
  <c r="I147" i="6"/>
  <c r="T147" i="6"/>
  <c r="H121" i="6"/>
  <c r="S121" i="6"/>
  <c r="S118" i="6"/>
  <c r="J87" i="6"/>
  <c r="U87" i="6"/>
  <c r="S176" i="6"/>
  <c r="H151" i="6"/>
  <c r="H150" i="6"/>
  <c r="H149" i="6"/>
  <c r="H148" i="6"/>
  <c r="H176" i="6"/>
  <c r="H152" i="6"/>
  <c r="I127" i="6"/>
  <c r="I122" i="6"/>
  <c r="T122" i="6"/>
  <c r="H125" i="6"/>
  <c r="H124" i="6"/>
  <c r="S171" i="6"/>
  <c r="H126" i="6"/>
  <c r="H123" i="6"/>
  <c r="H171" i="6"/>
  <c r="T108" i="6"/>
  <c r="H112" i="6"/>
  <c r="H110" i="6"/>
  <c r="H111" i="6"/>
  <c r="H109" i="6"/>
  <c r="T142" i="6"/>
  <c r="H145" i="6"/>
  <c r="H144" i="6"/>
  <c r="H143" i="6"/>
  <c r="H146" i="6"/>
  <c r="S175" i="6"/>
  <c r="H175" i="6"/>
  <c r="S152" i="6"/>
  <c r="H118" i="6"/>
  <c r="T88" i="6"/>
  <c r="I93" i="6"/>
  <c r="H92" i="6"/>
  <c r="I88" i="6"/>
  <c r="H91" i="6"/>
  <c r="H89" i="6"/>
  <c r="H90" i="6"/>
  <c r="H117" i="6"/>
  <c r="H116" i="6"/>
  <c r="H115" i="6"/>
  <c r="H114" i="6"/>
  <c r="H107" i="6"/>
  <c r="I108" i="6"/>
  <c r="H105" i="6"/>
  <c r="H104" i="6"/>
  <c r="H106" i="6"/>
  <c r="G177" i="6"/>
  <c r="T127" i="6"/>
  <c r="I132" i="6"/>
  <c r="H130" i="6"/>
  <c r="H129" i="6"/>
  <c r="H131" i="6"/>
  <c r="H128" i="6"/>
  <c r="S172" i="6"/>
  <c r="H172" i="6"/>
  <c r="T98" i="6"/>
  <c r="H102" i="6"/>
  <c r="H100" i="6"/>
  <c r="H99" i="6"/>
  <c r="H101" i="6"/>
  <c r="S173" i="6"/>
  <c r="T132" i="6"/>
  <c r="H136" i="6"/>
  <c r="H134" i="6"/>
  <c r="H135" i="6"/>
  <c r="H133" i="6"/>
  <c r="H173" i="6"/>
  <c r="R177" i="6"/>
  <c r="I170" i="6"/>
  <c r="T170" i="6" s="1"/>
  <c r="J76" i="6"/>
  <c r="I98" i="6"/>
  <c r="J103" i="6" s="1"/>
  <c r="V103" i="6" s="1"/>
  <c r="T93" i="6"/>
  <c r="H97" i="6"/>
  <c r="H96" i="6"/>
  <c r="H95" i="6"/>
  <c r="H94" i="6"/>
  <c r="I142" i="6"/>
  <c r="H139" i="6"/>
  <c r="H138" i="6"/>
  <c r="H141" i="6"/>
  <c r="S174" i="6"/>
  <c r="H140" i="6"/>
  <c r="H174" i="6"/>
  <c r="J137" i="6" l="1"/>
  <c r="V137" i="6" s="1"/>
  <c r="J79" i="6"/>
  <c r="J81" i="6"/>
  <c r="J77" i="6"/>
  <c r="J78" i="6"/>
  <c r="J80" i="6"/>
  <c r="J82" i="6"/>
  <c r="I83" i="6" a="1"/>
  <c r="I83" i="6" s="1"/>
  <c r="J147" i="6"/>
  <c r="U147" i="6"/>
  <c r="J113" i="6"/>
  <c r="U113" i="6"/>
  <c r="U142" i="6"/>
  <c r="I146" i="6"/>
  <c r="I145" i="6"/>
  <c r="I143" i="6"/>
  <c r="T175" i="6"/>
  <c r="I144" i="6"/>
  <c r="I175" i="6"/>
  <c r="J142" i="6"/>
  <c r="I138" i="6"/>
  <c r="I141" i="6"/>
  <c r="I139" i="6"/>
  <c r="I140" i="6"/>
  <c r="T174" i="6"/>
  <c r="I174" i="6"/>
  <c r="T118" i="6"/>
  <c r="S177" i="6"/>
  <c r="I152" i="6"/>
  <c r="U122" i="6"/>
  <c r="I126" i="6"/>
  <c r="J127" i="6"/>
  <c r="J122" i="6"/>
  <c r="I125" i="6"/>
  <c r="I124" i="6"/>
  <c r="I123" i="6"/>
  <c r="T171" i="6"/>
  <c r="I171" i="6"/>
  <c r="J170" i="6"/>
  <c r="U170" i="6" s="1"/>
  <c r="K76" i="6"/>
  <c r="I118" i="6"/>
  <c r="J93" i="6"/>
  <c r="J88" i="6"/>
  <c r="I89" i="6"/>
  <c r="U88" i="6"/>
  <c r="I91" i="6"/>
  <c r="I90" i="6"/>
  <c r="I92" i="6"/>
  <c r="H177" i="6"/>
  <c r="J132" i="6"/>
  <c r="U127" i="6"/>
  <c r="I131" i="6"/>
  <c r="I128" i="6"/>
  <c r="I129" i="6"/>
  <c r="T172" i="6"/>
  <c r="I130" i="6"/>
  <c r="I172" i="6"/>
  <c r="T173" i="6"/>
  <c r="I133" i="6"/>
  <c r="U132" i="6"/>
  <c r="I135" i="6"/>
  <c r="I134" i="6"/>
  <c r="I136" i="6"/>
  <c r="I173" i="6"/>
  <c r="U98" i="6"/>
  <c r="I99" i="6"/>
  <c r="I101" i="6"/>
  <c r="I102" i="6"/>
  <c r="I100" i="6"/>
  <c r="I112" i="6"/>
  <c r="U108" i="6"/>
  <c r="I109" i="6"/>
  <c r="I111" i="6"/>
  <c r="I110" i="6"/>
  <c r="T176" i="6"/>
  <c r="I148" i="6"/>
  <c r="I149" i="6"/>
  <c r="I150" i="6"/>
  <c r="I151" i="6"/>
  <c r="I176" i="6"/>
  <c r="I117" i="6"/>
  <c r="I114" i="6"/>
  <c r="I115" i="6"/>
  <c r="I116" i="6"/>
  <c r="J108" i="6"/>
  <c r="I104" i="6"/>
  <c r="I107" i="6"/>
  <c r="I106" i="6"/>
  <c r="I105" i="6"/>
  <c r="J98" i="6"/>
  <c r="K103" i="6" s="1"/>
  <c r="W103" i="6" s="1"/>
  <c r="I94" i="6"/>
  <c r="U93" i="6"/>
  <c r="I97" i="6"/>
  <c r="I96" i="6"/>
  <c r="I95" i="6"/>
  <c r="T152" i="6"/>
  <c r="K87" i="6"/>
  <c r="V87" i="6"/>
  <c r="I121" i="6"/>
  <c r="T121" i="6"/>
  <c r="K137" i="6" l="1"/>
  <c r="W137" i="6" s="1"/>
  <c r="J83" i="6" a="1"/>
  <c r="J83" i="6" s="1"/>
  <c r="K79" i="6"/>
  <c r="K81" i="6"/>
  <c r="K77" i="6"/>
  <c r="K78" i="6"/>
  <c r="K80" i="6"/>
  <c r="K82" i="6"/>
  <c r="K113" i="6"/>
  <c r="V113" i="6"/>
  <c r="K147" i="6"/>
  <c r="V147" i="6"/>
  <c r="U152" i="6"/>
  <c r="U121" i="6"/>
  <c r="J121" i="6"/>
  <c r="K142" i="6"/>
  <c r="J139" i="6"/>
  <c r="J141" i="6"/>
  <c r="U174" i="6"/>
  <c r="J140" i="6"/>
  <c r="J138" i="6"/>
  <c r="J174" i="6"/>
  <c r="J118" i="6"/>
  <c r="K93" i="6"/>
  <c r="K88" i="6"/>
  <c r="V88" i="6"/>
  <c r="J90" i="6"/>
  <c r="J89" i="6"/>
  <c r="J91" i="6"/>
  <c r="J92" i="6"/>
  <c r="T177" i="6"/>
  <c r="J152" i="6"/>
  <c r="K127" i="6"/>
  <c r="K122" i="6"/>
  <c r="J123" i="6"/>
  <c r="V122" i="6"/>
  <c r="J124" i="6"/>
  <c r="J125" i="6"/>
  <c r="J126" i="6"/>
  <c r="U171" i="6"/>
  <c r="J171" i="6"/>
  <c r="U176" i="6"/>
  <c r="J148" i="6"/>
  <c r="J151" i="6"/>
  <c r="J149" i="6"/>
  <c r="J150" i="6"/>
  <c r="J176" i="6"/>
  <c r="J114" i="6"/>
  <c r="J115" i="6"/>
  <c r="J116" i="6"/>
  <c r="J117" i="6"/>
  <c r="J99" i="6"/>
  <c r="J100" i="6"/>
  <c r="V98" i="6"/>
  <c r="J101" i="6"/>
  <c r="J102" i="6"/>
  <c r="K108" i="6"/>
  <c r="J104" i="6"/>
  <c r="J105" i="6"/>
  <c r="J106" i="6"/>
  <c r="J107" i="6"/>
  <c r="U173" i="6"/>
  <c r="V132" i="6"/>
  <c r="J134" i="6"/>
  <c r="J135" i="6"/>
  <c r="J136" i="6"/>
  <c r="J133" i="6"/>
  <c r="J173" i="6"/>
  <c r="K98" i="6"/>
  <c r="L103" i="6" s="1"/>
  <c r="X103" i="6" s="1"/>
  <c r="V93" i="6"/>
  <c r="J95" i="6"/>
  <c r="J96" i="6"/>
  <c r="J97" i="6"/>
  <c r="J94" i="6"/>
  <c r="K170" i="6"/>
  <c r="V170" i="6" s="1"/>
  <c r="L76" i="6"/>
  <c r="K132" i="6"/>
  <c r="V127" i="6"/>
  <c r="J129" i="6"/>
  <c r="J130" i="6"/>
  <c r="J128" i="6"/>
  <c r="J131" i="6"/>
  <c r="U172" i="6"/>
  <c r="J172" i="6"/>
  <c r="J109" i="6"/>
  <c r="V108" i="6"/>
  <c r="J110" i="6"/>
  <c r="J111" i="6"/>
  <c r="J112" i="6"/>
  <c r="I177" i="6"/>
  <c r="L87" i="6"/>
  <c r="W87" i="6"/>
  <c r="U118" i="6"/>
  <c r="J143" i="6"/>
  <c r="V142" i="6"/>
  <c r="J144" i="6"/>
  <c r="J146" i="6"/>
  <c r="J145" i="6"/>
  <c r="U175" i="6"/>
  <c r="J175" i="6"/>
  <c r="L137" i="6" l="1"/>
  <c r="X137" i="6" s="1"/>
  <c r="K83" i="6" a="1"/>
  <c r="K83" i="6" s="1"/>
  <c r="L78" i="6"/>
  <c r="L80" i="6"/>
  <c r="L82" i="6"/>
  <c r="L79" i="6"/>
  <c r="L81" i="6"/>
  <c r="L77" i="6"/>
  <c r="L147" i="6"/>
  <c r="W147" i="6"/>
  <c r="L113" i="6"/>
  <c r="W113" i="6"/>
  <c r="K152" i="6"/>
  <c r="L127" i="6"/>
  <c r="L122" i="6"/>
  <c r="W122" i="6"/>
  <c r="K125" i="6"/>
  <c r="K123" i="6"/>
  <c r="K124" i="6"/>
  <c r="V171" i="6"/>
  <c r="K126" i="6"/>
  <c r="K171" i="6"/>
  <c r="W142" i="6"/>
  <c r="K144" i="6"/>
  <c r="K145" i="6"/>
  <c r="V175" i="6"/>
  <c r="K146" i="6"/>
  <c r="K143" i="6"/>
  <c r="K175" i="6"/>
  <c r="J177" i="6"/>
  <c r="L132" i="6"/>
  <c r="W127" i="6"/>
  <c r="K131" i="6"/>
  <c r="V172" i="6"/>
  <c r="K130" i="6"/>
  <c r="K129" i="6"/>
  <c r="K128" i="6"/>
  <c r="K172" i="6"/>
  <c r="V118" i="6"/>
  <c r="K121" i="6"/>
  <c r="V121" i="6"/>
  <c r="V176" i="6"/>
  <c r="K149" i="6"/>
  <c r="K151" i="6"/>
  <c r="K148" i="6"/>
  <c r="K150" i="6"/>
  <c r="K176" i="6"/>
  <c r="L108" i="6"/>
  <c r="K107" i="6"/>
  <c r="K105" i="6"/>
  <c r="K104" i="6"/>
  <c r="K106" i="6"/>
  <c r="K116" i="6"/>
  <c r="K117" i="6"/>
  <c r="K114" i="6"/>
  <c r="K115" i="6"/>
  <c r="V173" i="6"/>
  <c r="W132" i="6"/>
  <c r="K135" i="6"/>
  <c r="K134" i="6"/>
  <c r="K133" i="6"/>
  <c r="K136" i="6"/>
  <c r="K173" i="6"/>
  <c r="W108" i="6"/>
  <c r="K112" i="6"/>
  <c r="K109" i="6"/>
  <c r="K111" i="6"/>
  <c r="K110" i="6"/>
  <c r="U177" i="6"/>
  <c r="V152" i="6"/>
  <c r="K118" i="6"/>
  <c r="L93" i="6"/>
  <c r="L88" i="6"/>
  <c r="W88" i="6"/>
  <c r="K91" i="6"/>
  <c r="K90" i="6"/>
  <c r="K92" i="6"/>
  <c r="K89" i="6"/>
  <c r="W98" i="6"/>
  <c r="K102" i="6"/>
  <c r="K99" i="6"/>
  <c r="K101" i="6"/>
  <c r="K100" i="6"/>
  <c r="X87" i="6"/>
  <c r="M87" i="6"/>
  <c r="Y87" i="6" s="1"/>
  <c r="L170" i="6"/>
  <c r="W170" i="6" s="1"/>
  <c r="M76" i="6"/>
  <c r="L142" i="6"/>
  <c r="K139" i="6"/>
  <c r="K140" i="6"/>
  <c r="K138" i="6"/>
  <c r="K141" i="6"/>
  <c r="V174" i="6"/>
  <c r="K174" i="6"/>
  <c r="L98" i="6"/>
  <c r="M103" i="6" s="1"/>
  <c r="Y103" i="6" s="1"/>
  <c r="W93" i="6"/>
  <c r="K95" i="6"/>
  <c r="K96" i="6"/>
  <c r="K94" i="6"/>
  <c r="K97" i="6"/>
  <c r="M137" i="6" l="1"/>
  <c r="Y137" i="6" s="1"/>
  <c r="L83" i="6" a="1"/>
  <c r="L83" i="6" s="1"/>
  <c r="M77" i="6"/>
  <c r="M78" i="6"/>
  <c r="M80" i="6"/>
  <c r="M82" i="6"/>
  <c r="M79" i="6"/>
  <c r="M81" i="6"/>
  <c r="M113" i="6"/>
  <c r="Y113" i="6" s="1"/>
  <c r="X113" i="6"/>
  <c r="M147" i="6"/>
  <c r="Y147" i="6" s="1"/>
  <c r="X147" i="6"/>
  <c r="V177" i="6"/>
  <c r="W118" i="6"/>
  <c r="W173" i="6"/>
  <c r="X132" i="6"/>
  <c r="L136" i="6"/>
  <c r="L135" i="6"/>
  <c r="L133" i="6"/>
  <c r="L134" i="6"/>
  <c r="L173" i="6"/>
  <c r="L118" i="6"/>
  <c r="X88" i="6"/>
  <c r="M93" i="6"/>
  <c r="L92" i="6"/>
  <c r="M88" i="6"/>
  <c r="L89" i="6"/>
  <c r="L90" i="6"/>
  <c r="L91" i="6"/>
  <c r="W176" i="6"/>
  <c r="L150" i="6"/>
  <c r="L148" i="6"/>
  <c r="L149" i="6"/>
  <c r="L151" i="6"/>
  <c r="L176" i="6"/>
  <c r="M127" i="6"/>
  <c r="M122" i="6"/>
  <c r="X122" i="6"/>
  <c r="L152" i="6"/>
  <c r="L125" i="6"/>
  <c r="L126" i="6"/>
  <c r="L124" i="6"/>
  <c r="W171" i="6"/>
  <c r="L123" i="6"/>
  <c r="L171" i="6"/>
  <c r="W152" i="6"/>
  <c r="M170" i="6"/>
  <c r="X170" i="6" s="1"/>
  <c r="X93" i="6"/>
  <c r="M98" i="6"/>
  <c r="L97" i="6"/>
  <c r="L94" i="6"/>
  <c r="L96" i="6"/>
  <c r="L95" i="6"/>
  <c r="M142" i="6"/>
  <c r="L139" i="6"/>
  <c r="L138" i="6"/>
  <c r="W174" i="6"/>
  <c r="L141" i="6"/>
  <c r="L140" i="6"/>
  <c r="L174" i="6"/>
  <c r="X108" i="6"/>
  <c r="L112" i="6"/>
  <c r="L109" i="6"/>
  <c r="L111" i="6"/>
  <c r="L110" i="6"/>
  <c r="K177" i="6"/>
  <c r="X127" i="6"/>
  <c r="M132" i="6"/>
  <c r="L130" i="6"/>
  <c r="L128" i="6"/>
  <c r="L129" i="6"/>
  <c r="W172" i="6"/>
  <c r="L131" i="6"/>
  <c r="L172" i="6"/>
  <c r="X98" i="6"/>
  <c r="L102" i="6"/>
  <c r="L101" i="6"/>
  <c r="L99" i="6"/>
  <c r="L100" i="6"/>
  <c r="X142" i="6"/>
  <c r="L145" i="6"/>
  <c r="L146" i="6"/>
  <c r="L144" i="6"/>
  <c r="L143" i="6"/>
  <c r="W175" i="6"/>
  <c r="L175" i="6"/>
  <c r="L107" i="6"/>
  <c r="M108" i="6"/>
  <c r="L106" i="6"/>
  <c r="L104" i="6"/>
  <c r="L105" i="6"/>
  <c r="L117" i="6"/>
  <c r="L115" i="6"/>
  <c r="L114" i="6"/>
  <c r="L116" i="6"/>
  <c r="L121" i="6"/>
  <c r="W121" i="6"/>
  <c r="M83" i="6" l="1" a="1"/>
  <c r="M83" i="6" s="1"/>
  <c r="M121" i="6"/>
  <c r="Y121" i="6" s="1"/>
  <c r="X121" i="6"/>
  <c r="M112" i="6"/>
  <c r="N108" i="6"/>
  <c r="M109" i="6"/>
  <c r="Y108" i="6"/>
  <c r="M111" i="6"/>
  <c r="M110" i="6"/>
  <c r="Y98" i="6"/>
  <c r="N98" i="6"/>
  <c r="M99" i="6"/>
  <c r="M102" i="6"/>
  <c r="M100" i="6"/>
  <c r="M101" i="6"/>
  <c r="W177" i="6"/>
  <c r="N93" i="6"/>
  <c r="M94" i="6"/>
  <c r="Y93" i="6"/>
  <c r="M97" i="6"/>
  <c r="M96" i="6"/>
  <c r="M95" i="6"/>
  <c r="Y142" i="6"/>
  <c r="M146" i="6"/>
  <c r="N142" i="6"/>
  <c r="M144" i="6"/>
  <c r="M143" i="6"/>
  <c r="X175" i="6"/>
  <c r="Z175" i="6" s="1"/>
  <c r="M145" i="6"/>
  <c r="M175" i="6"/>
  <c r="N137" i="6"/>
  <c r="M139" i="6"/>
  <c r="M141" i="6"/>
  <c r="M140" i="6"/>
  <c r="X174" i="6"/>
  <c r="Z174" i="6" s="1"/>
  <c r="M138" i="6"/>
  <c r="M174" i="6"/>
  <c r="M117" i="6"/>
  <c r="N113" i="6"/>
  <c r="M114" i="6"/>
  <c r="M115" i="6"/>
  <c r="M116" i="6"/>
  <c r="X152" i="6"/>
  <c r="X118" i="6"/>
  <c r="X173" i="6"/>
  <c r="Z173" i="6" s="1"/>
  <c r="N132" i="6"/>
  <c r="M133" i="6"/>
  <c r="Y132" i="6"/>
  <c r="M134" i="6"/>
  <c r="M136" i="6"/>
  <c r="M135" i="6"/>
  <c r="M173" i="6"/>
  <c r="Y127" i="6"/>
  <c r="N127" i="6"/>
  <c r="M130" i="6"/>
  <c r="M128" i="6"/>
  <c r="M131" i="6"/>
  <c r="X172" i="6"/>
  <c r="Z172" i="6" s="1"/>
  <c r="M129" i="6"/>
  <c r="M172" i="6"/>
  <c r="X176" i="6"/>
  <c r="Z176" i="6" s="1"/>
  <c r="M148" i="6"/>
  <c r="N147" i="6"/>
  <c r="M151" i="6"/>
  <c r="M149" i="6"/>
  <c r="M150" i="6"/>
  <c r="M176" i="6"/>
  <c r="N103" i="6"/>
  <c r="M104" i="6"/>
  <c r="M105" i="6"/>
  <c r="M107" i="6"/>
  <c r="M106" i="6"/>
  <c r="L177" i="6"/>
  <c r="M152" i="6"/>
  <c r="C187" i="6" s="1"/>
  <c r="Y122" i="6"/>
  <c r="M126" i="6"/>
  <c r="N122" i="6"/>
  <c r="M124" i="6"/>
  <c r="M123" i="6"/>
  <c r="M125" i="6"/>
  <c r="X171" i="6"/>
  <c r="Z171" i="6" s="1"/>
  <c r="M171" i="6"/>
  <c r="M118" i="6"/>
  <c r="N88" i="6"/>
  <c r="M89" i="6"/>
  <c r="Y88" i="6"/>
  <c r="M90" i="6"/>
  <c r="M92" i="6"/>
  <c r="M91" i="6"/>
  <c r="Y171" i="6" l="1"/>
  <c r="AA171" i="6"/>
  <c r="AB171" i="6" s="1"/>
  <c r="M177" i="6"/>
  <c r="N118" i="6"/>
  <c r="X92" i="6"/>
  <c r="T92" i="6"/>
  <c r="P92" i="6"/>
  <c r="W92" i="6"/>
  <c r="S92" i="6"/>
  <c r="O92" i="6"/>
  <c r="V92" i="6"/>
  <c r="R92" i="6"/>
  <c r="Y92" i="6"/>
  <c r="U92" i="6"/>
  <c r="Q92" i="6"/>
  <c r="X125" i="6"/>
  <c r="T125" i="6"/>
  <c r="P125" i="6"/>
  <c r="W125" i="6"/>
  <c r="S125" i="6"/>
  <c r="O125" i="6"/>
  <c r="V125" i="6"/>
  <c r="R125" i="6"/>
  <c r="Q125" i="6"/>
  <c r="Y125" i="6"/>
  <c r="U125" i="6"/>
  <c r="Y126" i="6"/>
  <c r="U126" i="6"/>
  <c r="Q126" i="6"/>
  <c r="X126" i="6"/>
  <c r="T126" i="6"/>
  <c r="P126" i="6"/>
  <c r="W126" i="6"/>
  <c r="S126" i="6"/>
  <c r="O126" i="6"/>
  <c r="R126" i="6"/>
  <c r="V126" i="6"/>
  <c r="W130" i="6"/>
  <c r="S130" i="6"/>
  <c r="O130" i="6"/>
  <c r="V130" i="6"/>
  <c r="R130" i="6"/>
  <c r="Y130" i="6"/>
  <c r="U130" i="6"/>
  <c r="Q130" i="6"/>
  <c r="X130" i="6"/>
  <c r="T130" i="6"/>
  <c r="P130" i="6"/>
  <c r="Y133" i="6"/>
  <c r="U133" i="6"/>
  <c r="Q133" i="6"/>
  <c r="X133" i="6"/>
  <c r="T133" i="6"/>
  <c r="P133" i="6"/>
  <c r="W133" i="6"/>
  <c r="S133" i="6"/>
  <c r="O133" i="6"/>
  <c r="R133" i="6"/>
  <c r="V133" i="6"/>
  <c r="V138" i="6"/>
  <c r="R138" i="6"/>
  <c r="Y138" i="6"/>
  <c r="U138" i="6"/>
  <c r="Q138" i="6"/>
  <c r="X138" i="6"/>
  <c r="T138" i="6"/>
  <c r="P138" i="6"/>
  <c r="W138" i="6"/>
  <c r="S138" i="6"/>
  <c r="O138" i="6"/>
  <c r="W96" i="6"/>
  <c r="S96" i="6"/>
  <c r="O96" i="6"/>
  <c r="V96" i="6"/>
  <c r="R96" i="6"/>
  <c r="Y96" i="6"/>
  <c r="U96" i="6"/>
  <c r="Q96" i="6"/>
  <c r="X96" i="6"/>
  <c r="T96" i="6"/>
  <c r="P96" i="6"/>
  <c r="V90" i="6"/>
  <c r="R90" i="6"/>
  <c r="Y90" i="6"/>
  <c r="U90" i="6"/>
  <c r="Q90" i="6"/>
  <c r="X90" i="6"/>
  <c r="T90" i="6"/>
  <c r="P90" i="6"/>
  <c r="W90" i="6"/>
  <c r="S90" i="6"/>
  <c r="O90" i="6"/>
  <c r="V123" i="6"/>
  <c r="R123" i="6"/>
  <c r="Y123" i="6"/>
  <c r="U123" i="6"/>
  <c r="Q123" i="6"/>
  <c r="X123" i="6"/>
  <c r="T123" i="6"/>
  <c r="P123" i="6"/>
  <c r="W123" i="6"/>
  <c r="S123" i="6"/>
  <c r="O123" i="6"/>
  <c r="Y152" i="6"/>
  <c r="W106" i="6"/>
  <c r="S106" i="6"/>
  <c r="O106" i="6"/>
  <c r="V106" i="6"/>
  <c r="R106" i="6"/>
  <c r="Y106" i="6"/>
  <c r="U106" i="6"/>
  <c r="Q106" i="6"/>
  <c r="P106" i="6"/>
  <c r="X106" i="6"/>
  <c r="T106" i="6"/>
  <c r="Y104" i="6"/>
  <c r="U104" i="6"/>
  <c r="Q104" i="6"/>
  <c r="X104" i="6"/>
  <c r="T104" i="6"/>
  <c r="P104" i="6"/>
  <c r="W104" i="6"/>
  <c r="S104" i="6"/>
  <c r="O104" i="6"/>
  <c r="V104" i="6"/>
  <c r="R104" i="6"/>
  <c r="W149" i="6"/>
  <c r="S149" i="6"/>
  <c r="O149" i="6"/>
  <c r="V149" i="6"/>
  <c r="R149" i="6"/>
  <c r="Y149" i="6"/>
  <c r="U149" i="6"/>
  <c r="Q149" i="6"/>
  <c r="P149" i="6"/>
  <c r="X149" i="6"/>
  <c r="T149" i="6"/>
  <c r="V148" i="6"/>
  <c r="R148" i="6"/>
  <c r="Y148" i="6"/>
  <c r="U148" i="6"/>
  <c r="Q148" i="6"/>
  <c r="X148" i="6"/>
  <c r="T148" i="6"/>
  <c r="P148" i="6"/>
  <c r="W148" i="6"/>
  <c r="S148" i="6"/>
  <c r="O148" i="6"/>
  <c r="Y172" i="6"/>
  <c r="AA172" i="6"/>
  <c r="AB172" i="6" s="1"/>
  <c r="X136" i="6"/>
  <c r="T136" i="6"/>
  <c r="P136" i="6"/>
  <c r="W136" i="6"/>
  <c r="S136" i="6"/>
  <c r="O136" i="6"/>
  <c r="V136" i="6"/>
  <c r="R136" i="6"/>
  <c r="Y136" i="6"/>
  <c r="U136" i="6"/>
  <c r="Q136" i="6"/>
  <c r="W116" i="6"/>
  <c r="S116" i="6"/>
  <c r="O116" i="6"/>
  <c r="V116" i="6"/>
  <c r="R116" i="6"/>
  <c r="Y116" i="6"/>
  <c r="U116" i="6"/>
  <c r="Q116" i="6"/>
  <c r="P116" i="6"/>
  <c r="X116" i="6"/>
  <c r="T116" i="6"/>
  <c r="AA174" i="6"/>
  <c r="AB174" i="6" s="1"/>
  <c r="Y174" i="6"/>
  <c r="Y175" i="6"/>
  <c r="AA175" i="6"/>
  <c r="AB175" i="6" s="1"/>
  <c r="Y146" i="6"/>
  <c r="U146" i="6"/>
  <c r="Q146" i="6"/>
  <c r="X146" i="6"/>
  <c r="T146" i="6"/>
  <c r="P146" i="6"/>
  <c r="W146" i="6"/>
  <c r="S146" i="6"/>
  <c r="O146" i="6"/>
  <c r="R146" i="6"/>
  <c r="V146" i="6"/>
  <c r="X97" i="6"/>
  <c r="W97" i="6"/>
  <c r="T97" i="6"/>
  <c r="P97" i="6"/>
  <c r="Y97" i="6"/>
  <c r="S97" i="6"/>
  <c r="O97" i="6"/>
  <c r="V97" i="6"/>
  <c r="R97" i="6"/>
  <c r="U97" i="6"/>
  <c r="Q97" i="6"/>
  <c r="Y99" i="6"/>
  <c r="U99" i="6"/>
  <c r="Q99" i="6"/>
  <c r="X99" i="6"/>
  <c r="T99" i="6"/>
  <c r="P99" i="6"/>
  <c r="W99" i="6"/>
  <c r="S99" i="6"/>
  <c r="O99" i="6"/>
  <c r="V99" i="6"/>
  <c r="R99" i="6"/>
  <c r="W111" i="6"/>
  <c r="S111" i="6"/>
  <c r="O111" i="6"/>
  <c r="V111" i="6"/>
  <c r="R111" i="6"/>
  <c r="Y111" i="6"/>
  <c r="U111" i="6"/>
  <c r="Q111" i="6"/>
  <c r="P111" i="6"/>
  <c r="X111" i="6"/>
  <c r="T111" i="6"/>
  <c r="X112" i="6"/>
  <c r="T112" i="6"/>
  <c r="P112" i="6"/>
  <c r="W112" i="6"/>
  <c r="S112" i="6"/>
  <c r="O112" i="6"/>
  <c r="V112" i="6"/>
  <c r="R112" i="6"/>
  <c r="Q112" i="6"/>
  <c r="Y112" i="6"/>
  <c r="U112" i="6"/>
  <c r="W150" i="6"/>
  <c r="S150" i="6"/>
  <c r="U150" i="6"/>
  <c r="P150" i="6"/>
  <c r="Y150" i="6"/>
  <c r="T150" i="6"/>
  <c r="O150" i="6"/>
  <c r="X150" i="6"/>
  <c r="R150" i="6"/>
  <c r="Q150" i="6"/>
  <c r="V150" i="6"/>
  <c r="V129" i="6"/>
  <c r="R129" i="6"/>
  <c r="Y129" i="6"/>
  <c r="U129" i="6"/>
  <c r="Q129" i="6"/>
  <c r="X129" i="6"/>
  <c r="T129" i="6"/>
  <c r="P129" i="6"/>
  <c r="W129" i="6"/>
  <c r="S129" i="6"/>
  <c r="O129" i="6"/>
  <c r="W135" i="6"/>
  <c r="S135" i="6"/>
  <c r="O135" i="6"/>
  <c r="V135" i="6"/>
  <c r="R135" i="6"/>
  <c r="Y135" i="6"/>
  <c r="U135" i="6"/>
  <c r="Q135" i="6"/>
  <c r="X135" i="6"/>
  <c r="T135" i="6"/>
  <c r="P135" i="6"/>
  <c r="Y114" i="6"/>
  <c r="U114" i="6"/>
  <c r="Q114" i="6"/>
  <c r="X114" i="6"/>
  <c r="T114" i="6"/>
  <c r="P114" i="6"/>
  <c r="W114" i="6"/>
  <c r="S114" i="6"/>
  <c r="O114" i="6"/>
  <c r="V114" i="6"/>
  <c r="R114" i="6"/>
  <c r="X145" i="6"/>
  <c r="T145" i="6"/>
  <c r="P145" i="6"/>
  <c r="W145" i="6"/>
  <c r="S145" i="6"/>
  <c r="O145" i="6"/>
  <c r="V145" i="6"/>
  <c r="R145" i="6"/>
  <c r="Q145" i="6"/>
  <c r="Y145" i="6"/>
  <c r="U145" i="6"/>
  <c r="X102" i="6"/>
  <c r="T102" i="6"/>
  <c r="P102" i="6"/>
  <c r="W102" i="6"/>
  <c r="S102" i="6"/>
  <c r="O102" i="6"/>
  <c r="V102" i="6"/>
  <c r="R102" i="6"/>
  <c r="Q102" i="6"/>
  <c r="Y102" i="6"/>
  <c r="U102" i="6"/>
  <c r="Y118" i="6"/>
  <c r="W124" i="6"/>
  <c r="S124" i="6"/>
  <c r="O124" i="6"/>
  <c r="V124" i="6"/>
  <c r="R124" i="6"/>
  <c r="Y124" i="6"/>
  <c r="U124" i="6"/>
  <c r="Q124" i="6"/>
  <c r="P124" i="6"/>
  <c r="X124" i="6"/>
  <c r="T124" i="6"/>
  <c r="X107" i="6"/>
  <c r="T107" i="6"/>
  <c r="P107" i="6"/>
  <c r="W107" i="6"/>
  <c r="S107" i="6"/>
  <c r="O107" i="6"/>
  <c r="V107" i="6"/>
  <c r="R107" i="6"/>
  <c r="Q107" i="6"/>
  <c r="Y107" i="6"/>
  <c r="U107" i="6"/>
  <c r="X151" i="6"/>
  <c r="T151" i="6"/>
  <c r="P151" i="6"/>
  <c r="W151" i="6"/>
  <c r="R151" i="6"/>
  <c r="V151" i="6"/>
  <c r="Q151" i="6"/>
  <c r="U151" i="6"/>
  <c r="O151" i="6"/>
  <c r="Y151" i="6"/>
  <c r="S151" i="6"/>
  <c r="Y176" i="6"/>
  <c r="AA176" i="6"/>
  <c r="AB176" i="6" s="1"/>
  <c r="X131" i="6"/>
  <c r="T131" i="6"/>
  <c r="P131" i="6"/>
  <c r="W131" i="6"/>
  <c r="S131" i="6"/>
  <c r="O131" i="6"/>
  <c r="V131" i="6"/>
  <c r="R131" i="6"/>
  <c r="Y131" i="6"/>
  <c r="U131" i="6"/>
  <c r="Q131" i="6"/>
  <c r="V134" i="6"/>
  <c r="R134" i="6"/>
  <c r="Y134" i="6"/>
  <c r="U134" i="6"/>
  <c r="Q134" i="6"/>
  <c r="X134" i="6"/>
  <c r="T134" i="6"/>
  <c r="P134" i="6"/>
  <c r="W134" i="6"/>
  <c r="S134" i="6"/>
  <c r="O134" i="6"/>
  <c r="AA173" i="6"/>
  <c r="AB173" i="6" s="1"/>
  <c r="Y173" i="6"/>
  <c r="V115" i="6"/>
  <c r="R115" i="6"/>
  <c r="Y115" i="6"/>
  <c r="U115" i="6"/>
  <c r="Q115" i="6"/>
  <c r="X115" i="6"/>
  <c r="T115" i="6"/>
  <c r="P115" i="6"/>
  <c r="W115" i="6"/>
  <c r="S115" i="6"/>
  <c r="O115" i="6"/>
  <c r="X117" i="6"/>
  <c r="T117" i="6"/>
  <c r="P117" i="6"/>
  <c r="W117" i="6"/>
  <c r="S117" i="6"/>
  <c r="O117" i="6"/>
  <c r="V117" i="6"/>
  <c r="R117" i="6"/>
  <c r="Q117" i="6"/>
  <c r="Y117" i="6"/>
  <c r="U117" i="6"/>
  <c r="X140" i="6"/>
  <c r="T140" i="6"/>
  <c r="P140" i="6"/>
  <c r="W140" i="6"/>
  <c r="S140" i="6"/>
  <c r="O140" i="6"/>
  <c r="V140" i="6"/>
  <c r="R140" i="6"/>
  <c r="Q140" i="6"/>
  <c r="Y140" i="6"/>
  <c r="U140" i="6"/>
  <c r="V143" i="6"/>
  <c r="R143" i="6"/>
  <c r="Y143" i="6"/>
  <c r="U143" i="6"/>
  <c r="Q143" i="6"/>
  <c r="X143" i="6"/>
  <c r="T143" i="6"/>
  <c r="P143" i="6"/>
  <c r="W143" i="6"/>
  <c r="S143" i="6"/>
  <c r="O143" i="6"/>
  <c r="W101" i="6"/>
  <c r="S101" i="6"/>
  <c r="O101" i="6"/>
  <c r="V101" i="6"/>
  <c r="R101" i="6"/>
  <c r="Y101" i="6"/>
  <c r="U101" i="6"/>
  <c r="Q101" i="6"/>
  <c r="P101" i="6"/>
  <c r="X101" i="6"/>
  <c r="T101" i="6"/>
  <c r="W139" i="6"/>
  <c r="S139" i="6"/>
  <c r="O139" i="6"/>
  <c r="V139" i="6"/>
  <c r="R139" i="6"/>
  <c r="Y139" i="6"/>
  <c r="U139" i="6"/>
  <c r="Q139" i="6"/>
  <c r="P139" i="6"/>
  <c r="X139" i="6"/>
  <c r="T139" i="6"/>
  <c r="V110" i="6"/>
  <c r="R110" i="6"/>
  <c r="Y110" i="6"/>
  <c r="U110" i="6"/>
  <c r="Q110" i="6"/>
  <c r="X110" i="6"/>
  <c r="T110" i="6"/>
  <c r="P110" i="6"/>
  <c r="W110" i="6"/>
  <c r="S110" i="6"/>
  <c r="O110" i="6"/>
  <c r="W91" i="6"/>
  <c r="S91" i="6"/>
  <c r="O91" i="6"/>
  <c r="V91" i="6"/>
  <c r="R91" i="6"/>
  <c r="Y91" i="6"/>
  <c r="U91" i="6"/>
  <c r="Q91" i="6"/>
  <c r="X91" i="6"/>
  <c r="T91" i="6"/>
  <c r="P91" i="6"/>
  <c r="Y89" i="6"/>
  <c r="U89" i="6"/>
  <c r="Q89" i="6"/>
  <c r="X89" i="6"/>
  <c r="T89" i="6"/>
  <c r="P89" i="6"/>
  <c r="W89" i="6"/>
  <c r="S89" i="6"/>
  <c r="O89" i="6"/>
  <c r="V89" i="6"/>
  <c r="R89" i="6"/>
  <c r="N152" i="6"/>
  <c r="V105" i="6"/>
  <c r="R105" i="6"/>
  <c r="Y105" i="6"/>
  <c r="U105" i="6"/>
  <c r="Q105" i="6"/>
  <c r="X105" i="6"/>
  <c r="T105" i="6"/>
  <c r="P105" i="6"/>
  <c r="W105" i="6"/>
  <c r="S105" i="6"/>
  <c r="O105" i="6"/>
  <c r="Y128" i="6"/>
  <c r="U128" i="6"/>
  <c r="Q128" i="6"/>
  <c r="X128" i="6"/>
  <c r="T128" i="6"/>
  <c r="P128" i="6"/>
  <c r="W128" i="6"/>
  <c r="S128" i="6"/>
  <c r="O128" i="6"/>
  <c r="R128" i="6"/>
  <c r="V128" i="6"/>
  <c r="Y141" i="6"/>
  <c r="U141" i="6"/>
  <c r="Q141" i="6"/>
  <c r="X141" i="6"/>
  <c r="T141" i="6"/>
  <c r="P141" i="6"/>
  <c r="W141" i="6"/>
  <c r="S141" i="6"/>
  <c r="O141" i="6"/>
  <c r="R141" i="6"/>
  <c r="V141" i="6"/>
  <c r="W144" i="6"/>
  <c r="S144" i="6"/>
  <c r="O144" i="6"/>
  <c r="V144" i="6"/>
  <c r="R144" i="6"/>
  <c r="Y144" i="6"/>
  <c r="U144" i="6"/>
  <c r="Q144" i="6"/>
  <c r="P144" i="6"/>
  <c r="X144" i="6"/>
  <c r="T144" i="6"/>
  <c r="V95" i="6"/>
  <c r="R95" i="6"/>
  <c r="Y95" i="6"/>
  <c r="U95" i="6"/>
  <c r="Q95" i="6"/>
  <c r="X95" i="6"/>
  <c r="T95" i="6"/>
  <c r="P95" i="6"/>
  <c r="W95" i="6"/>
  <c r="S95" i="6"/>
  <c r="O95" i="6"/>
  <c r="Y94" i="6"/>
  <c r="U94" i="6"/>
  <c r="Q94" i="6"/>
  <c r="X94" i="6"/>
  <c r="T94" i="6"/>
  <c r="P94" i="6"/>
  <c r="W94" i="6"/>
  <c r="S94" i="6"/>
  <c r="O94" i="6"/>
  <c r="V94" i="6"/>
  <c r="R94" i="6"/>
  <c r="V100" i="6"/>
  <c r="R100" i="6"/>
  <c r="Y100" i="6"/>
  <c r="U100" i="6"/>
  <c r="Q100" i="6"/>
  <c r="X100" i="6"/>
  <c r="T100" i="6"/>
  <c r="P100" i="6"/>
  <c r="W100" i="6"/>
  <c r="S100" i="6"/>
  <c r="O100" i="6"/>
  <c r="Y109" i="6"/>
  <c r="U109" i="6"/>
  <c r="Q109" i="6"/>
  <c r="X109" i="6"/>
  <c r="T109" i="6"/>
  <c r="P109" i="6"/>
  <c r="W109" i="6"/>
  <c r="S109" i="6"/>
  <c r="O109" i="6"/>
  <c r="V109" i="6"/>
  <c r="R109" i="6"/>
  <c r="AC172" i="6" l="1"/>
  <c r="AD172" i="6" s="1"/>
  <c r="AC175" i="6"/>
  <c r="AD175" i="6" s="1"/>
  <c r="AC176" i="6"/>
  <c r="AD176" i="6" s="1"/>
  <c r="AC174" i="6"/>
  <c r="AD174" i="6" s="1"/>
  <c r="X177" i="6"/>
  <c r="AC171" i="6"/>
  <c r="AD171" i="6" s="1"/>
  <c r="AC173" i="6"/>
  <c r="AD173" i="6" s="1"/>
  <c r="AA177" i="6"/>
  <c r="C185" i="6" s="1"/>
  <c r="AB177" i="6"/>
  <c r="C186" i="6" s="1"/>
  <c r="AD177" i="6" l="1"/>
  <c r="F780" i="8" l="1"/>
  <c r="F779" i="8"/>
  <c r="F776" i="8"/>
  <c r="F762" i="8"/>
  <c r="M84" i="9"/>
  <c r="P66" i="9" s="1"/>
  <c r="L84" i="9"/>
  <c r="O66" i="9" s="1"/>
  <c r="J84" i="9"/>
  <c r="M66" i="9" s="1"/>
  <c r="I84" i="9"/>
  <c r="L66" i="9" s="1"/>
  <c r="H84" i="9"/>
  <c r="K66" i="9" s="1"/>
  <c r="F84" i="9"/>
  <c r="I66" i="9" s="1"/>
  <c r="E84" i="9"/>
  <c r="H66" i="9" s="1"/>
  <c r="D84" i="9"/>
  <c r="G66" i="9" s="1"/>
  <c r="N82" i="9"/>
  <c r="E76" i="9"/>
  <c r="F74" i="9"/>
  <c r="G72" i="9"/>
  <c r="G71" i="9"/>
  <c r="F70" i="9"/>
  <c r="G68" i="9"/>
  <c r="G67" i="9"/>
  <c r="F65" i="9"/>
  <c r="P57" i="9"/>
  <c r="P56" i="9" s="1"/>
  <c r="O57" i="9"/>
  <c r="O56" i="9" s="1"/>
  <c r="N57" i="9"/>
  <c r="N56" i="9" s="1"/>
  <c r="M57" i="9"/>
  <c r="M56" i="9" s="1"/>
  <c r="L57" i="9"/>
  <c r="L56" i="9" s="1"/>
  <c r="K57" i="9"/>
  <c r="K56" i="9" s="1"/>
  <c r="J57" i="9"/>
  <c r="I57" i="9"/>
  <c r="I56" i="9" s="1"/>
  <c r="H57" i="9"/>
  <c r="H56" i="9" s="1"/>
  <c r="G57" i="9"/>
  <c r="G56" i="9" s="1"/>
  <c r="J56" i="9"/>
  <c r="G55" i="9"/>
  <c r="H55" i="9" s="1"/>
  <c r="I55" i="9" s="1"/>
  <c r="J55" i="9" s="1"/>
  <c r="K55" i="9" s="1"/>
  <c r="L55" i="9" s="1"/>
  <c r="M55" i="9" s="1"/>
  <c r="N55" i="9" s="1"/>
  <c r="O55" i="9" s="1"/>
  <c r="P55" i="9" s="1"/>
  <c r="F39" i="9"/>
  <c r="G39" i="9" s="1"/>
  <c r="F38" i="9"/>
  <c r="G38" i="9" s="1"/>
  <c r="F37" i="9"/>
  <c r="G37" i="9" s="1"/>
  <c r="G36" i="9"/>
  <c r="F36" i="9"/>
  <c r="N33" i="9"/>
  <c r="P18" i="9" s="1"/>
  <c r="M33" i="9"/>
  <c r="O18" i="9" s="1"/>
  <c r="K33" i="9"/>
  <c r="M18" i="9" s="1"/>
  <c r="J33" i="9"/>
  <c r="L18" i="9" s="1"/>
  <c r="I33" i="9"/>
  <c r="K18" i="9" s="1"/>
  <c r="G33" i="9"/>
  <c r="I18" i="9" s="1"/>
  <c r="F33" i="9"/>
  <c r="E33" i="9"/>
  <c r="G18" i="9" s="1"/>
  <c r="F24" i="9"/>
  <c r="F20" i="9"/>
  <c r="F18" i="9"/>
  <c r="F15" i="9"/>
  <c r="T12" i="9"/>
  <c r="P7" i="9"/>
  <c r="P6" i="9" s="1"/>
  <c r="O7" i="9"/>
  <c r="O6" i="9" s="1"/>
  <c r="N7" i="9"/>
  <c r="N6" i="9" s="1"/>
  <c r="M7" i="9"/>
  <c r="M6" i="9" s="1"/>
  <c r="L7" i="9"/>
  <c r="L6" i="9" s="1"/>
  <c r="K7" i="9"/>
  <c r="K6" i="9" s="1"/>
  <c r="J7" i="9"/>
  <c r="J6" i="9" s="1"/>
  <c r="I7" i="9"/>
  <c r="I6" i="9" s="1"/>
  <c r="H7" i="9"/>
  <c r="H6" i="9" s="1"/>
  <c r="G7" i="9"/>
  <c r="G6" i="9" s="1"/>
  <c r="G5" i="9"/>
  <c r="G24" i="9" s="1"/>
  <c r="AF422" i="8"/>
  <c r="AF418" i="8"/>
  <c r="AF417" i="8"/>
  <c r="AF416" i="8"/>
  <c r="AF415" i="8"/>
  <c r="AF414" i="8"/>
  <c r="N68" i="9" l="1"/>
  <c r="J68" i="9"/>
  <c r="M68" i="9"/>
  <c r="I68" i="9"/>
  <c r="P68" i="9"/>
  <c r="L68" i="9"/>
  <c r="H68" i="9"/>
  <c r="O68" i="9"/>
  <c r="K68" i="9"/>
  <c r="G74" i="9"/>
  <c r="G65" i="9"/>
  <c r="G69" i="9" s="1"/>
  <c r="G70" i="9"/>
  <c r="H5" i="9"/>
  <c r="H74" i="9" s="1"/>
  <c r="H18" i="9"/>
  <c r="Q68" i="9" l="1"/>
  <c r="G73" i="9"/>
  <c r="G75" i="9" s="1"/>
  <c r="H24" i="9"/>
  <c r="I5" i="9"/>
  <c r="I74" i="9" s="1"/>
  <c r="I24" i="9" l="1"/>
  <c r="J5" i="9"/>
  <c r="J74" i="9" s="1"/>
  <c r="K5" i="9" l="1"/>
  <c r="K74" i="9" s="1"/>
  <c r="J24" i="9"/>
  <c r="L991" i="8"/>
  <c r="Q978" i="8"/>
  <c r="M978" i="8"/>
  <c r="M980" i="8" s="1"/>
  <c r="F974" i="8"/>
  <c r="F972" i="8"/>
  <c r="F967" i="8"/>
  <c r="F971" i="8" s="1"/>
  <c r="F968" i="8"/>
  <c r="F969" i="8"/>
  <c r="F970" i="8"/>
  <c r="F966" i="8"/>
  <c r="D940" i="8"/>
  <c r="D911" i="8"/>
  <c r="E911" i="8" s="1"/>
  <c r="AD846" i="8"/>
  <c r="AE846" i="8" s="1"/>
  <c r="AB846" i="8"/>
  <c r="AC846" i="8" s="1"/>
  <c r="Z846" i="8"/>
  <c r="AA846" i="8" s="1"/>
  <c r="AE845" i="8"/>
  <c r="AC845" i="8"/>
  <c r="AA845" i="8"/>
  <c r="AE844" i="8"/>
  <c r="AC844" i="8"/>
  <c r="AA844" i="8"/>
  <c r="AE843" i="8"/>
  <c r="AC843" i="8"/>
  <c r="AA843" i="8"/>
  <c r="AE842" i="8"/>
  <c r="AC842" i="8"/>
  <c r="AA842" i="8"/>
  <c r="AE839" i="8"/>
  <c r="AC839" i="8"/>
  <c r="AA839" i="8"/>
  <c r="Q838" i="8"/>
  <c r="R838" i="8" s="1"/>
  <c r="S838" i="8" s="1"/>
  <c r="T838" i="8" s="1"/>
  <c r="U838" i="8" s="1"/>
  <c r="V838" i="8" s="1"/>
  <c r="W838" i="8" s="1"/>
  <c r="X838" i="8" s="1"/>
  <c r="Y838" i="8" s="1"/>
  <c r="AE837" i="8"/>
  <c r="AC837" i="8"/>
  <c r="AA837" i="8"/>
  <c r="AE836" i="8"/>
  <c r="AC836" i="8"/>
  <c r="AA836" i="8"/>
  <c r="AE835" i="8"/>
  <c r="AC835" i="8"/>
  <c r="AA835" i="8"/>
  <c r="AE834" i="8"/>
  <c r="AC834" i="8"/>
  <c r="AA834" i="8"/>
  <c r="Y826" i="8"/>
  <c r="T826" i="8" s="1"/>
  <c r="L842" i="8"/>
  <c r="L844" i="8" s="1"/>
  <c r="E843" i="8" s="1"/>
  <c r="K844" i="8"/>
  <c r="E848" i="8" s="1"/>
  <c r="D1005" i="8"/>
  <c r="D999" i="8"/>
  <c r="D1000" i="8" s="1"/>
  <c r="M991" i="8"/>
  <c r="G991" i="8" s="1"/>
  <c r="R978" i="8"/>
  <c r="F977" i="8" s="1"/>
  <c r="H977" i="8" s="1"/>
  <c r="I977" i="8" s="1"/>
  <c r="H978" i="8"/>
  <c r="I978" i="8" s="1"/>
  <c r="C939" i="8"/>
  <c r="B891" i="8"/>
  <c r="B885" i="8"/>
  <c r="B883" i="8"/>
  <c r="B882" i="8"/>
  <c r="B881" i="8"/>
  <c r="B880" i="8"/>
  <c r="D871" i="8"/>
  <c r="B861" i="8"/>
  <c r="C864" i="8"/>
  <c r="D864" i="8" s="1"/>
  <c r="I826" i="8"/>
  <c r="I827" i="8" s="1"/>
  <c r="D832" i="8" s="1"/>
  <c r="D833" i="8" s="1"/>
  <c r="F756" i="8"/>
  <c r="F754" i="8"/>
  <c r="F753" i="8"/>
  <c r="F752" i="8"/>
  <c r="F751" i="8"/>
  <c r="F750" i="8"/>
  <c r="F749" i="8"/>
  <c r="F748" i="8"/>
  <c r="F747" i="8"/>
  <c r="F745" i="8"/>
  <c r="F744" i="8"/>
  <c r="F742" i="8"/>
  <c r="F741" i="8"/>
  <c r="F740" i="8"/>
  <c r="F727" i="8"/>
  <c r="G727" i="8" s="1"/>
  <c r="F725" i="8"/>
  <c r="E725" i="8"/>
  <c r="F724" i="8"/>
  <c r="E724" i="8"/>
  <c r="J723" i="8"/>
  <c r="K723" i="8" s="1"/>
  <c r="E723" i="8"/>
  <c r="G723" i="8" s="1"/>
  <c r="G720" i="8"/>
  <c r="G719" i="8"/>
  <c r="G717" i="8"/>
  <c r="G716" i="8"/>
  <c r="G715" i="8"/>
  <c r="G714" i="8"/>
  <c r="G713" i="8"/>
  <c r="G711" i="8"/>
  <c r="G710" i="8"/>
  <c r="G709" i="8"/>
  <c r="G708" i="8"/>
  <c r="G707" i="8"/>
  <c r="G705" i="8"/>
  <c r="G704" i="8"/>
  <c r="G702" i="8"/>
  <c r="G701" i="8"/>
  <c r="G700" i="8"/>
  <c r="G699" i="8"/>
  <c r="G697" i="8"/>
  <c r="G696" i="8"/>
  <c r="G695" i="8"/>
  <c r="G694" i="8"/>
  <c r="G693" i="8"/>
  <c r="G689" i="8"/>
  <c r="G688" i="8"/>
  <c r="G687" i="8"/>
  <c r="G684" i="8"/>
  <c r="H683" i="8" s="1"/>
  <c r="G682" i="8"/>
  <c r="H682" i="8" s="1"/>
  <c r="G680" i="8"/>
  <c r="G679" i="8"/>
  <c r="G678" i="8"/>
  <c r="G677" i="8"/>
  <c r="G676" i="8"/>
  <c r="G675" i="8"/>
  <c r="F660" i="8"/>
  <c r="F659" i="8"/>
  <c r="F658" i="8"/>
  <c r="F657" i="8"/>
  <c r="F655" i="8"/>
  <c r="F654" i="8"/>
  <c r="F653" i="8"/>
  <c r="F652" i="8"/>
  <c r="F651" i="8"/>
  <c r="F650" i="8"/>
  <c r="E649" i="8"/>
  <c r="F649" i="8" s="1"/>
  <c r="F648" i="8"/>
  <c r="F647" i="8"/>
  <c r="F644" i="8"/>
  <c r="F643" i="8"/>
  <c r="F642" i="8"/>
  <c r="F641" i="8"/>
  <c r="F638" i="8"/>
  <c r="F637" i="8"/>
  <c r="F636" i="8"/>
  <c r="F635" i="8"/>
  <c r="C621" i="8"/>
  <c r="C620" i="8"/>
  <c r="C619" i="8"/>
  <c r="C618" i="8"/>
  <c r="H601" i="8"/>
  <c r="H600" i="8"/>
  <c r="H599" i="8"/>
  <c r="H598" i="8"/>
  <c r="H597" i="8"/>
  <c r="H596" i="8"/>
  <c r="H595" i="8"/>
  <c r="H594" i="8"/>
  <c r="H593" i="8"/>
  <c r="H591" i="8"/>
  <c r="H590" i="8"/>
  <c r="H589" i="8"/>
  <c r="H588" i="8"/>
  <c r="H587" i="8"/>
  <c r="H584" i="8"/>
  <c r="I583" i="8" s="1"/>
  <c r="H582" i="8"/>
  <c r="H581" i="8"/>
  <c r="H580" i="8"/>
  <c r="H579" i="8"/>
  <c r="H577" i="8"/>
  <c r="H576" i="8"/>
  <c r="H575" i="8"/>
  <c r="H574" i="8"/>
  <c r="H573" i="8"/>
  <c r="H572" i="8"/>
  <c r="E559" i="8"/>
  <c r="G559" i="8" s="1"/>
  <c r="E558" i="8"/>
  <c r="G558" i="8" s="1"/>
  <c r="G557" i="8"/>
  <c r="G555" i="8"/>
  <c r="G554" i="8"/>
  <c r="G552" i="8"/>
  <c r="H551" i="8" s="1"/>
  <c r="G550" i="8"/>
  <c r="G549" i="8"/>
  <c r="G548" i="8"/>
  <c r="G546" i="8"/>
  <c r="G545" i="8"/>
  <c r="G544" i="8"/>
  <c r="G543" i="8"/>
  <c r="G533" i="8"/>
  <c r="H533" i="8" s="1"/>
  <c r="H532" i="8" s="1"/>
  <c r="G531" i="8"/>
  <c r="H531" i="8" s="1"/>
  <c r="G530" i="8"/>
  <c r="H530" i="8" s="1"/>
  <c r="G528" i="8"/>
  <c r="H528" i="8" s="1"/>
  <c r="H527" i="8" s="1"/>
  <c r="G526" i="8"/>
  <c r="H526" i="8" s="1"/>
  <c r="G525" i="8"/>
  <c r="H525" i="8" s="1"/>
  <c r="G524" i="8"/>
  <c r="H524" i="8" s="1"/>
  <c r="Y516" i="8"/>
  <c r="Y515" i="8"/>
  <c r="Y514" i="8"/>
  <c r="W513" i="8"/>
  <c r="AH422" i="8" s="1"/>
  <c r="Y512" i="8"/>
  <c r="Y511" i="8"/>
  <c r="W510" i="8"/>
  <c r="AH421" i="8" s="1"/>
  <c r="Y509" i="8"/>
  <c r="Y508" i="8"/>
  <c r="Y507" i="8"/>
  <c r="W506" i="8"/>
  <c r="AH420" i="8" s="1"/>
  <c r="Y505" i="8"/>
  <c r="Y504" i="8"/>
  <c r="Y503" i="8"/>
  <c r="Y502" i="8"/>
  <c r="Y501" i="8"/>
  <c r="Y500" i="8"/>
  <c r="Y499" i="8"/>
  <c r="Y498" i="8"/>
  <c r="Y497" i="8"/>
  <c r="Y496" i="8"/>
  <c r="Y495" i="8"/>
  <c r="W494" i="8"/>
  <c r="AH419" i="8" s="1"/>
  <c r="Y493" i="8"/>
  <c r="Y492" i="8"/>
  <c r="W491" i="8"/>
  <c r="AH418" i="8" s="1"/>
  <c r="Y490" i="8"/>
  <c r="Y489" i="8"/>
  <c r="Y488" i="8"/>
  <c r="Y487" i="8"/>
  <c r="Y486" i="8"/>
  <c r="Y485" i="8"/>
  <c r="Y484" i="8"/>
  <c r="Y483" i="8"/>
  <c r="Y482" i="8"/>
  <c r="W481" i="8"/>
  <c r="AH417" i="8" s="1"/>
  <c r="Y480" i="8"/>
  <c r="Y479" i="8"/>
  <c r="Y478" i="8"/>
  <c r="Y477" i="8"/>
  <c r="Y476" i="8"/>
  <c r="W475" i="8"/>
  <c r="AH416" i="8" s="1"/>
  <c r="Y474" i="8"/>
  <c r="Y473" i="8"/>
  <c r="Y472" i="8"/>
  <c r="Y471" i="8"/>
  <c r="Y470" i="8"/>
  <c r="Y469" i="8"/>
  <c r="Y468" i="8"/>
  <c r="Y467" i="8"/>
  <c r="W466" i="8"/>
  <c r="AH415" i="8" s="1"/>
  <c r="Y465" i="8"/>
  <c r="Y464" i="8"/>
  <c r="Y463" i="8"/>
  <c r="Y462" i="8"/>
  <c r="Y461" i="8"/>
  <c r="Y460" i="8"/>
  <c r="Y459" i="8"/>
  <c r="W458" i="8"/>
  <c r="AH414" i="8" s="1"/>
  <c r="Y457" i="8"/>
  <c r="Y456" i="8"/>
  <c r="Y455" i="8"/>
  <c r="Y454" i="8"/>
  <c r="Y453" i="8"/>
  <c r="Y452" i="8"/>
  <c r="Y451" i="8"/>
  <c r="Y450" i="8"/>
  <c r="Y449" i="8"/>
  <c r="Y448" i="8"/>
  <c r="Y447" i="8"/>
  <c r="Y446" i="8"/>
  <c r="Y445" i="8"/>
  <c r="Y444" i="8"/>
  <c r="Y443" i="8"/>
  <c r="Y442" i="8"/>
  <c r="W441" i="8"/>
  <c r="AH413" i="8" s="1"/>
  <c r="Y440" i="8"/>
  <c r="Y439" i="8"/>
  <c r="Y438" i="8"/>
  <c r="Y437" i="8"/>
  <c r="Y436" i="8"/>
  <c r="Y435" i="8"/>
  <c r="Y434" i="8"/>
  <c r="Y433" i="8"/>
  <c r="Y432" i="8"/>
  <c r="Y431" i="8"/>
  <c r="Y429" i="8"/>
  <c r="Y428" i="8" s="1"/>
  <c r="Y427" i="8"/>
  <c r="Y426" i="8"/>
  <c r="Y424" i="8"/>
  <c r="Y423" i="8" s="1"/>
  <c r="Y422" i="8"/>
  <c r="Y421" i="8" s="1"/>
  <c r="Y420" i="8"/>
  <c r="Y419" i="8" s="1"/>
  <c r="Y418" i="8"/>
  <c r="Y417" i="8"/>
  <c r="Y416" i="8"/>
  <c r="Y414" i="8"/>
  <c r="Y413" i="8"/>
  <c r="Y411" i="8"/>
  <c r="Y410" i="8"/>
  <c r="Y409" i="8"/>
  <c r="Y407" i="8"/>
  <c r="Y406" i="8"/>
  <c r="Y405" i="8"/>
  <c r="W403" i="8"/>
  <c r="AH412" i="8" s="1"/>
  <c r="D777" i="8"/>
  <c r="E776" i="8" s="1"/>
  <c r="G776" i="8" s="1"/>
  <c r="F60" i="9" s="1"/>
  <c r="D780" i="8"/>
  <c r="E780" i="8" s="1"/>
  <c r="G780" i="8" s="1"/>
  <c r="F64" i="9" s="1"/>
  <c r="E779" i="8"/>
  <c r="G779" i="8" s="1"/>
  <c r="F62" i="9" s="1"/>
  <c r="D763" i="8"/>
  <c r="E762" i="8" s="1"/>
  <c r="G762" i="8" s="1"/>
  <c r="F58" i="9" s="1"/>
  <c r="Y425" i="8" l="1"/>
  <c r="AH423" i="8"/>
  <c r="F911" i="8"/>
  <c r="G911" i="8" s="1"/>
  <c r="H911" i="8" s="1"/>
  <c r="I911" i="8" s="1"/>
  <c r="J911" i="8" s="1"/>
  <c r="K911" i="8" s="1"/>
  <c r="L911" i="8" s="1"/>
  <c r="M911" i="8" s="1"/>
  <c r="N911" i="8" s="1"/>
  <c r="N940" i="8" s="1"/>
  <c r="E940" i="8"/>
  <c r="F880" i="8"/>
  <c r="G966" i="8"/>
  <c r="H966" i="8" s="1"/>
  <c r="I966" i="8" s="1"/>
  <c r="F882" i="8"/>
  <c r="G972" i="8"/>
  <c r="Q62" i="9"/>
  <c r="Q64" i="9"/>
  <c r="F11" i="9"/>
  <c r="Q11" i="9" s="1"/>
  <c r="D771" i="8"/>
  <c r="E771" i="8" s="1"/>
  <c r="G771" i="8" s="1"/>
  <c r="F61" i="9" s="1"/>
  <c r="Q60" i="9"/>
  <c r="Q58" i="9"/>
  <c r="F12" i="9"/>
  <c r="Q12" i="9" s="1"/>
  <c r="F14" i="9"/>
  <c r="Q14" i="9" s="1"/>
  <c r="F10" i="9"/>
  <c r="Q10" i="9" s="1"/>
  <c r="AD404" i="8"/>
  <c r="H32" i="9" s="1"/>
  <c r="G83" i="9" s="1"/>
  <c r="F8" i="9"/>
  <c r="L5" i="9"/>
  <c r="L74" i="9" s="1"/>
  <c r="K24" i="9"/>
  <c r="N978" i="8"/>
  <c r="F976" i="8" s="1"/>
  <c r="H976" i="8" s="1"/>
  <c r="F746" i="8"/>
  <c r="F739" i="8"/>
  <c r="G940" i="8"/>
  <c r="H674" i="8"/>
  <c r="F656" i="8"/>
  <c r="Z506" i="8"/>
  <c r="M940" i="8"/>
  <c r="F940" i="8"/>
  <c r="K861" i="8"/>
  <c r="C866" i="8" s="1"/>
  <c r="E885" i="8" s="1"/>
  <c r="G885" i="8" s="1"/>
  <c r="H972" i="8"/>
  <c r="I972" i="8" s="1"/>
  <c r="I571" i="8"/>
  <c r="H686" i="8"/>
  <c r="H718" i="8"/>
  <c r="Z513" i="8"/>
  <c r="F843" i="8"/>
  <c r="G843" i="8" s="1"/>
  <c r="AC838" i="8"/>
  <c r="AA838" i="8"/>
  <c r="AE838" i="8"/>
  <c r="V826" i="8"/>
  <c r="V827" i="8" s="1"/>
  <c r="T827" i="8"/>
  <c r="P832" i="8" s="1"/>
  <c r="P833" i="8" s="1"/>
  <c r="AA826" i="8"/>
  <c r="Y849" i="8"/>
  <c r="AC826" i="8"/>
  <c r="AE826" i="8"/>
  <c r="G992" i="8"/>
  <c r="E1004" i="8" s="1"/>
  <c r="H991" i="8"/>
  <c r="H992" i="8" s="1"/>
  <c r="E1025" i="8" s="1"/>
  <c r="F991" i="8"/>
  <c r="Q980" i="8"/>
  <c r="L993" i="8"/>
  <c r="E844" i="8"/>
  <c r="E847" i="8"/>
  <c r="E845" i="8"/>
  <c r="E849" i="8"/>
  <c r="F849" i="8" s="1"/>
  <c r="G849" i="8" s="1"/>
  <c r="H712" i="8"/>
  <c r="I592" i="8"/>
  <c r="G827" i="8"/>
  <c r="C832" i="8" s="1"/>
  <c r="C833" i="8" s="1"/>
  <c r="I586" i="8"/>
  <c r="F640" i="8"/>
  <c r="H691" i="8"/>
  <c r="F728" i="8" s="1"/>
  <c r="G728" i="8" s="1"/>
  <c r="H726" i="8" s="1"/>
  <c r="G724" i="8"/>
  <c r="F848" i="8"/>
  <c r="G848" i="8" s="1"/>
  <c r="I578" i="8"/>
  <c r="F634" i="8"/>
  <c r="E646" i="8" s="1"/>
  <c r="F646" i="8" s="1"/>
  <c r="F645" i="8" s="1"/>
  <c r="H706" i="8"/>
  <c r="G725" i="8"/>
  <c r="F757" i="8"/>
  <c r="K864" i="8"/>
  <c r="C871" i="8"/>
  <c r="E891" i="8" s="1"/>
  <c r="F891" i="8" s="1"/>
  <c r="D873" i="8"/>
  <c r="C862" i="8"/>
  <c r="E846" i="8"/>
  <c r="C863" i="8"/>
  <c r="C861" i="8"/>
  <c r="E883" i="8"/>
  <c r="G673" i="8"/>
  <c r="Z491" i="8"/>
  <c r="H542" i="8"/>
  <c r="Z475" i="8"/>
  <c r="Z481" i="8"/>
  <c r="Z494" i="8"/>
  <c r="H529" i="8"/>
  <c r="Y412" i="8"/>
  <c r="Y430" i="8"/>
  <c r="Z510" i="8"/>
  <c r="H553" i="8"/>
  <c r="Y404" i="8"/>
  <c r="Y415" i="8"/>
  <c r="Z466" i="8"/>
  <c r="H547" i="8"/>
  <c r="Z458" i="8"/>
  <c r="Y408" i="8"/>
  <c r="H556" i="8"/>
  <c r="Z441" i="8"/>
  <c r="H523" i="8"/>
  <c r="D768" i="8"/>
  <c r="G768" i="8" s="1"/>
  <c r="D766" i="8"/>
  <c r="G766" i="8" s="1"/>
  <c r="D866" i="8" l="1"/>
  <c r="D868" i="8" s="1"/>
  <c r="K867" i="8"/>
  <c r="F847" i="8"/>
  <c r="G847" i="8" s="1"/>
  <c r="G970" i="8"/>
  <c r="H970" i="8" s="1"/>
  <c r="I970" i="8" s="1"/>
  <c r="AA513" i="8"/>
  <c r="AI422" i="8"/>
  <c r="AA475" i="8"/>
  <c r="AI416" i="8"/>
  <c r="F844" i="8"/>
  <c r="G844" i="8" s="1"/>
  <c r="G967" i="8"/>
  <c r="F883" i="8"/>
  <c r="G883" i="8" s="1"/>
  <c r="H883" i="8" s="1"/>
  <c r="G974" i="8"/>
  <c r="H974" i="8" s="1"/>
  <c r="I974" i="8" s="1"/>
  <c r="AA506" i="8"/>
  <c r="AI420" i="8"/>
  <c r="AA510" i="8"/>
  <c r="AI421" i="8"/>
  <c r="AA491" i="8"/>
  <c r="AI418" i="8"/>
  <c r="F846" i="8"/>
  <c r="G846" i="8" s="1"/>
  <c r="G969" i="8"/>
  <c r="H969" i="8" s="1"/>
  <c r="I969" i="8" s="1"/>
  <c r="F845" i="8"/>
  <c r="G845" i="8" s="1"/>
  <c r="G968" i="8"/>
  <c r="H968" i="8" s="1"/>
  <c r="I968" i="8" s="1"/>
  <c r="Q61" i="9"/>
  <c r="K83" i="9"/>
  <c r="K84" i="9" s="1"/>
  <c r="N66" i="9" s="1"/>
  <c r="G84" i="9"/>
  <c r="Q8" i="9"/>
  <c r="AA441" i="8"/>
  <c r="AI413" i="8"/>
  <c r="L32" i="9"/>
  <c r="O32" i="9" s="1"/>
  <c r="H33" i="9"/>
  <c r="AA481" i="8"/>
  <c r="AI417" i="8"/>
  <c r="AA458" i="8"/>
  <c r="AI414" i="8"/>
  <c r="AA466" i="8"/>
  <c r="AI415" i="8"/>
  <c r="AA494" i="8"/>
  <c r="AI419" i="8"/>
  <c r="M5" i="9"/>
  <c r="M74" i="9" s="1"/>
  <c r="L24" i="9"/>
  <c r="J940" i="8"/>
  <c r="L940" i="8"/>
  <c r="I940" i="8"/>
  <c r="K940" i="8"/>
  <c r="H940" i="8"/>
  <c r="I570" i="8"/>
  <c r="I602" i="8" s="1"/>
  <c r="G690" i="8"/>
  <c r="F661" i="8"/>
  <c r="F662" i="8" s="1"/>
  <c r="F663" i="8" s="1"/>
  <c r="Q832" i="8"/>
  <c r="Q833" i="8" s="1"/>
  <c r="P840" i="8"/>
  <c r="H975" i="8"/>
  <c r="I976" i="8"/>
  <c r="E1026" i="8"/>
  <c r="E1027" i="8" s="1"/>
  <c r="E1028" i="8" s="1"/>
  <c r="E1029" i="8" s="1"/>
  <c r="E1030" i="8" s="1"/>
  <c r="E1031" i="8" s="1"/>
  <c r="E1032" i="8" s="1"/>
  <c r="E1033" i="8" s="1"/>
  <c r="E1034" i="8" s="1"/>
  <c r="E1005" i="8"/>
  <c r="F1004" i="8"/>
  <c r="H722" i="8"/>
  <c r="H729" i="8" s="1"/>
  <c r="H730" i="8" s="1"/>
  <c r="H560" i="8"/>
  <c r="I585" i="8"/>
  <c r="E880" i="8"/>
  <c r="G880" i="8" s="1"/>
  <c r="D861" i="8"/>
  <c r="F852" i="8"/>
  <c r="F881" i="8"/>
  <c r="E881" i="8"/>
  <c r="D862" i="8"/>
  <c r="H885" i="8"/>
  <c r="G884" i="8"/>
  <c r="E882" i="8"/>
  <c r="G882" i="8" s="1"/>
  <c r="H882" i="8" s="1"/>
  <c r="D863" i="8"/>
  <c r="F893" i="8"/>
  <c r="D910" i="8" s="1"/>
  <c r="G891" i="8"/>
  <c r="H534" i="8"/>
  <c r="Z403" i="8"/>
  <c r="D770" i="8"/>
  <c r="G770" i="8" s="1"/>
  <c r="G852" i="8" l="1"/>
  <c r="H884" i="8"/>
  <c r="D934" i="8" s="1"/>
  <c r="E934" i="8" s="1"/>
  <c r="D905" i="8"/>
  <c r="E905" i="8" s="1"/>
  <c r="F905" i="8" s="1"/>
  <c r="G905" i="8" s="1"/>
  <c r="H905" i="8" s="1"/>
  <c r="I905" i="8" s="1"/>
  <c r="J905" i="8" s="1"/>
  <c r="K905" i="8" s="1"/>
  <c r="L905" i="8" s="1"/>
  <c r="M905" i="8" s="1"/>
  <c r="N905" i="8" s="1"/>
  <c r="G893" i="8"/>
  <c r="D939" i="8"/>
  <c r="D941" i="8" s="1"/>
  <c r="E910" i="8"/>
  <c r="D912" i="8"/>
  <c r="E1010" i="8"/>
  <c r="G17" i="9"/>
  <c r="G971" i="8"/>
  <c r="H967" i="8"/>
  <c r="J66" i="9"/>
  <c r="N84" i="9"/>
  <c r="N83" i="9"/>
  <c r="L33" i="9"/>
  <c r="N18" i="9" s="1"/>
  <c r="AA403" i="8"/>
  <c r="AA517" i="8" s="1"/>
  <c r="AI412" i="8"/>
  <c r="AI423" i="8" s="1"/>
  <c r="J18" i="9"/>
  <c r="M24" i="9"/>
  <c r="N5" i="9"/>
  <c r="N74" i="9" s="1"/>
  <c r="I603" i="8"/>
  <c r="I604" i="8" s="1"/>
  <c r="I605" i="8" s="1"/>
  <c r="I606" i="8" s="1"/>
  <c r="Z517" i="8"/>
  <c r="E1035" i="8"/>
  <c r="Q840" i="8"/>
  <c r="P841" i="8"/>
  <c r="I975" i="8"/>
  <c r="E999" i="8"/>
  <c r="F999" i="8" s="1"/>
  <c r="G999" i="8" s="1"/>
  <c r="H999" i="8" s="1"/>
  <c r="I999" i="8" s="1"/>
  <c r="J999" i="8" s="1"/>
  <c r="K999" i="8" s="1"/>
  <c r="L999" i="8" s="1"/>
  <c r="M999" i="8" s="1"/>
  <c r="N999" i="8" s="1"/>
  <c r="F1005" i="8"/>
  <c r="E1011" i="8" s="1"/>
  <c r="G1004" i="8"/>
  <c r="G881" i="8"/>
  <c r="H881" i="8" s="1"/>
  <c r="D865" i="8"/>
  <c r="D869" i="8" s="1"/>
  <c r="H880" i="8"/>
  <c r="F665" i="8"/>
  <c r="F664" i="8"/>
  <c r="D767" i="8"/>
  <c r="D769" i="8"/>
  <c r="G769" i="8" s="1"/>
  <c r="J17" i="9" l="1"/>
  <c r="N67" i="9"/>
  <c r="N65" i="9" s="1"/>
  <c r="N69" i="9" s="1"/>
  <c r="K67" i="9"/>
  <c r="K65" i="9" s="1"/>
  <c r="K69" i="9" s="1"/>
  <c r="K17" i="9"/>
  <c r="H17" i="9"/>
  <c r="I17" i="9"/>
  <c r="P67" i="9"/>
  <c r="P65" i="9" s="1"/>
  <c r="P69" i="9" s="1"/>
  <c r="I67" i="9"/>
  <c r="I65" i="9" s="1"/>
  <c r="I69" i="9" s="1"/>
  <c r="O67" i="9"/>
  <c r="O65" i="9" s="1"/>
  <c r="O69" i="9" s="1"/>
  <c r="L67" i="9"/>
  <c r="L65" i="9" s="1"/>
  <c r="L69" i="9" s="1"/>
  <c r="M17" i="9"/>
  <c r="J67" i="9"/>
  <c r="J65" i="9" s="1"/>
  <c r="H67" i="9"/>
  <c r="N17" i="9"/>
  <c r="L17" i="9"/>
  <c r="M67" i="9"/>
  <c r="M65" i="9" s="1"/>
  <c r="M69" i="9" s="1"/>
  <c r="P17" i="9"/>
  <c r="O17" i="9"/>
  <c r="I967" i="8"/>
  <c r="G973" i="8"/>
  <c r="H973" i="8" s="1"/>
  <c r="I973" i="8" s="1"/>
  <c r="H971" i="8"/>
  <c r="I971" i="8" s="1"/>
  <c r="E939" i="8"/>
  <c r="E941" i="8" s="1"/>
  <c r="E946" i="8" s="1"/>
  <c r="F910" i="8"/>
  <c r="E912" i="8"/>
  <c r="F934" i="8"/>
  <c r="G934" i="8" s="1"/>
  <c r="H934" i="8" s="1"/>
  <c r="I934" i="8" s="1"/>
  <c r="J934" i="8" s="1"/>
  <c r="K934" i="8" s="1"/>
  <c r="L934" i="8" s="1"/>
  <c r="M934" i="8" s="1"/>
  <c r="N934" i="8" s="1"/>
  <c r="G767" i="8"/>
  <c r="G765" i="8" s="1"/>
  <c r="E765" i="8"/>
  <c r="O33" i="9"/>
  <c r="Q66" i="9"/>
  <c r="Q18" i="9"/>
  <c r="N24" i="9"/>
  <c r="O5" i="9"/>
  <c r="O74" i="9" s="1"/>
  <c r="R840" i="8"/>
  <c r="Q841" i="8"/>
  <c r="G878" i="8"/>
  <c r="H1004" i="8"/>
  <c r="G1005" i="8"/>
  <c r="E1012" i="8" s="1"/>
  <c r="F9" i="9"/>
  <c r="Q17" i="9" l="1"/>
  <c r="E917" i="8"/>
  <c r="G22" i="9"/>
  <c r="H878" i="8"/>
  <c r="D904" i="8"/>
  <c r="G910" i="8"/>
  <c r="F939" i="8"/>
  <c r="F941" i="8" s="1"/>
  <c r="E947" i="8" s="1"/>
  <c r="F912" i="8"/>
  <c r="E918" i="8" s="1"/>
  <c r="H965" i="8"/>
  <c r="H65" i="9"/>
  <c r="H69" i="9" s="1"/>
  <c r="Q67" i="9"/>
  <c r="J69" i="9"/>
  <c r="F59" i="9"/>
  <c r="Q9" i="9"/>
  <c r="O24" i="9"/>
  <c r="P5" i="9"/>
  <c r="G886" i="8"/>
  <c r="S840" i="8"/>
  <c r="R841" i="8"/>
  <c r="H1005" i="8"/>
  <c r="E1013" i="8" s="1"/>
  <c r="I1004" i="8"/>
  <c r="F623" i="8"/>
  <c r="F624" i="8" s="1"/>
  <c r="D772" i="8"/>
  <c r="P24" i="9" l="1"/>
  <c r="E65" i="9" s="1"/>
  <c r="P74" i="9"/>
  <c r="Q74" i="9" s="1"/>
  <c r="E60" i="9"/>
  <c r="E62" i="9"/>
  <c r="H886" i="8"/>
  <c r="D933" i="8"/>
  <c r="H910" i="8"/>
  <c r="G939" i="8"/>
  <c r="G941" i="8" s="1"/>
  <c r="E948" i="8" s="1"/>
  <c r="G912" i="8"/>
  <c r="E919" i="8" s="1"/>
  <c r="H22" i="9"/>
  <c r="H72" i="9"/>
  <c r="Q65" i="9"/>
  <c r="E998" i="8"/>
  <c r="H979" i="8"/>
  <c r="I965" i="8"/>
  <c r="I979" i="8" s="1"/>
  <c r="D1025" i="8" s="1"/>
  <c r="D906" i="8"/>
  <c r="E904" i="8"/>
  <c r="E772" i="8"/>
  <c r="D773" i="8"/>
  <c r="E59" i="9"/>
  <c r="Q59" i="9"/>
  <c r="F13" i="9"/>
  <c r="E9" i="9"/>
  <c r="E12" i="9"/>
  <c r="S841" i="8"/>
  <c r="T840" i="8"/>
  <c r="J1004" i="8"/>
  <c r="I1005" i="8"/>
  <c r="E1014" i="8" s="1"/>
  <c r="E58" i="9" l="1"/>
  <c r="E67" i="9"/>
  <c r="E66" i="9"/>
  <c r="E68" i="9"/>
  <c r="Q24" i="9"/>
  <c r="E17" i="9"/>
  <c r="E11" i="9"/>
  <c r="E18" i="9"/>
  <c r="E14" i="9"/>
  <c r="E8" i="9"/>
  <c r="E61" i="9"/>
  <c r="E10" i="9"/>
  <c r="E64" i="9"/>
  <c r="D935" i="8"/>
  <c r="E933" i="8"/>
  <c r="D1026" i="8"/>
  <c r="F1025" i="8"/>
  <c r="H939" i="8"/>
  <c r="H941" i="8" s="1"/>
  <c r="E949" i="8" s="1"/>
  <c r="I910" i="8"/>
  <c r="H912" i="8"/>
  <c r="E920" i="8" s="1"/>
  <c r="I72" i="9"/>
  <c r="I22" i="9"/>
  <c r="F904" i="8"/>
  <c r="E906" i="8"/>
  <c r="F998" i="8"/>
  <c r="E1000" i="8"/>
  <c r="G772" i="8"/>
  <c r="E773" i="8"/>
  <c r="E774" i="8" s="1"/>
  <c r="E775" i="8" s="1"/>
  <c r="E778" i="8" s="1"/>
  <c r="E781" i="8" s="1"/>
  <c r="E785" i="8" s="1"/>
  <c r="Q13" i="9"/>
  <c r="F7" i="9"/>
  <c r="E13" i="9"/>
  <c r="T841" i="8"/>
  <c r="U840" i="8"/>
  <c r="K1004" i="8"/>
  <c r="J1005" i="8"/>
  <c r="E1015" i="8" s="1"/>
  <c r="G998" i="8" l="1"/>
  <c r="F1000" i="8"/>
  <c r="D1011" i="8" s="1"/>
  <c r="F1011" i="8" s="1"/>
  <c r="J72" i="9"/>
  <c r="J22" i="9"/>
  <c r="F1026" i="8"/>
  <c r="D1027" i="8"/>
  <c r="D917" i="8"/>
  <c r="F917" i="8" s="1"/>
  <c r="G21" i="9"/>
  <c r="F933" i="8"/>
  <c r="E935" i="8"/>
  <c r="D946" i="8" s="1"/>
  <c r="F946" i="8" s="1"/>
  <c r="G904" i="8"/>
  <c r="F906" i="8"/>
  <c r="D918" i="8" s="1"/>
  <c r="F918" i="8" s="1"/>
  <c r="D1010" i="8"/>
  <c r="F1010" i="8" s="1"/>
  <c r="G16" i="9"/>
  <c r="I939" i="8"/>
  <c r="I941" i="8" s="1"/>
  <c r="E950" i="8" s="1"/>
  <c r="J910" i="8"/>
  <c r="I912" i="8"/>
  <c r="E921" i="8" s="1"/>
  <c r="F63" i="9"/>
  <c r="G773" i="8"/>
  <c r="G775" i="8" s="1"/>
  <c r="G778" i="8" s="1"/>
  <c r="G781" i="8" s="1"/>
  <c r="G785" i="8" s="1"/>
  <c r="F6" i="9"/>
  <c r="Q7" i="9"/>
  <c r="E7" i="9"/>
  <c r="U841" i="8"/>
  <c r="V840" i="8"/>
  <c r="K1005" i="8"/>
  <c r="E1016" i="8" s="1"/>
  <c r="L1004" i="8"/>
  <c r="L16" i="9" l="1"/>
  <c r="L15" i="9" s="1"/>
  <c r="L19" i="9" s="1"/>
  <c r="H16" i="9"/>
  <c r="H15" i="9" s="1"/>
  <c r="H19" i="9" s="1"/>
  <c r="M16" i="9"/>
  <c r="M15" i="9" s="1"/>
  <c r="M19" i="9" s="1"/>
  <c r="O16" i="9"/>
  <c r="O15" i="9" s="1"/>
  <c r="O19" i="9" s="1"/>
  <c r="P16" i="9"/>
  <c r="P15" i="9" s="1"/>
  <c r="P19" i="9" s="1"/>
  <c r="G15" i="9"/>
  <c r="I16" i="9"/>
  <c r="I15" i="9" s="1"/>
  <c r="I19" i="9" s="1"/>
  <c r="J16" i="9"/>
  <c r="J15" i="9" s="1"/>
  <c r="J19" i="9" s="1"/>
  <c r="K16" i="9"/>
  <c r="K15" i="9" s="1"/>
  <c r="K19" i="9" s="1"/>
  <c r="N16" i="9"/>
  <c r="N15" i="9" s="1"/>
  <c r="N19" i="9" s="1"/>
  <c r="H904" i="8"/>
  <c r="G906" i="8"/>
  <c r="D919" i="8" s="1"/>
  <c r="J939" i="8"/>
  <c r="J941" i="8" s="1"/>
  <c r="E951" i="8" s="1"/>
  <c r="K910" i="8"/>
  <c r="J912" i="8"/>
  <c r="E922" i="8" s="1"/>
  <c r="F1027" i="8"/>
  <c r="D1028" i="8"/>
  <c r="G933" i="8"/>
  <c r="F935" i="8"/>
  <c r="D947" i="8" s="1"/>
  <c r="H998" i="8"/>
  <c r="G1000" i="8"/>
  <c r="D1012" i="8" s="1"/>
  <c r="F1012" i="8" s="1"/>
  <c r="H71" i="9"/>
  <c r="G20" i="9"/>
  <c r="H21" i="9"/>
  <c r="K22" i="9"/>
  <c r="K72" i="9"/>
  <c r="E63" i="9"/>
  <c r="Q63" i="9"/>
  <c r="F57" i="9"/>
  <c r="F19" i="9"/>
  <c r="Q6" i="9"/>
  <c r="E6" i="9"/>
  <c r="V841" i="8"/>
  <c r="W840" i="8"/>
  <c r="L1005" i="8"/>
  <c r="E1017" i="8" s="1"/>
  <c r="M1004" i="8"/>
  <c r="I71" i="9" l="1"/>
  <c r="I70" i="9" s="1"/>
  <c r="I73" i="9" s="1"/>
  <c r="I75" i="9" s="1"/>
  <c r="H20" i="9"/>
  <c r="I21" i="9"/>
  <c r="I998" i="8"/>
  <c r="H1000" i="8"/>
  <c r="D1013" i="8" s="1"/>
  <c r="F1013" i="8" s="1"/>
  <c r="F919" i="8"/>
  <c r="G19" i="9"/>
  <c r="G23" i="9" s="1"/>
  <c r="G25" i="9" s="1"/>
  <c r="E15" i="9"/>
  <c r="Q15" i="9"/>
  <c r="H23" i="9"/>
  <c r="H25" i="9" s="1"/>
  <c r="L22" i="9"/>
  <c r="L72" i="9"/>
  <c r="F947" i="8"/>
  <c r="I904" i="8"/>
  <c r="H906" i="8"/>
  <c r="D920" i="8" s="1"/>
  <c r="F920" i="8" s="1"/>
  <c r="D1029" i="8"/>
  <c r="F1028" i="8"/>
  <c r="Q16" i="9"/>
  <c r="H70" i="9"/>
  <c r="H933" i="8"/>
  <c r="G935" i="8"/>
  <c r="D948" i="8" s="1"/>
  <c r="F948" i="8" s="1"/>
  <c r="K939" i="8"/>
  <c r="K941" i="8" s="1"/>
  <c r="E952" i="8" s="1"/>
  <c r="L910" i="8"/>
  <c r="K912" i="8"/>
  <c r="E923" i="8" s="1"/>
  <c r="E16" i="9"/>
  <c r="E57" i="9"/>
  <c r="Q57" i="9"/>
  <c r="F56" i="9"/>
  <c r="F23" i="9"/>
  <c r="X840" i="8"/>
  <c r="W841" i="8"/>
  <c r="N1004" i="8"/>
  <c r="N1005" i="8" s="1"/>
  <c r="E1019" i="8" s="1"/>
  <c r="M1005" i="8"/>
  <c r="E1018" i="8" s="1"/>
  <c r="E19" i="9" l="1"/>
  <c r="Q19" i="9"/>
  <c r="F1029" i="8"/>
  <c r="D1030" i="8"/>
  <c r="J904" i="8"/>
  <c r="I906" i="8"/>
  <c r="D921" i="8" s="1"/>
  <c r="F921" i="8" s="1"/>
  <c r="M22" i="9"/>
  <c r="M72" i="9"/>
  <c r="L939" i="8"/>
  <c r="L941" i="8" s="1"/>
  <c r="E953" i="8" s="1"/>
  <c r="M910" i="8"/>
  <c r="L912" i="8"/>
  <c r="E924" i="8" s="1"/>
  <c r="J71" i="9"/>
  <c r="I20" i="9"/>
  <c r="J21" i="9"/>
  <c r="H73" i="9"/>
  <c r="H75" i="9" s="1"/>
  <c r="I933" i="8"/>
  <c r="H935" i="8"/>
  <c r="D949" i="8" s="1"/>
  <c r="F949" i="8" s="1"/>
  <c r="J998" i="8"/>
  <c r="I1000" i="8"/>
  <c r="D1014" i="8" s="1"/>
  <c r="F1014" i="8" s="1"/>
  <c r="F69" i="9"/>
  <c r="E56" i="9"/>
  <c r="Q56" i="9"/>
  <c r="F25" i="9"/>
  <c r="E1020" i="8"/>
  <c r="Y840" i="8"/>
  <c r="X841" i="8"/>
  <c r="I23" i="9" l="1"/>
  <c r="N910" i="8"/>
  <c r="M939" i="8"/>
  <c r="M941" i="8" s="1"/>
  <c r="E954" i="8" s="1"/>
  <c r="M912" i="8"/>
  <c r="E925" i="8" s="1"/>
  <c r="K71" i="9"/>
  <c r="K70" i="9" s="1"/>
  <c r="K73" i="9" s="1"/>
  <c r="K75" i="9" s="1"/>
  <c r="J20" i="9"/>
  <c r="J23" i="9" s="1"/>
  <c r="J25" i="9" s="1"/>
  <c r="K21" i="9"/>
  <c r="N22" i="9"/>
  <c r="N72" i="9"/>
  <c r="J70" i="9"/>
  <c r="K904" i="8"/>
  <c r="J906" i="8"/>
  <c r="D922" i="8" s="1"/>
  <c r="F922" i="8" s="1"/>
  <c r="J1000" i="8"/>
  <c r="D1015" i="8" s="1"/>
  <c r="F1015" i="8" s="1"/>
  <c r="K998" i="8"/>
  <c r="I935" i="8"/>
  <c r="D950" i="8" s="1"/>
  <c r="J933" i="8"/>
  <c r="D1031" i="8"/>
  <c r="F1030" i="8"/>
  <c r="Q69" i="9"/>
  <c r="E69" i="9"/>
  <c r="F73" i="9"/>
  <c r="AC840" i="8"/>
  <c r="AA840" i="8"/>
  <c r="Y841" i="8"/>
  <c r="AE840" i="8"/>
  <c r="I25" i="9" l="1"/>
  <c r="F950" i="8"/>
  <c r="J73" i="9"/>
  <c r="J75" i="9" s="1"/>
  <c r="L71" i="9"/>
  <c r="K20" i="9"/>
  <c r="K23" i="9" s="1"/>
  <c r="K25" i="9" s="1"/>
  <c r="L21" i="9"/>
  <c r="K1000" i="8"/>
  <c r="D1016" i="8" s="1"/>
  <c r="L998" i="8"/>
  <c r="L904" i="8"/>
  <c r="K906" i="8"/>
  <c r="D923" i="8" s="1"/>
  <c r="F923" i="8" s="1"/>
  <c r="N939" i="8"/>
  <c r="N941" i="8" s="1"/>
  <c r="E955" i="8" s="1"/>
  <c r="N912" i="8"/>
  <c r="E926" i="8" s="1"/>
  <c r="E927" i="8" s="1"/>
  <c r="D1032" i="8"/>
  <c r="F1031" i="8"/>
  <c r="K933" i="8"/>
  <c r="J935" i="8"/>
  <c r="D951" i="8" s="1"/>
  <c r="F951" i="8" s="1"/>
  <c r="O72" i="9"/>
  <c r="O22" i="9"/>
  <c r="F75" i="9"/>
  <c r="AE841" i="8"/>
  <c r="AC841" i="8"/>
  <c r="AA841" i="8"/>
  <c r="M904" i="8" l="1"/>
  <c r="L906" i="8"/>
  <c r="D924" i="8" s="1"/>
  <c r="P22" i="9"/>
  <c r="Q22" i="9" s="1"/>
  <c r="P72" i="9"/>
  <c r="Q72" i="9" s="1"/>
  <c r="K935" i="8"/>
  <c r="D952" i="8" s="1"/>
  <c r="F952" i="8" s="1"/>
  <c r="L933" i="8"/>
  <c r="E956" i="8"/>
  <c r="M998" i="8"/>
  <c r="L1000" i="8"/>
  <c r="D1017" i="8" s="1"/>
  <c r="F1017" i="8" s="1"/>
  <c r="L70" i="9"/>
  <c r="F1016" i="8"/>
  <c r="F1032" i="8"/>
  <c r="D1033" i="8"/>
  <c r="M71" i="9"/>
  <c r="M70" i="9" s="1"/>
  <c r="M73" i="9" s="1"/>
  <c r="M75" i="9" s="1"/>
  <c r="L20" i="9"/>
  <c r="M21" i="9"/>
  <c r="E22" i="9" l="1"/>
  <c r="N71" i="9"/>
  <c r="N21" i="9"/>
  <c r="M20" i="9"/>
  <c r="M1000" i="8"/>
  <c r="D1018" i="8" s="1"/>
  <c r="N998" i="8"/>
  <c r="N1000" i="8" s="1"/>
  <c r="D1019" i="8" s="1"/>
  <c r="F1019" i="8" s="1"/>
  <c r="L23" i="9"/>
  <c r="F924" i="8"/>
  <c r="L73" i="9"/>
  <c r="N904" i="8"/>
  <c r="N906" i="8" s="1"/>
  <c r="D926" i="8" s="1"/>
  <c r="F926" i="8" s="1"/>
  <c r="M906" i="8"/>
  <c r="D925" i="8" s="1"/>
  <c r="F925" i="8" s="1"/>
  <c r="D1034" i="8"/>
  <c r="F1034" i="8" s="1"/>
  <c r="F1033" i="8"/>
  <c r="L935" i="8"/>
  <c r="D953" i="8" s="1"/>
  <c r="M933" i="8"/>
  <c r="E72" i="9"/>
  <c r="F1035" i="8" l="1"/>
  <c r="D1035" i="8"/>
  <c r="F927" i="8"/>
  <c r="F953" i="8"/>
  <c r="L75" i="9"/>
  <c r="L25" i="9"/>
  <c r="D927" i="8"/>
  <c r="M23" i="9"/>
  <c r="M25" i="9" s="1"/>
  <c r="F1018" i="8"/>
  <c r="F1020" i="8" s="1"/>
  <c r="D1020" i="8"/>
  <c r="O71" i="9"/>
  <c r="N20" i="9"/>
  <c r="O21" i="9"/>
  <c r="N933" i="8"/>
  <c r="N935" i="8" s="1"/>
  <c r="D955" i="8" s="1"/>
  <c r="F955" i="8" s="1"/>
  <c r="F956" i="8" s="1"/>
  <c r="M935" i="8"/>
  <c r="D954" i="8" s="1"/>
  <c r="F954" i="8" s="1"/>
  <c r="N70" i="9"/>
  <c r="N23" i="9" l="1"/>
  <c r="N25" i="9" s="1"/>
  <c r="O70" i="9"/>
  <c r="O73" i="9" s="1"/>
  <c r="O75" i="9" s="1"/>
  <c r="D956" i="8"/>
  <c r="N73" i="9"/>
  <c r="P71" i="9"/>
  <c r="O20" i="9"/>
  <c r="O23" i="9" s="1"/>
  <c r="O25" i="9" s="1"/>
  <c r="P21" i="9"/>
  <c r="P70" i="9" l="1"/>
  <c r="Q71" i="9"/>
  <c r="E71" i="9"/>
  <c r="P20" i="9"/>
  <c r="E20" i="9" s="1"/>
  <c r="Q21" i="9"/>
  <c r="E21" i="9"/>
  <c r="N75" i="9"/>
  <c r="P23" i="9" l="1"/>
  <c r="Q20" i="9"/>
  <c r="P73" i="9"/>
  <c r="Q70" i="9"/>
  <c r="E70" i="9"/>
  <c r="P75" i="9" l="1"/>
  <c r="Q73" i="9"/>
  <c r="E73" i="9"/>
  <c r="P25" i="9"/>
  <c r="Q23" i="9"/>
  <c r="E23" i="9"/>
  <c r="E25" i="9" l="1"/>
  <c r="Q25" i="9"/>
  <c r="Q75" i="9"/>
  <c r="Q77" i="9" s="1"/>
  <c r="E75" i="9"/>
  <c r="E78" i="9" l="1"/>
  <c r="E77" i="9"/>
  <c r="E28" i="9"/>
  <c r="E26" i="9" l="1"/>
  <c r="E27" i="9" s="1"/>
  <c r="Q27" i="9"/>
  <c r="H388" i="11"/>
  <c r="H389" i="11" l="1"/>
  <c r="L389" i="11" s="1"/>
</calcChain>
</file>

<file path=xl/comments1.xml><?xml version="1.0" encoding="utf-8"?>
<comments xmlns="http://schemas.openxmlformats.org/spreadsheetml/2006/main">
  <authors>
    <author>Propietario</author>
    <author>Invitado</author>
  </authors>
  <commentList>
    <comment ref="E971" authorId="0" shapeId="0">
      <text>
        <r>
          <rPr>
            <b/>
            <sz val="9"/>
            <color indexed="81"/>
            <rFont val="Tahoma"/>
            <family val="2"/>
          </rPr>
          <t>Propietario:</t>
        </r>
        <r>
          <rPr>
            <sz val="9"/>
            <color indexed="81"/>
            <rFont val="Tahoma"/>
            <family val="2"/>
          </rPr>
          <t xml:space="preserve">
Ver Brecha.</t>
        </r>
      </text>
    </comment>
    <comment ref="E973" authorId="0" shapeId="0">
      <text>
        <r>
          <rPr>
            <b/>
            <sz val="9"/>
            <color indexed="81"/>
            <rFont val="Tahoma"/>
            <family val="2"/>
          </rPr>
          <t>Propietario:</t>
        </r>
        <r>
          <rPr>
            <sz val="9"/>
            <color indexed="81"/>
            <rFont val="Tahoma"/>
            <family val="2"/>
          </rPr>
          <t xml:space="preserve">
Ver Brecha</t>
        </r>
      </text>
    </comment>
    <comment ref="M992" authorId="1" shapeId="0">
      <text>
        <r>
          <rPr>
            <b/>
            <sz val="9"/>
            <color indexed="81"/>
            <rFont val="Tahoma"/>
            <family val="2"/>
          </rPr>
          <t>Invitado:</t>
        </r>
        <r>
          <rPr>
            <sz val="9"/>
            <color indexed="81"/>
            <rFont val="Tahoma"/>
            <family val="2"/>
          </rPr>
          <t xml:space="preserve">
7 AULAS + 2 PSICOMOTRICIDAD + 1 AREA ADMINISTRATIVA + 1 AREA DE SERVICIOS </t>
        </r>
      </text>
    </comment>
  </commentList>
</comments>
</file>

<file path=xl/sharedStrings.xml><?xml version="1.0" encoding="utf-8"?>
<sst xmlns="http://schemas.openxmlformats.org/spreadsheetml/2006/main" count="3217" uniqueCount="1811">
  <si>
    <t>TOTAL</t>
  </si>
  <si>
    <t>Responsable de la Unidad Formuladora</t>
  </si>
  <si>
    <t>Descripción</t>
  </si>
  <si>
    <t>Año 1</t>
  </si>
  <si>
    <t>Año 2</t>
  </si>
  <si>
    <t>Año 10</t>
  </si>
  <si>
    <t>Entidad / Organización</t>
  </si>
  <si>
    <t>Gastos Generales</t>
  </si>
  <si>
    <t>Provincia</t>
  </si>
  <si>
    <t>Departamento</t>
  </si>
  <si>
    <t>Nº</t>
  </si>
  <si>
    <t>ADMINISTRACIÓN DIRECTA</t>
  </si>
  <si>
    <t>Utilidad</t>
  </si>
  <si>
    <t>Distrito</t>
  </si>
  <si>
    <t>Año 3</t>
  </si>
  <si>
    <t>Localidad</t>
  </si>
  <si>
    <t>Responsable de la UF</t>
  </si>
  <si>
    <t>Dirección</t>
  </si>
  <si>
    <t>Secretaria</t>
  </si>
  <si>
    <t>Tópico</t>
  </si>
  <si>
    <t>Cocina</t>
  </si>
  <si>
    <t>IGV</t>
  </si>
  <si>
    <t>Otros</t>
  </si>
  <si>
    <t>Año 4</t>
  </si>
  <si>
    <t>Año 5</t>
  </si>
  <si>
    <t>Año 6</t>
  </si>
  <si>
    <t>Año 7</t>
  </si>
  <si>
    <t>Año 8</t>
  </si>
  <si>
    <t>Año 9</t>
  </si>
  <si>
    <t>3 años</t>
  </si>
  <si>
    <t>4 años</t>
  </si>
  <si>
    <t>5 años</t>
  </si>
  <si>
    <t>INICIAL</t>
  </si>
  <si>
    <t>PRIMARIA</t>
  </si>
  <si>
    <t>SECUNDARIA</t>
  </si>
  <si>
    <t>m2</t>
  </si>
  <si>
    <t>Obras Exteriores</t>
  </si>
  <si>
    <t>m</t>
  </si>
  <si>
    <t>Glb.</t>
  </si>
  <si>
    <t>m3</t>
  </si>
  <si>
    <t>Tipo de Local</t>
  </si>
  <si>
    <t>N° Aula</t>
  </si>
  <si>
    <t>Direccion</t>
  </si>
  <si>
    <t>Espera</t>
  </si>
  <si>
    <t>SH Adm.</t>
  </si>
  <si>
    <t>Ingreso</t>
  </si>
  <si>
    <t>JU-1</t>
  </si>
  <si>
    <t>JR-1</t>
  </si>
  <si>
    <t>Area</t>
  </si>
  <si>
    <t>JU-2</t>
  </si>
  <si>
    <t>JR-2</t>
  </si>
  <si>
    <t>JU-3</t>
  </si>
  <si>
    <t>JR-3</t>
  </si>
  <si>
    <t>JU-4</t>
  </si>
  <si>
    <t>JU-5</t>
  </si>
  <si>
    <t>JU-6</t>
  </si>
  <si>
    <t>Expediente Tecnico</t>
  </si>
  <si>
    <t>OBJETIVOS</t>
  </si>
  <si>
    <t>INDICADORES</t>
  </si>
  <si>
    <t xml:space="preserve">MEDIOS DE VERIFICACION </t>
  </si>
  <si>
    <t>SUPUESTOS</t>
  </si>
  <si>
    <t>FIN</t>
  </si>
  <si>
    <t>PROPOSITO</t>
  </si>
  <si>
    <t>COMPONENTES</t>
  </si>
  <si>
    <t>ACTIVIDADES</t>
  </si>
  <si>
    <t>Año 0</t>
  </si>
  <si>
    <t>Zona Urbana/Rural</t>
  </si>
  <si>
    <t>1.2. NOMBRE DEL PROYECTO</t>
  </si>
  <si>
    <t>CANTIDAD</t>
  </si>
  <si>
    <t>Varios</t>
  </si>
  <si>
    <t>Sub Total</t>
  </si>
  <si>
    <t>IGV (18%)</t>
  </si>
  <si>
    <t>ESQUEMA DEL MODULO EDUCATIVO</t>
  </si>
  <si>
    <t>Cantidad</t>
  </si>
  <si>
    <t>Und</t>
  </si>
  <si>
    <t>Parcial</t>
  </si>
  <si>
    <t>Total</t>
  </si>
  <si>
    <t>Ambiente</t>
  </si>
  <si>
    <t xml:space="preserve">Total </t>
  </si>
  <si>
    <t>Documento</t>
  </si>
  <si>
    <t>Código Modular</t>
  </si>
  <si>
    <t>FIRMAS Y SELLOS</t>
  </si>
  <si>
    <t>Rubro</t>
  </si>
  <si>
    <t>I.  DATOS GENERALES</t>
  </si>
  <si>
    <t>1.1. ARTICULACIÓN CON EL PROGRAMA MULTIANUAL DE INVERSIONES (PMI)</t>
  </si>
  <si>
    <t>1.3. RESPONSABILIDAD FUNCIONAL</t>
  </si>
  <si>
    <t>Grupo Funcional</t>
  </si>
  <si>
    <t>INVOLUCRADO</t>
  </si>
  <si>
    <t>CONTRIBUCIÓN</t>
  </si>
  <si>
    <t>…..</t>
  </si>
  <si>
    <t>Fuente de Verificación</t>
  </si>
  <si>
    <t>A. Población Afectada</t>
  </si>
  <si>
    <t>Tipo de población</t>
  </si>
  <si>
    <t>Fuente de información</t>
  </si>
  <si>
    <t>B. Población Objetivo</t>
  </si>
  <si>
    <t>C. Características de la población objetivo</t>
  </si>
  <si>
    <t>Tipo de clasificación (edad o grupos de edad, género, grupos étnico, población vulnerable)</t>
  </si>
  <si>
    <t>Operación</t>
  </si>
  <si>
    <t>Personal</t>
  </si>
  <si>
    <t>Bienes</t>
  </si>
  <si>
    <t>Mantenimiento</t>
  </si>
  <si>
    <t>Actividades</t>
  </si>
  <si>
    <t>Tipo de intervención no PIP</t>
  </si>
  <si>
    <t>Servicios a intervenir</t>
  </si>
  <si>
    <t>Indicador de Brecha</t>
  </si>
  <si>
    <t xml:space="preserve">Indicar activo </t>
  </si>
  <si>
    <t>Zona</t>
  </si>
  <si>
    <t>Región</t>
  </si>
  <si>
    <t>Adjuntó</t>
  </si>
  <si>
    <t>Nivel de gobierno</t>
  </si>
  <si>
    <t>Estado</t>
  </si>
  <si>
    <t>Antigüedad</t>
  </si>
  <si>
    <t>Modalidad de ejecución</t>
  </si>
  <si>
    <t>Fuente de financiamiento</t>
  </si>
  <si>
    <t>Mes</t>
  </si>
  <si>
    <t>Año</t>
  </si>
  <si>
    <t>Peligros</t>
  </si>
  <si>
    <t>Medidas de Reducción de Riesgos</t>
  </si>
  <si>
    <t>AMPLIACIÓN MARGINAL</t>
  </si>
  <si>
    <t>SERVICIO DE EDUCACIÓN INICIAL</t>
  </si>
  <si>
    <t>SI CUENTA</t>
  </si>
  <si>
    <t>Rural</t>
  </si>
  <si>
    <t>Costa</t>
  </si>
  <si>
    <t xml:space="preserve">Si </t>
  </si>
  <si>
    <t>GOBIERNO REGIONAL</t>
  </si>
  <si>
    <t>REGULAR</t>
  </si>
  <si>
    <t>RECURSOS ORDINARIOS</t>
  </si>
  <si>
    <t xml:space="preserve">Sismos  </t>
  </si>
  <si>
    <t>MEJORAMIENTO</t>
  </si>
  <si>
    <t>OPTIMIZACIÓN</t>
  </si>
  <si>
    <t>SERVICIO DE EDUCACIÓN PRIMARIA</t>
  </si>
  <si>
    <t>NO CUENTA</t>
  </si>
  <si>
    <t>Urbana</t>
  </si>
  <si>
    <t>Sierra</t>
  </si>
  <si>
    <t>No</t>
  </si>
  <si>
    <t>GOBIERNO NACIONAL</t>
  </si>
  <si>
    <t>MALO</t>
  </si>
  <si>
    <t>ADMINISTRACIÓN INDIRECTA - POR CONTRATA</t>
  </si>
  <si>
    <t>RECURSOS DIRECTAMENTE RECAUDADOS </t>
  </si>
  <si>
    <t xml:space="preserve">Tsunamis  </t>
  </si>
  <si>
    <t>RECUPERACIÓN</t>
  </si>
  <si>
    <t>OPTIMIZACIÓN (ADQ. TERRENOS)</t>
  </si>
  <si>
    <t>SERVICIO DE EDUCACIÓN SECUNDARIA</t>
  </si>
  <si>
    <t>Selva</t>
  </si>
  <si>
    <t>GOBIERNO LOCAL</t>
  </si>
  <si>
    <t>MUY MALO</t>
  </si>
  <si>
    <t>ADMINISTRACIÓN INDIRECTA - NÚCLEO EJECUTOR</t>
  </si>
  <si>
    <t xml:space="preserve"> RECURSOS POR OPERACIONES OFICIALES DE CREDITO </t>
  </si>
  <si>
    <t xml:space="preserve">Heladas  </t>
  </si>
  <si>
    <t>AMPLIACIÓN</t>
  </si>
  <si>
    <t>REHABILITACIÓN</t>
  </si>
  <si>
    <t>SERVICIO DE EDUCACIÓN BÁSICA ALTERNATIVA</t>
  </si>
  <si>
    <t>IRRECUPERABLE</t>
  </si>
  <si>
    <t>DONACIONES Y TRANSFERENCIAS</t>
  </si>
  <si>
    <t xml:space="preserve">Erupciones volcánicas  </t>
  </si>
  <si>
    <t>MEJORAMIENTO Y AMPLIACIÓN</t>
  </si>
  <si>
    <t>REPOSICIÓN</t>
  </si>
  <si>
    <t>RECURSOS DETERMINADOS</t>
  </si>
  <si>
    <t xml:space="preserve">Sequías  </t>
  </si>
  <si>
    <t xml:space="preserve">Granizadas  </t>
  </si>
  <si>
    <t>Inundaciones</t>
  </si>
  <si>
    <t>Huaycos</t>
  </si>
  <si>
    <t>Deslizamientos</t>
  </si>
  <si>
    <t>Desertificación</t>
  </si>
  <si>
    <t>Salinización de suelos</t>
  </si>
  <si>
    <t>Inversiones de reposición:</t>
  </si>
  <si>
    <t>Reconstrucción total de cerco perimétrico.</t>
  </si>
  <si>
    <t>Reconstrucción total de Aulas colapsadas.</t>
  </si>
  <si>
    <t>Reconstrucción total de Servicios Higiénicos.</t>
  </si>
  <si>
    <t>Reconstrucción total de edificaciones administrativas.</t>
  </si>
  <si>
    <t>Reconstrucción total de patio y/o losa deportiva.</t>
  </si>
  <si>
    <t>Reconstrucción de veredas y/o circulaciones (gradas rampas).</t>
  </si>
  <si>
    <t>Reconstrucción de muro de contención.</t>
  </si>
  <si>
    <t>Reposición de mobiliario educativo (mesas y sillas alumnos y docentes).</t>
  </si>
  <si>
    <t>Reposición de Equipos (computadoras).</t>
  </si>
  <si>
    <t>Reconstrucción de sistema de drenaje pluvial en el local educativo.</t>
  </si>
  <si>
    <t>Inversiones de rehabilitación</t>
  </si>
  <si>
    <t>Reforzamiento de Aulas, que presentan grietas y fisuras en su sistema estructural (columnas, vigas, muros).</t>
  </si>
  <si>
    <t>Reforzamiento de techos de aulas.</t>
  </si>
  <si>
    <t>Reforzamiento de edificaciones administrativas, que presentan grietas y fisuras en su sistema estructural.</t>
  </si>
  <si>
    <t>Rehabilitación de Servicios Higiénicos (redes sanitarias de agua y desagüe, aparatos sanitarios).</t>
  </si>
  <si>
    <t>Rehabilitación del sistema de desagüe en los locales educativos (registros, tuberías, biodigestor).</t>
  </si>
  <si>
    <t>Rehabilitación de las instalaciones eléctricas internas (redes eléctricas, tableros, pozo de tierra).</t>
  </si>
  <si>
    <t>Rehabilitación de carpintería en Aulas (cambio de puertas, cambio de ventanas).</t>
  </si>
  <si>
    <t>Reforzamiento en muros de cerco perimétrico.</t>
  </si>
  <si>
    <t>Reforzamiento en muros de contención.</t>
  </si>
  <si>
    <t>Rehabilitación de veredas y/o circulaciones (gradas rampas).</t>
  </si>
  <si>
    <t>Rehabilitación de sistema de drenaje pluvial en el local educativo.</t>
  </si>
  <si>
    <t>Rehabilitación de coberturas solares.</t>
  </si>
  <si>
    <t>CREACION</t>
  </si>
  <si>
    <t xml:space="preserve">% locales educativos con educación inicial que contiene capacidad instalada inadecuada </t>
  </si>
  <si>
    <t>% personas no matriculadas en el nivel inicial respecto a la demanda potencial</t>
  </si>
  <si>
    <t xml:space="preserve">% locales educativos con educación primaria que contiene capacidad instalada inadecuada </t>
  </si>
  <si>
    <t xml:space="preserve">% personas no matriculadas en el nivel primaria respecto a la demanda potencial </t>
  </si>
  <si>
    <t xml:space="preserve">% locales educativos con educación secundaria que contiene capacidad instalada inadecuada </t>
  </si>
  <si>
    <t xml:space="preserve">% personas no matriculadas en el nivel Secundaria respecto a la demanda potencial </t>
  </si>
  <si>
    <t>NATURALEZA DE INTERVENCIÓN</t>
  </si>
  <si>
    <t>OBJETO</t>
  </si>
  <si>
    <t xml:space="preserve">Objeto </t>
  </si>
  <si>
    <t/>
  </si>
  <si>
    <t>LOCALIZACIÓN</t>
  </si>
  <si>
    <t xml:space="preserve">(La información registrada tiene carácter de Declaración Jurada - DS. N° 027-2017-EF)  </t>
  </si>
  <si>
    <t>1.4. UNIDAD FORMULADORA (UF)</t>
  </si>
  <si>
    <t>GOBIERNO REGIONAL AMAZONAS</t>
  </si>
  <si>
    <t>GOBIERNO REGIONAL ANCASH</t>
  </si>
  <si>
    <t>GOBIERNO REGIONAL APURIMAC</t>
  </si>
  <si>
    <t>GOBIERNO REGIONAL AREQUIPA</t>
  </si>
  <si>
    <t>GOBIERNO REGIONAL AYACUCHO</t>
  </si>
  <si>
    <t>GOBIERNO REGIONAL CAJAMARCA</t>
  </si>
  <si>
    <t>GOBIERNO REGIONAL CALLAO</t>
  </si>
  <si>
    <t>GOBIERNO REGIONAL CUSCO</t>
  </si>
  <si>
    <t>GOBIERNO REGIONAL HUANCAVELICA</t>
  </si>
  <si>
    <t>GOBIERNO REGIONAL HUÁNUCO</t>
  </si>
  <si>
    <t>GOBIERNO REGIONAL ICA</t>
  </si>
  <si>
    <t>GOBIERNO REGIONAL JUNÍN</t>
  </si>
  <si>
    <t>GOBIERNO REGIONAL LA LIBERTAD</t>
  </si>
  <si>
    <t>GOBIERNO REGIONAL LAMBAYEQUE</t>
  </si>
  <si>
    <t>GOBIERNO REGIONAL LIMA</t>
  </si>
  <si>
    <t>GOBIERNO REGIONAL LIMA METROPOLITANA</t>
  </si>
  <si>
    <t>GOBIERNO REGIONAL LORETO</t>
  </si>
  <si>
    <t>GOBIERNO REGIONAL MADRE DE DIOS</t>
  </si>
  <si>
    <t>GOBIERNO REGIONAL MOQUEGUA</t>
  </si>
  <si>
    <t>GOBIERNO REGIONAL PASCO</t>
  </si>
  <si>
    <t>GOBIERNO REGIONAL PIURA</t>
  </si>
  <si>
    <t>GOBIERNO REGIONAL PUNO</t>
  </si>
  <si>
    <t>GOBIERNO REGIONAL SAN MARTÍN</t>
  </si>
  <si>
    <t>GOBIERNO REGIONAL TACNA</t>
  </si>
  <si>
    <t>GOBIERNO REGIONAL TUMBES</t>
  </si>
  <si>
    <t>GOBIERNO REGIONAL UCAYALI</t>
  </si>
  <si>
    <t>GOBIERNO REGINOAL</t>
  </si>
  <si>
    <t>MANCOMUNIDAD (GR, GL)</t>
  </si>
  <si>
    <t>1.6. UBICACIÓN GEOGRÁFICA</t>
  </si>
  <si>
    <t>1.5. UNIDAD EJECUTORA DE INVERSIONES (UEI) RECOMENDADA</t>
  </si>
  <si>
    <t>Naturaleza</t>
  </si>
  <si>
    <t>0103: EDUCACIÓN INICIAL</t>
  </si>
  <si>
    <t xml:space="preserve">0104: EDUCACIÓN PRIMARIA
</t>
  </si>
  <si>
    <t>0105: EDUCACIÓN SECUNDARIA</t>
  </si>
  <si>
    <t>0106: EDUCACIÓN BÁSICA ALTERNATIVA</t>
  </si>
  <si>
    <t>0107: EDUCACIÓN BÁSICA ESPECIAL</t>
  </si>
  <si>
    <t>Cota (msnm):</t>
  </si>
  <si>
    <t>Número de Personas</t>
  </si>
  <si>
    <t>Inversión</t>
  </si>
  <si>
    <t>3.1. HORIZONTE DE EVALUACIÓN</t>
  </si>
  <si>
    <t>3.2. ESTUDIO DE MERCADO DEL SERVICIO PÚBLICO</t>
  </si>
  <si>
    <t>Producto</t>
  </si>
  <si>
    <t>Unidad de subproducto</t>
  </si>
  <si>
    <t>Capacidad de subproducto</t>
  </si>
  <si>
    <t>Costo subtotal (soles)</t>
  </si>
  <si>
    <t>Nombre del producto</t>
  </si>
  <si>
    <t>Inversión total</t>
  </si>
  <si>
    <t>Sub total costo de inversión</t>
  </si>
  <si>
    <t xml:space="preserve">Gestión del proyecto </t>
  </si>
  <si>
    <t>* Adjuntar la cadena de valor del proyecto (insumos, actividades, producto, resultado específico y resultado final). Como mínimo la estandarización debería abarcar productos y resultados específico y final.</t>
  </si>
  <si>
    <t>Magnitud
(Unidad)</t>
  </si>
  <si>
    <t>M2</t>
  </si>
  <si>
    <t xml:space="preserve">Unidad de Medida </t>
  </si>
  <si>
    <t>Población Escolar</t>
  </si>
  <si>
    <t>Alumno</t>
  </si>
  <si>
    <t>Equipamiento</t>
  </si>
  <si>
    <t>Unidad</t>
  </si>
  <si>
    <t>Inversión total a (Precios Privados)</t>
  </si>
  <si>
    <t>Concepto</t>
  </si>
  <si>
    <t>Costo Total</t>
  </si>
  <si>
    <r>
      <t>Cuadro N°       : Implementación de Mobiliario y Equipamiento de la I.E. N</t>
    </r>
    <r>
      <rPr>
        <b/>
        <vertAlign val="superscript"/>
        <sz val="11"/>
        <rFont val="Arial"/>
        <family val="2"/>
      </rPr>
      <t>o</t>
    </r>
    <r>
      <rPr>
        <b/>
        <sz val="11"/>
        <rFont val="Arial"/>
        <family val="2"/>
      </rPr>
      <t xml:space="preserve"> 7075 Juan Pablo II - Nivel Inicial </t>
    </r>
  </si>
  <si>
    <t>TIPO DE AMBIENTE</t>
  </si>
  <si>
    <t>DENOMINACIÓN</t>
  </si>
  <si>
    <t>DESCRIPCIÓN</t>
  </si>
  <si>
    <t>UNIDAD</t>
  </si>
  <si>
    <t>CANT.</t>
  </si>
  <si>
    <t>PRECIO UNITARIO</t>
  </si>
  <si>
    <t>COSTO PARCIAL</t>
  </si>
  <si>
    <t>PRECIO MERCADO</t>
  </si>
  <si>
    <t>PRECIO SOCIAL</t>
  </si>
  <si>
    <t xml:space="preserve">AMBIENTES PEDAGÓGICOS PARA NIVEL INICIAL </t>
  </si>
  <si>
    <t>AULA (01-07)</t>
  </si>
  <si>
    <t>SUBTOTAL : AULAS DE INICIAL (01-07)</t>
  </si>
  <si>
    <t>Sector de Dramatización y juego simbolico</t>
  </si>
  <si>
    <t>Cocina pequeña</t>
  </si>
  <si>
    <t>KIT</t>
  </si>
  <si>
    <t>Cama pequeña</t>
  </si>
  <si>
    <t>UND</t>
  </si>
  <si>
    <t>Tienda de Teatro (Estante + Despachador)</t>
  </si>
  <si>
    <t>Sector Construcción</t>
  </si>
  <si>
    <t>Mueble rebatible – plegables</t>
  </si>
  <si>
    <t>Armario abierto</t>
  </si>
  <si>
    <t>Alfombra enrollable</t>
  </si>
  <si>
    <t>Sector Computación</t>
  </si>
  <si>
    <t>Mueble de Computo</t>
  </si>
  <si>
    <t>Computadora</t>
  </si>
  <si>
    <t>Sector Biblioteca/Dibujo - Pintura</t>
  </si>
  <si>
    <t>Exhibidores</t>
  </si>
  <si>
    <t>Rotafolio</t>
  </si>
  <si>
    <t>Sector Musica</t>
  </si>
  <si>
    <t>Sector Experimentos</t>
  </si>
  <si>
    <t>Sector Juegos Tranquilos</t>
  </si>
  <si>
    <t>Sector Higienización</t>
  </si>
  <si>
    <t>Espejos</t>
  </si>
  <si>
    <t>Casilleros</t>
  </si>
  <si>
    <t>Deposito</t>
  </si>
  <si>
    <t>Estante</t>
  </si>
  <si>
    <t>Sector Clase</t>
  </si>
  <si>
    <t>Mesa</t>
  </si>
  <si>
    <t>Silla</t>
  </si>
  <si>
    <t>Escritorio</t>
  </si>
  <si>
    <t xml:space="preserve">Silla giratoria </t>
  </si>
  <si>
    <t>Pizarra Imantada</t>
  </si>
  <si>
    <t xml:space="preserve">Equipo de Sonido </t>
  </si>
  <si>
    <t xml:space="preserve">Mueble para televisor, DVD, </t>
  </si>
  <si>
    <t>Televisor de 42''</t>
  </si>
  <si>
    <t>Reloj para empotrar a pared</t>
  </si>
  <si>
    <t>Blue Ray</t>
  </si>
  <si>
    <t>AULA PSICOMOTRICIDAD (01- 02)</t>
  </si>
  <si>
    <t>SUBTOTAL : AULAS DE PSICOMOTRICIDAD (01-02)</t>
  </si>
  <si>
    <t>Televisor de 42 pulgadas</t>
  </si>
  <si>
    <t>Blu-ray</t>
  </si>
  <si>
    <t>Proyector multimedia</t>
  </si>
  <si>
    <t>Laptop</t>
  </si>
  <si>
    <t>Ecran estandar</t>
  </si>
  <si>
    <t>Stand de madera</t>
  </si>
  <si>
    <t>Silla de madera grande</t>
  </si>
  <si>
    <t>Rampa de psicomotricidad</t>
  </si>
  <si>
    <t>Set de sólidos geométricos</t>
  </si>
  <si>
    <t>Alfombra antialérgica</t>
  </si>
  <si>
    <t>Kit de colchonetas personales</t>
  </si>
  <si>
    <t>Espejo</t>
  </si>
  <si>
    <t>Kit de pelotas</t>
  </si>
  <si>
    <t>ADMINISTRACIÓN</t>
  </si>
  <si>
    <t>DIRECCIÓN</t>
  </si>
  <si>
    <t>SUBTOTAL: DIRECCION</t>
  </si>
  <si>
    <t>Mueble para equipo de computo</t>
  </si>
  <si>
    <t>Sillas</t>
  </si>
  <si>
    <t>Archivador</t>
  </si>
  <si>
    <t>Secretaría y Espera</t>
  </si>
  <si>
    <t>SUB TOTAL: SECRETARÍA Y ESPERA</t>
  </si>
  <si>
    <t>Mueble de cómputo</t>
  </si>
  <si>
    <t>Impresora-fotocopiadora equipo láser multifuncional</t>
  </si>
  <si>
    <t>Silla giratoria</t>
  </si>
  <si>
    <t>Sala de Profesores</t>
  </si>
  <si>
    <t>SUB TOTAL: SALA DE PROFESORES</t>
  </si>
  <si>
    <t>Mesa de trabajo</t>
  </si>
  <si>
    <t>Pizarra</t>
  </si>
  <si>
    <t>Locker de 6 gavetas</t>
  </si>
  <si>
    <t>Tópico y Psicología</t>
  </si>
  <si>
    <t>SUB TOTAL: TÓPICO</t>
  </si>
  <si>
    <t>Escritorio de madera 1.50xX 0.75 x0.75m</t>
  </si>
  <si>
    <t>Camilla graduable</t>
  </si>
  <si>
    <t>Botiquín de primeros auxilios</t>
  </si>
  <si>
    <t>Escalera de dos peldaños</t>
  </si>
  <si>
    <t>Biombo de dos cuerpos</t>
  </si>
  <si>
    <t>Estantes metálico depositos tipo V 1.80x0.90x0.75m</t>
  </si>
  <si>
    <t>DEPÓSITO DE MATERIAL DIDACTICO</t>
  </si>
  <si>
    <t>SUBTOTAL: DEPÓSITO DE MATERIAL DIDÁCTICO</t>
  </si>
  <si>
    <t>Anaqueles (2.0x1.5m)</t>
  </si>
  <si>
    <t>Armario de metal</t>
  </si>
  <si>
    <t>SERVICIOS GENERALES Y/O COMPLEMENTARIOS</t>
  </si>
  <si>
    <t>COCINA</t>
  </si>
  <si>
    <t>SUBTOTAL: COCINA</t>
  </si>
  <si>
    <t xml:space="preserve">Cocina </t>
  </si>
  <si>
    <t>Balón de gas (sin carga)</t>
  </si>
  <si>
    <t>Horno microondas</t>
  </si>
  <si>
    <t xml:space="preserve">Refrigeradora </t>
  </si>
  <si>
    <t>Ollas</t>
  </si>
  <si>
    <t>Estante de metal</t>
  </si>
  <si>
    <t>Repostero</t>
  </si>
  <si>
    <t>Despensa para víveres</t>
  </si>
  <si>
    <t>Menaje de Cocina</t>
  </si>
  <si>
    <t>Menaje de Cocina Adultos</t>
  </si>
  <si>
    <t>Menaje de Cocina Niños</t>
  </si>
  <si>
    <t>GUARDIANÍA</t>
  </si>
  <si>
    <t>SUBTOTAL: GUARDIANÍA</t>
  </si>
  <si>
    <t xml:space="preserve">Escritorio </t>
  </si>
  <si>
    <t>CUARTO DE LIMPIEZA</t>
  </si>
  <si>
    <t>SUBTOTAL: CUARTO DE LIMPIEZA Y BASURA</t>
  </si>
  <si>
    <t xml:space="preserve">Armario </t>
  </si>
  <si>
    <t>Anaqueles (2.0 mx1.5m)</t>
  </si>
  <si>
    <t>Cuarto de basura</t>
  </si>
  <si>
    <t>SUB TOTAL: CUARTO DE BASURA</t>
  </si>
  <si>
    <t>COSTO TOTAL DE MOBILIARIO Y EQUIPAMIENTO</t>
  </si>
  <si>
    <t>PRESUPUESTO DESAGREGADO DE MITIGACION AMBIENTAL</t>
  </si>
  <si>
    <t>DESCRIPCION</t>
  </si>
  <si>
    <t>MES</t>
  </si>
  <si>
    <t>P. UNITARIO</t>
  </si>
  <si>
    <t>P. PARCIAL</t>
  </si>
  <si>
    <t>TOTAL (S/.)</t>
  </si>
  <si>
    <t>1. Plan de Manejo de escombros y material excedente</t>
  </si>
  <si>
    <t>Personal para trabajos de limpieza</t>
  </si>
  <si>
    <t>Escoba</t>
  </si>
  <si>
    <t>Recogedor</t>
  </si>
  <si>
    <t>2. Plan de Manejo de Residuos líquidos</t>
  </si>
  <si>
    <t>Alquiler de Baños de Tratamiento Químico Portátil</t>
  </si>
  <si>
    <t>3. Plan de Monitoreo ambiental</t>
  </si>
  <si>
    <t>Monitoreo de gases y material particulado (24h)</t>
  </si>
  <si>
    <t>Monitoreo de ruido</t>
  </si>
  <si>
    <t>4. Plan de manejo de áreas verdes</t>
  </si>
  <si>
    <t>Reposición de área verde exterior</t>
  </si>
  <si>
    <t>Precios incluyen GG + Utilidad e IGV</t>
  </si>
  <si>
    <t>GESTIÓN</t>
  </si>
  <si>
    <t>ITEM</t>
  </si>
  <si>
    <t>N°  VECES</t>
  </si>
  <si>
    <t>SUB TOTAL</t>
  </si>
  <si>
    <t>Costo de Personal</t>
  </si>
  <si>
    <t xml:space="preserve">Responsable de la Gestión y Monitoreo del Proyecto </t>
  </si>
  <si>
    <t>Meses</t>
  </si>
  <si>
    <t>Asesoría Técnico-Legal / Defensa de Intereses</t>
  </si>
  <si>
    <t>Representación de Defensa e Intereses</t>
  </si>
  <si>
    <t>Glb</t>
  </si>
  <si>
    <t>Orientacion y armado de Expediente</t>
  </si>
  <si>
    <t>Licencias</t>
  </si>
  <si>
    <t>Certificado de Parámetros Urbaníisticos y Edificactorios</t>
  </si>
  <si>
    <t>Derechos de pago por Licencia de obra: Edificacion (comisiones revisoras e inspección ocular)</t>
  </si>
  <si>
    <t>Evaluación y Emisión de Carta de Seguridad</t>
  </si>
  <si>
    <t>Tramite documentario</t>
  </si>
  <si>
    <t>Útiles de Escritorio y Movilidad</t>
  </si>
  <si>
    <t>Útiles de Escritorio</t>
  </si>
  <si>
    <t>Movilidad</t>
  </si>
  <si>
    <t>Provisión de Servicio Educativo en la Etapa de Construcción</t>
  </si>
  <si>
    <t>Traslado de ambientes prefabricados de la IE a local alquilado cerca de la IE (Incluye carga y descarga)</t>
  </si>
  <si>
    <t>Instalación de aulas prefabricadas (inc. Plataforma, instalación eléctrica, módulo de S.H. y piso vínilico)</t>
  </si>
  <si>
    <t>Desinstalación de ambientes pre fabricados.</t>
  </si>
  <si>
    <t>Total a Precio de Mercado</t>
  </si>
  <si>
    <t>Nota: Durante la construccion del proyecto, se seguirá usando la infraestructura actual del nivel inicial</t>
  </si>
  <si>
    <t>Guardianía</t>
  </si>
  <si>
    <t>Cerco e Ingresos</t>
  </si>
  <si>
    <t>II.</t>
  </si>
  <si>
    <t>EQUIPAMIENTO</t>
  </si>
  <si>
    <t>==================================================================================================================&gt;&gt;&gt;&gt;&gt;&gt;&gt;&gt;&gt;</t>
  </si>
  <si>
    <t>III.</t>
  </si>
  <si>
    <t>IV.</t>
  </si>
  <si>
    <t>GASTOS DE GESTIÓN DEL PROYECTO</t>
  </si>
  <si>
    <t>Cuadro   :Estructura de Costos Expediente Técnico</t>
  </si>
  <si>
    <t>Incid.</t>
  </si>
  <si>
    <t>Periodo</t>
  </si>
  <si>
    <t>Costo</t>
  </si>
  <si>
    <t>Monto</t>
  </si>
  <si>
    <t>Mensual</t>
  </si>
  <si>
    <t>Costo Total Directo</t>
  </si>
  <si>
    <t>S/.</t>
  </si>
  <si>
    <t>Personal Profesional</t>
  </si>
  <si>
    <t>Jefe del Proyecto,Ing. Civil y/o Arquitecto con Experiencia en Gerencia de Proyectos.</t>
  </si>
  <si>
    <t>Arquitecto, Especialista en Infraestructura Educativa</t>
  </si>
  <si>
    <t>Ing. Civil, Especialista en Estructuras</t>
  </si>
  <si>
    <t>Ing. Civil, Especialista en Costos.</t>
  </si>
  <si>
    <t>Ing. Sanitario</t>
  </si>
  <si>
    <t>Ing. Mecánico Electricista</t>
  </si>
  <si>
    <t>Personal Técnico</t>
  </si>
  <si>
    <t xml:space="preserve">Dibujante CAD </t>
  </si>
  <si>
    <t>Auxiliar de Oficina</t>
  </si>
  <si>
    <t>Asistente de Metrados</t>
  </si>
  <si>
    <t>Topografo</t>
  </si>
  <si>
    <t>Bienes y Servicios</t>
  </si>
  <si>
    <t>Estudio de Suelos (*)</t>
  </si>
  <si>
    <t>Insumos de Oficina y Similar</t>
  </si>
  <si>
    <t>Papeleria A3, A4.</t>
  </si>
  <si>
    <t>Utileria, CDs, Tinta, Tóner, etc.</t>
  </si>
  <si>
    <t>Fotocopia de Planos y A4.</t>
  </si>
  <si>
    <t>Ploteo de Planos</t>
  </si>
  <si>
    <t>Est.</t>
  </si>
  <si>
    <t>Gastos de Edición, Archivadores, Espiralados, etc.</t>
  </si>
  <si>
    <t>Servicios</t>
  </si>
  <si>
    <t>Alquiler de Oficina</t>
  </si>
  <si>
    <t>Servicio de Agua</t>
  </si>
  <si>
    <t>Servicio de Electricidad</t>
  </si>
  <si>
    <t>Servic. de Telefonia e Internet</t>
  </si>
  <si>
    <t>Servicio de Movilidad</t>
  </si>
  <si>
    <t>Viáticos</t>
  </si>
  <si>
    <t>Compra de bases y propuesta Técnica</t>
  </si>
  <si>
    <t>Carta de Fianza (**)</t>
  </si>
  <si>
    <t>Gastos de proceso de contratación</t>
  </si>
  <si>
    <t>Impuesto General a Ias Ventas (IGV)</t>
  </si>
  <si>
    <t>Precio Privado</t>
  </si>
  <si>
    <t>Precio Social</t>
  </si>
  <si>
    <t>(*) EL TIEMPO MÁXIMO DE DURACIÓN DE ÉSTOS TRABAJOS SERÁN DE 15 DIAS CALENDARIOS.</t>
  </si>
  <si>
    <t>(**) Será de acuerdo a los términos que fije la entidad contratante</t>
  </si>
  <si>
    <t>PLAZO DE EJECUCION 60 días Calendario</t>
  </si>
  <si>
    <t>Elaborado por el Equipo Formulador - MINEDU</t>
  </si>
  <si>
    <t>V.</t>
  </si>
  <si>
    <t>Estructura de Costos Supervisor de Obra</t>
  </si>
  <si>
    <t>Estructura de Costos</t>
  </si>
  <si>
    <t>Supervisión</t>
  </si>
  <si>
    <t>1.0</t>
  </si>
  <si>
    <t>Datos Generales por evaluar el costo de Supervisión</t>
  </si>
  <si>
    <t>1.1</t>
  </si>
  <si>
    <t>Costo Referencial de Obra, incluye IGV</t>
  </si>
  <si>
    <t>1.2</t>
  </si>
  <si>
    <t>Costo maximo de supervision (10% Costo de Obra)</t>
  </si>
  <si>
    <t>1.3</t>
  </si>
  <si>
    <t>plazo de ejecucion de obra</t>
  </si>
  <si>
    <t>dias</t>
  </si>
  <si>
    <t>1.4</t>
  </si>
  <si>
    <t>meses</t>
  </si>
  <si>
    <t>Tiempo del contrato de Supervison de obra</t>
  </si>
  <si>
    <t>Plazo, Coordinador y Supervisor jefe, permanente en ejecucion y recepcion de obra</t>
  </si>
  <si>
    <t>mes</t>
  </si>
  <si>
    <t>Plazo, Asistente de Supervisor, permanente en ejecucion de obra Arquitecto</t>
  </si>
  <si>
    <t>Plazo del Asistente Ing. Sanitario, permanente durante la ejecucion de la obra</t>
  </si>
  <si>
    <t>parcial/mes</t>
  </si>
  <si>
    <t>Plazo del Asistente ing. Electricista, permanente durante la ejecucion de la obra</t>
  </si>
  <si>
    <t>2.0</t>
  </si>
  <si>
    <t>Estructura de Costos por el Servicio</t>
  </si>
  <si>
    <t>2.1</t>
  </si>
  <si>
    <t>Costos de Honorarios</t>
  </si>
  <si>
    <t>2.2</t>
  </si>
  <si>
    <t>Supervisor, Ingeniero Civil o Arquitecto</t>
  </si>
  <si>
    <t>Asistente (Arquitecto o Ing. Civil)</t>
  </si>
  <si>
    <t>Asistente (Ing. Sanitario)</t>
  </si>
  <si>
    <t>Asistente (Ing. Mecanico Electrico)</t>
  </si>
  <si>
    <t>3.0</t>
  </si>
  <si>
    <t>En Obra: Oficina, Mobiliario, Equipo</t>
  </si>
  <si>
    <t>3.1</t>
  </si>
  <si>
    <t>Oficina ubicada en la Obra acondicionado y mantenimiento</t>
  </si>
  <si>
    <t>3.2</t>
  </si>
  <si>
    <t>Equipos de comunicación</t>
  </si>
  <si>
    <t>3.3</t>
  </si>
  <si>
    <t>Otros Equipos e Insumos para Control de Calidad</t>
  </si>
  <si>
    <t>3.4</t>
  </si>
  <si>
    <t>Seguros profesional, 30 dol/mes</t>
  </si>
  <si>
    <t>4.0</t>
  </si>
  <si>
    <t>Gastos Operativos</t>
  </si>
  <si>
    <t>Personal Tecnico, Administrativo y auxiliar (Gerente, Contador, Dibujante, Secretaria)</t>
  </si>
  <si>
    <t>Equipo de Proteccion Personal (Casco, Chaleco, Audifonos, Lentes UV) x 2</t>
  </si>
  <si>
    <t>Movilidad (Alquiler de 1 camioneta x dia) incluye chofer y combustible</t>
  </si>
  <si>
    <t>4.4</t>
  </si>
  <si>
    <t xml:space="preserve">Mantenimiento de Fianza </t>
  </si>
  <si>
    <t>Tasa 0,1%(valor obra)</t>
  </si>
  <si>
    <t>4.5</t>
  </si>
  <si>
    <t>Impresión/Inf. semanales, 24 sem</t>
  </si>
  <si>
    <t>60, 01(orig) + 02 (copias)</t>
  </si>
  <si>
    <t>4.6</t>
  </si>
  <si>
    <t>Impresión/Inf. Mensuales, 06 meses</t>
  </si>
  <si>
    <t>120, 01(orig), 02 (copias)</t>
  </si>
  <si>
    <t>4.7</t>
  </si>
  <si>
    <t>Impresión/valorizaciones, 06 val.</t>
  </si>
  <si>
    <t>120, 01 (orig), 02 (copias)</t>
  </si>
  <si>
    <t>4.8</t>
  </si>
  <si>
    <t>Impresión/Inf. Especiales,  02 inf.esp</t>
  </si>
  <si>
    <t>60, 01 (orig), 02 (copias)</t>
  </si>
  <si>
    <t>4.9</t>
  </si>
  <si>
    <t>Utiles diversos de escritorio</t>
  </si>
  <si>
    <t>Alquiler de Computadora e Impresora</t>
  </si>
  <si>
    <t>5.0</t>
  </si>
  <si>
    <t>Otros servicios diversos</t>
  </si>
  <si>
    <t>5.1</t>
  </si>
  <si>
    <t>Telefonia, servicio</t>
  </si>
  <si>
    <t>5.2</t>
  </si>
  <si>
    <t>Red, servicio</t>
  </si>
  <si>
    <t>Fotos/Inf.Mensual y Final, (06 y 01)</t>
  </si>
  <si>
    <t>24 fotos orig/ copias b/n</t>
  </si>
  <si>
    <t>Videos Editados</t>
  </si>
  <si>
    <t>1 por mes, final</t>
  </si>
  <si>
    <t>6.0</t>
  </si>
  <si>
    <t>Costo Total por el Servicio de Supervisión</t>
  </si>
  <si>
    <t>Utilidad 10%</t>
  </si>
  <si>
    <t>Costo total por el Servicio de Supervisión a Precio Privado</t>
  </si>
  <si>
    <t>7.0</t>
  </si>
  <si>
    <t>Costo  mensualizado  S/.</t>
  </si>
  <si>
    <t>Costo total por el Servicio de Supervisión a Precio Social</t>
  </si>
  <si>
    <t>VI.</t>
  </si>
  <si>
    <t>SUPERVISIÓN</t>
  </si>
  <si>
    <t>ESTRUCTURA DE COSTOS DE GASTOS GENERALES DE OBRA</t>
  </si>
  <si>
    <t>Item</t>
  </si>
  <si>
    <t>N°  Veces</t>
  </si>
  <si>
    <t>Precio Unitario</t>
  </si>
  <si>
    <t>1.00</t>
  </si>
  <si>
    <t>GASTOS GENERALES FIJOS</t>
  </si>
  <si>
    <t>1.01</t>
  </si>
  <si>
    <t xml:space="preserve">CAMPAMENTO  </t>
  </si>
  <si>
    <t>OFICINA DE CONTRATISTA</t>
  </si>
  <si>
    <t>OFICINA DE SUPERVISOR</t>
  </si>
  <si>
    <t>CAMPAMENTO PARA OBREROS</t>
  </si>
  <si>
    <t>COMEDOR, COCINA Y SS.HH.</t>
  </si>
  <si>
    <t>ALMACENES</t>
  </si>
  <si>
    <t>GUARDIANIA</t>
  </si>
  <si>
    <t>1.02</t>
  </si>
  <si>
    <t xml:space="preserve">EQUIPAMIENTO Y MOBILIARIO </t>
  </si>
  <si>
    <t>EQUIPAMIENTO Y MOBILIARIO DE CAMPAMENTOS</t>
  </si>
  <si>
    <t>GLB</t>
  </si>
  <si>
    <t>1.03</t>
  </si>
  <si>
    <t>OTROS</t>
  </si>
  <si>
    <t>GASTOS DE LICITACION</t>
  </si>
  <si>
    <t>1.04</t>
  </si>
  <si>
    <t>ENSAYOS Y CONTROLES DE CALIDAD</t>
  </si>
  <si>
    <t>ESTUDIO DE SUELOS (VERIFICACIÓN)</t>
  </si>
  <si>
    <t>CONTROL DE CONCRETO (BRIQUETAS)</t>
  </si>
  <si>
    <t xml:space="preserve">PRUEBAS DE DENSIDAD DE CAMPO </t>
  </si>
  <si>
    <t>2.00</t>
  </si>
  <si>
    <t>GASTOS GENERALES VARIABLES</t>
  </si>
  <si>
    <t>2.01</t>
  </si>
  <si>
    <t>DIRECCION TÉCNICA Y ADMINISTRATIVA (INC. LEYES SOCIALES)</t>
  </si>
  <si>
    <t>PERSONAL PROFESIONAL Y TECNICO</t>
  </si>
  <si>
    <t>ING. RESIDENTE DE OBRA</t>
  </si>
  <si>
    <t>ING. ASISTENTE DE OBRA</t>
  </si>
  <si>
    <t>ARQ. ESPECIALISTA EN EDIFICACIONES ESCOLARES</t>
  </si>
  <si>
    <t>ING. SANITARIO</t>
  </si>
  <si>
    <t>ING. ELECTRICISTA</t>
  </si>
  <si>
    <t xml:space="preserve">PERSONAL ADMINISTRATIVO </t>
  </si>
  <si>
    <t>ADMINISTRADOR DE OBRA</t>
  </si>
  <si>
    <t>CONTADOR</t>
  </si>
  <si>
    <t>ALMACENERO</t>
  </si>
  <si>
    <t xml:space="preserve">ASISTENTE ADMINISTRATIVO </t>
  </si>
  <si>
    <t>PERSONAL OBRERO</t>
  </si>
  <si>
    <t>GUARDIANES</t>
  </si>
  <si>
    <t>2.02</t>
  </si>
  <si>
    <t>ALQUILER DE EQUIPOS NO INCLUIDOS EN LOS COSTO DIRECTOS</t>
  </si>
  <si>
    <t>GRUPO ELECTROGENO</t>
  </si>
  <si>
    <t>CAMION BARANDA</t>
  </si>
  <si>
    <t>EQUIPO TOPOGRÁFICO</t>
  </si>
  <si>
    <t>COMPUTADORA</t>
  </si>
  <si>
    <t>FOTOCOPIADORA</t>
  </si>
  <si>
    <t>2.03</t>
  </si>
  <si>
    <t>GASTOS VARIOS</t>
  </si>
  <si>
    <t>UTILES DE OFICINA Y DIBUJO</t>
  </si>
  <si>
    <t>SERVICIO DE (LUZ, AGUA, TELEFONO)</t>
  </si>
  <si>
    <t>IMPLEMENTOS DE SEGURIDAD</t>
  </si>
  <si>
    <t>PERSO</t>
  </si>
  <si>
    <t>ESTACAS, PINTURAS, CEMENTO Y OTROS</t>
  </si>
  <si>
    <t>BOTIQUIN Y MEDICAMENTOS</t>
  </si>
  <si>
    <t>2.04</t>
  </si>
  <si>
    <t>GASTOS DE SEDE CENTRAL</t>
  </si>
  <si>
    <t>ALQUILER DE SEDE CENTRAL</t>
  </si>
  <si>
    <t>MOVILIDAD LOCAL Y OTROS (EST)</t>
  </si>
  <si>
    <t>2.05</t>
  </si>
  <si>
    <t>GASTOS FINANCIEROS</t>
  </si>
  <si>
    <t>FIANZAS</t>
  </si>
  <si>
    <t>VR</t>
  </si>
  <si>
    <t>POR EL FIEL CUMPLIMIENTO (10%)</t>
  </si>
  <si>
    <t>%</t>
  </si>
  <si>
    <t>POR ADELANTO + OBRA (20%)</t>
  </si>
  <si>
    <t>POR ADELANTO DE MATERIALES (30%)</t>
  </si>
  <si>
    <t>SEGUROS</t>
  </si>
  <si>
    <t>CONTRA ACCIDENTES INDIVIDUALES, RESPONSABILIDAD CIVIL, CONTRA RIESGOS DE INSTALACIONES, ETC. 0.4% CD</t>
  </si>
  <si>
    <t>SEGURO DEL PERSONAL</t>
  </si>
  <si>
    <t>Total a Precios Privados</t>
  </si>
  <si>
    <t>Total a Precio sin IGV</t>
  </si>
  <si>
    <t>REV OK</t>
  </si>
  <si>
    <t>VII.</t>
  </si>
  <si>
    <t xml:space="preserve">GASTOS GENERALES   </t>
  </si>
  <si>
    <t>Costo de Inversión  a Precio de Mercado</t>
  </si>
  <si>
    <t>Costo Total a Precios de mercado</t>
  </si>
  <si>
    <t>COMPONENTE I : INFRAESTRUCTURA</t>
  </si>
  <si>
    <t>Área para la Actividad, Área para el cuidado, Áreas administrativas y Servicios y Áreas complementarias</t>
  </si>
  <si>
    <t>Obra Nueva (inc. Aleros y veredas de circulación y 2 pisos)</t>
  </si>
  <si>
    <t>Redes Exteriores</t>
  </si>
  <si>
    <t>Movimiento de Tierras</t>
  </si>
  <si>
    <t xml:space="preserve"> Costo Directo de Infraestructura</t>
  </si>
  <si>
    <t>Según Estructura de Costos</t>
  </si>
  <si>
    <t>10 % CD.</t>
  </si>
  <si>
    <t xml:space="preserve">Sub Total </t>
  </si>
  <si>
    <t>18% </t>
  </si>
  <si>
    <t>A) COSTO TOTAL DE OBRAS CIVILES A PRECIOS DE MERCADO</t>
  </si>
  <si>
    <t>B) Expediente Técnico</t>
  </si>
  <si>
    <t>C) Supervisión y Monitoreo</t>
  </si>
  <si>
    <t>D) Gastos de Gestión</t>
  </si>
  <si>
    <t xml:space="preserve">COMPONENTE II : MOBILIARIO Y EQUIPAMIENTO </t>
  </si>
  <si>
    <t xml:space="preserve">Mobiliario y Equipamiento </t>
  </si>
  <si>
    <t>Fuente: Elaborado por el Equipo Formulador- MINEDU</t>
  </si>
  <si>
    <t>RESUMEN: PPTO</t>
  </si>
  <si>
    <t>COSTOS DE OPERACIÓN Y MANTENIMIENTO</t>
  </si>
  <si>
    <t>Cuadro Nº  COSTO SOCIALES DE MANTENIMIENTO EN SITUACION SIN PROYECTO</t>
  </si>
  <si>
    <t>Actividades de Mantenimiento</t>
  </si>
  <si>
    <t>U.M.</t>
  </si>
  <si>
    <t>Costo Total de Mantenimiento sin Proyecto (S/.)</t>
  </si>
  <si>
    <t>Factor de Correción
(FC)</t>
  </si>
  <si>
    <t>Costo Total de Mantenimiento a Precios Sociales sin Proyecto (S/.)</t>
  </si>
  <si>
    <t>Gastos de Mantenimiento</t>
  </si>
  <si>
    <t xml:space="preserve"> Utiles de limpieza (SS.HH.), etc., Reparación y reemplazo de mobiliario*</t>
  </si>
  <si>
    <t>Materiales/MO</t>
  </si>
  <si>
    <t>Gbl.</t>
  </si>
  <si>
    <t>COSTOS TOTAL DE INVERSION</t>
  </si>
  <si>
    <t>*No se considera reparación de infraestructura al contar con módulos pre fabricados.</t>
  </si>
  <si>
    <t>Cuadro Nº  COSTOS SOCIALES DE OPERACIÓN Y MANTENIMIENTO EN SITUACION SIN PROYECTO</t>
  </si>
  <si>
    <t>Costo de Operación y Mantenimiento Sin Proyecto</t>
  </si>
  <si>
    <t>Total a Precios de Mercado (S/.)</t>
  </si>
  <si>
    <t>Total a Precios Sociales (S/.)</t>
  </si>
  <si>
    <t xml:space="preserve">Costo de Mantenimiento </t>
  </si>
  <si>
    <t>Costos Totales de Operación y Mantenimiento SP</t>
  </si>
  <si>
    <t>Cuadro Nº   : Remuneraciones del personal docente IEI Sin PIP</t>
  </si>
  <si>
    <t>Nombrado</t>
  </si>
  <si>
    <t>Contratado</t>
  </si>
  <si>
    <t>Cargo</t>
  </si>
  <si>
    <t>Situación Laboral</t>
  </si>
  <si>
    <t xml:space="preserve">Remuneración </t>
  </si>
  <si>
    <t>Aguinaldos y Escolaridad</t>
  </si>
  <si>
    <t>Precio Privado anual S/.</t>
  </si>
  <si>
    <t xml:space="preserve">Precio Social  S/. </t>
  </si>
  <si>
    <t>Aguinaldo</t>
  </si>
  <si>
    <t xml:space="preserve">Directora </t>
  </si>
  <si>
    <t>Nombrada</t>
  </si>
  <si>
    <t>Escolaridad</t>
  </si>
  <si>
    <t xml:space="preserve">Docente </t>
  </si>
  <si>
    <t>Contratada</t>
  </si>
  <si>
    <t xml:space="preserve">1/ según la boleta de pago  de los profesores y director </t>
  </si>
  <si>
    <t>Auxiliar</t>
  </si>
  <si>
    <t>Psicóloga</t>
  </si>
  <si>
    <t>Fuente: Planilla Unica de Remuneraciones.</t>
  </si>
  <si>
    <t>Personal contratado percibe solo aguinaldos.</t>
  </si>
  <si>
    <t>Operación y mantenimiento mensual sin PIP</t>
  </si>
  <si>
    <t xml:space="preserve">Operación </t>
  </si>
  <si>
    <t xml:space="preserve">Sueldo </t>
  </si>
  <si>
    <t>Anualizado</t>
  </si>
  <si>
    <t>Monto anual</t>
  </si>
  <si>
    <t>Servicios (Luz, agua, etc)</t>
  </si>
  <si>
    <t>Docentes</t>
  </si>
  <si>
    <t>Luz</t>
  </si>
  <si>
    <t>Auxiliares</t>
  </si>
  <si>
    <t>Agua</t>
  </si>
  <si>
    <t>Mantenimiento y conservación</t>
  </si>
  <si>
    <t>Mantenimiento de la infraestructura y mobiliario</t>
  </si>
  <si>
    <t>Luz y agua</t>
  </si>
  <si>
    <t>Fuente: Declaración Jurada de la Directora de la I.E. N°7075 Juan Pablo II</t>
  </si>
  <si>
    <t>Total costo de Operación</t>
  </si>
  <si>
    <t xml:space="preserve">Mantenimiento </t>
  </si>
  <si>
    <t>Total costo de Mantenimiento</t>
  </si>
  <si>
    <t>Costo de Operación sin proyecto</t>
  </si>
  <si>
    <t>Unidad Medida</t>
  </si>
  <si>
    <t>Costo Unitario S/. (mes)</t>
  </si>
  <si>
    <t>Aguinaldos y escolaridad</t>
  </si>
  <si>
    <t xml:space="preserve">(S/.) Año Precio Privado </t>
  </si>
  <si>
    <t>(S/.) Año Precio Social (*)</t>
  </si>
  <si>
    <t>Recurso Humano</t>
  </si>
  <si>
    <t>Persona</t>
  </si>
  <si>
    <t>Bienes y Servicio</t>
  </si>
  <si>
    <t>(*) El factor de corrección de costos de O&amp;M para insumos es = 0.847 (pág. 61 Guía para formulación de proyectos de inversión exitosos - EBR)</t>
  </si>
  <si>
    <t>Costo de Conservación y Mantenimiento sin Proyecto</t>
  </si>
  <si>
    <t>Rubro Inversión</t>
  </si>
  <si>
    <t xml:space="preserve">(S/.) por año Precio Privado </t>
  </si>
  <si>
    <t>(S/.) año Precio Social (*)</t>
  </si>
  <si>
    <t>Conservación y Mantenimiento</t>
  </si>
  <si>
    <t>Gastos de Operación a Precios Privados</t>
  </si>
  <si>
    <t>Servicios Básicos</t>
  </si>
  <si>
    <t>Gastos de Conservacion y Mantenimiento a Precios Privados</t>
  </si>
  <si>
    <t>Reparaciones</t>
  </si>
  <si>
    <t>Elaboración: Equipo Formulador</t>
  </si>
  <si>
    <t>Cuadro Nº :Costos Sin Proyecto Proyectado a Precio Privado</t>
  </si>
  <si>
    <t xml:space="preserve">Elaboración: La consultora </t>
  </si>
  <si>
    <t>Cuadro Nº : Gastos de Operación a Precios Social</t>
  </si>
  <si>
    <t xml:space="preserve">Fuente: Elaborado  por el Equipo Formulador </t>
  </si>
  <si>
    <t>Cuadro Nº  : Gastos de Conservacion y Mantenimiento a Precios Social</t>
  </si>
  <si>
    <t>Cuadro Nº :Costos Sin Proyecto Proyectado a Precio Social</t>
  </si>
  <si>
    <t>Fuente: Elaborado por el Equipo Formulador</t>
  </si>
  <si>
    <t>Cuadro Nº  : Costos de Operación con Proyecto</t>
  </si>
  <si>
    <t>Aguinaldos</t>
  </si>
  <si>
    <t xml:space="preserve">(S/.) año Precio Privado </t>
  </si>
  <si>
    <t>Director</t>
  </si>
  <si>
    <t>Docente incremental 8</t>
  </si>
  <si>
    <t>Auxiliar incremental 5</t>
  </si>
  <si>
    <t>Sin PIP</t>
  </si>
  <si>
    <t>Con PIP</t>
  </si>
  <si>
    <t>Servicio Telefónico 1/</t>
  </si>
  <si>
    <t>Monto Mensual</t>
  </si>
  <si>
    <t>Alumnos</t>
  </si>
  <si>
    <t>Secciones</t>
  </si>
  <si>
    <t>1/ Costo operativo de un servicio de telefonía e internet fijo.</t>
  </si>
  <si>
    <t>Costo por alumno</t>
  </si>
  <si>
    <t>Costo por sección</t>
  </si>
  <si>
    <t>(*) El factor de corrección de costos de O&amp;M para insumos es = 0.847 (pág. 61 Guía para formulación de proyectos de inversión exitosos - EBR).</t>
  </si>
  <si>
    <t>(S/.) x año Precio Privado</t>
  </si>
  <si>
    <t>Programa de mantenimiento (incluye infraestructura, material de limpieza, equipamiento y mobiliario)</t>
  </si>
  <si>
    <t xml:space="preserve">Costo de mantenimiento </t>
  </si>
  <si>
    <t>Ambientes</t>
  </si>
  <si>
    <t>Costo por ambiente</t>
  </si>
  <si>
    <t xml:space="preserve"> Gastos de Operación con proyecto a Precios Privados</t>
  </si>
  <si>
    <t>-</t>
  </si>
  <si>
    <t xml:space="preserve"> Gastos de Conservación y mantenimiento con proyecto a Precios Privados</t>
  </si>
  <si>
    <t>Programa de Mantenimiento</t>
  </si>
  <si>
    <t>Cuadro Nº :Costos Con Proyecto Proyectado a Precio Privado</t>
  </si>
  <si>
    <t>Fuente: Elaborado por el Equipo Formulador – MINEDU</t>
  </si>
  <si>
    <t>Anual</t>
  </si>
  <si>
    <t>porcentaje</t>
  </si>
  <si>
    <t>Monto asignado</t>
  </si>
  <si>
    <t>Primaria</t>
  </si>
  <si>
    <t>Secundaria</t>
  </si>
  <si>
    <t xml:space="preserve">Pintura en infraestructura, Reparación de pared, SS.HH., etc., Reparación y reemplazo de mobiliario </t>
  </si>
  <si>
    <t>Cuadro Nº  FLUJO DE COSTOS SOCIALES DE OPERACIÓN EN SITUACION SIN PROYECTO</t>
  </si>
  <si>
    <t>AÑO</t>
  </si>
  <si>
    <t>COSTOS DE MANTEMIENTO</t>
  </si>
  <si>
    <t>Varios para reparación y mantenimiento</t>
  </si>
  <si>
    <t>TOTAL COSTOS DE MANTENIMIENTO</t>
  </si>
  <si>
    <t>Describir y fundamentar el tipo de fuente de información empleada y la metodología de estimación de costos. En caso se considere costos para la gestión del proyecto, se deberá describir las principales actividades y recursos humanos que se emplearán.</t>
  </si>
  <si>
    <t>Fecha de inicio
(DD/MM/AAAA)</t>
  </si>
  <si>
    <t>Fecha de término
(DD/MM/AAAA)</t>
  </si>
  <si>
    <t>Unidad de medida
(UM)</t>
  </si>
  <si>
    <t>Costos</t>
  </si>
  <si>
    <t>Sin Proyecto</t>
  </si>
  <si>
    <t>OPERACIÓN</t>
  </si>
  <si>
    <t>MANTENIMIENTO</t>
  </si>
  <si>
    <t>Con Proyecto</t>
  </si>
  <si>
    <t>Tipo</t>
  </si>
  <si>
    <t>Valor Actual de los Costos (VAC)</t>
  </si>
  <si>
    <t>Costo por capacidad de producción</t>
  </si>
  <si>
    <t>Costo por beneficiario directo</t>
  </si>
  <si>
    <t>* A precios sociales</t>
  </si>
  <si>
    <t>3.7.2. ¿ES LA UNIDAD EJECUTORA DE INVERSIONES LA RESPONSABLE DE LA OPERACIÓN Y MANTENIMIENTO DEL PROYECTO CON CARGO A SU PRESUPUESTO INSTITUCIONAL?</t>
  </si>
  <si>
    <t>B. FUENTE DE FINANCIAMIENTO</t>
  </si>
  <si>
    <t>Reposición</t>
  </si>
  <si>
    <t>RESUMEN DE MOBILIARIO Y EQUIPAMIENTO  I.E. 7075</t>
  </si>
  <si>
    <t>EQUIPAMIENTO Y MOBILIARIO</t>
  </si>
  <si>
    <t xml:space="preserve">UNIDAD </t>
  </si>
  <si>
    <t>COSTO PARCIAL (S/.)</t>
  </si>
  <si>
    <t>AMBIENTES PEDAGÓGICOS</t>
  </si>
  <si>
    <t>AULAS INICIAL/JARDIN (07)</t>
  </si>
  <si>
    <t>UND.</t>
  </si>
  <si>
    <t>AULAS DE PSICOMOTRICIDAD (02)</t>
  </si>
  <si>
    <t>AMBIENTES ADMINISTRATIVOS</t>
  </si>
  <si>
    <t>AMBIENTES SERVICIOS/COMPLEMENTARIOS</t>
  </si>
  <si>
    <t>COSTO EQUIPAMIENTO</t>
  </si>
  <si>
    <t>COSTOS INCREMENTALES A PRECIOS PRIVADOS</t>
  </si>
  <si>
    <t>ALTERNATIVA ÚNICA</t>
  </si>
  <si>
    <t>VACPP</t>
  </si>
  <si>
    <t>Acumulado</t>
  </si>
  <si>
    <t>A) COSTOS PRE OPERATIVOS</t>
  </si>
  <si>
    <t xml:space="preserve">     INVERSION</t>
  </si>
  <si>
    <t>a)</t>
  </si>
  <si>
    <t>Estudios Definitivos</t>
  </si>
  <si>
    <t>b)</t>
  </si>
  <si>
    <t>Local Educativo Nivel Inicial</t>
  </si>
  <si>
    <t>c)</t>
  </si>
  <si>
    <t>Mobiliario y Equipos</t>
  </si>
  <si>
    <t>d)</t>
  </si>
  <si>
    <t>e)</t>
  </si>
  <si>
    <t>f)</t>
  </si>
  <si>
    <t>h)</t>
  </si>
  <si>
    <t>Gastos de Gestión</t>
  </si>
  <si>
    <t>B) COSTOS OPERATIVOS CON PROYECTO</t>
  </si>
  <si>
    <t>i)</t>
  </si>
  <si>
    <t>j)</t>
  </si>
  <si>
    <t>k)</t>
  </si>
  <si>
    <t>Reposicion</t>
  </si>
  <si>
    <t>C) COSTO TOTAL CON PROYECTO (A+B)</t>
  </si>
  <si>
    <t>D) COSTOS OPERATIVOS SIN PROYECTO</t>
  </si>
  <si>
    <t>l)</t>
  </si>
  <si>
    <t>m)</t>
  </si>
  <si>
    <t>E) TOTAL COSTOS INCREMENTALES (C-D)</t>
  </si>
  <si>
    <t>Factor de actualización</t>
  </si>
  <si>
    <t>VACT =</t>
  </si>
  <si>
    <t>Beneficiarios</t>
  </si>
  <si>
    <t>CE =</t>
  </si>
  <si>
    <t>VAE =</t>
  </si>
  <si>
    <t>Equipos y otros</t>
  </si>
  <si>
    <t>Vida util del bien o servicio</t>
  </si>
  <si>
    <t>Depreciacion Anual del bien o servicio (%)</t>
  </si>
  <si>
    <t>N° de reposiciones en el horizonte del proyecto</t>
  </si>
  <si>
    <t>Valor Residual de la ultima resposicion en el horizonte del PIP (%)</t>
  </si>
  <si>
    <t>Infraestructura publica</t>
  </si>
  <si>
    <t>Muebles y Enseres</t>
  </si>
  <si>
    <t xml:space="preserve">Equipos de computo </t>
  </si>
  <si>
    <t>Intangibles</t>
  </si>
  <si>
    <t xml:space="preserve">Fuente: </t>
  </si>
  <si>
    <t xml:space="preserve">Depreciación de activos: </t>
  </si>
  <si>
    <t>Es el valor calculado de uso de un activo fijo según un porcentaje de depreciación anual. Se considerará la depreciación anual de aquellos activos depreciables que son usados durante el desarrollo de un procedimiento administrativo o servicio prestado en exclusividad. La determinación del valor de la depreciación se basa en las normas contables vigentes aplicables para entidades públicas.</t>
  </si>
  <si>
    <t>Aclaracion</t>
  </si>
  <si>
    <t>Solo se consideran los elementos de costo relacionados directamente con la prestación de los procedimientos administrativos y/o servicios prestados en exclusividad</t>
  </si>
  <si>
    <t>COSTOS INCREMENTALES A PRECIOS SOCIALES</t>
  </si>
  <si>
    <t>RUBRO</t>
  </si>
  <si>
    <t>VACPS</t>
  </si>
  <si>
    <t>INVERSION (Infraestructura Física)</t>
  </si>
  <si>
    <t>Expediente Técnico</t>
  </si>
  <si>
    <t xml:space="preserve">Supervisión </t>
  </si>
  <si>
    <t xml:space="preserve">Conservación y Mantenimiento </t>
  </si>
  <si>
    <t>C) COSTOS TOTAL CON PROYECTO (A+B)</t>
  </si>
  <si>
    <t>Costo por Unidad</t>
  </si>
  <si>
    <t>Costo Total Precio Privado</t>
  </si>
  <si>
    <t xml:space="preserve">Factor de Corrección </t>
  </si>
  <si>
    <t>Costo Total Precio Social</t>
  </si>
  <si>
    <t>Componente I : Infraestructura educativa</t>
  </si>
  <si>
    <t>Costo Directo</t>
  </si>
  <si>
    <t xml:space="preserve">    Obra nueva </t>
  </si>
  <si>
    <t xml:space="preserve">    Obras Exteriores y Otros</t>
  </si>
  <si>
    <t xml:space="preserve">    Cerco e Ingresos</t>
  </si>
  <si>
    <t xml:space="preserve">    Redes exteriores</t>
  </si>
  <si>
    <t xml:space="preserve">    Movimiento de tierras</t>
  </si>
  <si>
    <t xml:space="preserve">Gastos Generales </t>
  </si>
  <si>
    <t xml:space="preserve">Utilidad </t>
  </si>
  <si>
    <t>Total obras Civiles</t>
  </si>
  <si>
    <t>Componente II: Adquisición de Mobiliario, Equipos</t>
  </si>
  <si>
    <t xml:space="preserve">Mobiliario, equipos </t>
  </si>
  <si>
    <t>TOTAL INVERSIÓN FIJA</t>
  </si>
  <si>
    <t xml:space="preserve">Gastos de Gestión (permisos, licencias, etc.) </t>
  </si>
  <si>
    <t>Total INVERSION</t>
  </si>
  <si>
    <t>Fuente: Elaborado por el Equipo Formulador - MINEDU</t>
  </si>
  <si>
    <t>Local educativo de Nivel Inicial</t>
  </si>
  <si>
    <t>Medida de Mitigación</t>
  </si>
  <si>
    <t>Impactos Negativos</t>
  </si>
  <si>
    <t>IV.  MARCO LÓGICO DEL PROYECTO</t>
  </si>
  <si>
    <t>Incremental</t>
  </si>
  <si>
    <t>4.1. MATRIZ DE MARCO LOGICO</t>
  </si>
  <si>
    <t>INGRESO DE DATOS</t>
  </si>
  <si>
    <t>Nivel de Servicio</t>
  </si>
  <si>
    <t>Población de Referencia según distrito</t>
  </si>
  <si>
    <t>Años de Censo</t>
  </si>
  <si>
    <t>Población Total del distrito</t>
  </si>
  <si>
    <t>Histórico  de matriculados</t>
  </si>
  <si>
    <t>Año base</t>
  </si>
  <si>
    <t>Incremento máximo de cobertura</t>
  </si>
  <si>
    <t>Sin proyecto</t>
  </si>
  <si>
    <t>VERIFICAR SUMA</t>
  </si>
  <si>
    <t>Con proyecto</t>
  </si>
  <si>
    <t>Aprobación</t>
  </si>
  <si>
    <t>Desaprobación</t>
  </si>
  <si>
    <t>Deserción</t>
  </si>
  <si>
    <t>Sección 1</t>
  </si>
  <si>
    <t>Sección 2</t>
  </si>
  <si>
    <t>Sección 3</t>
  </si>
  <si>
    <t>Sección 4</t>
  </si>
  <si>
    <t>AULAS EN BUEN ESTADO</t>
  </si>
  <si>
    <t>PERSONAL DOCENTE CAPACITADO</t>
  </si>
  <si>
    <t>AULAS OPTIMIZADAS SIN DUPLICAR TURNO</t>
  </si>
  <si>
    <t xml:space="preserve">CAPACIDAD TOTAL MÁXIMA DE ATENCIÓN DE LAS AULA OPTIMIZADAS </t>
  </si>
  <si>
    <t>VERIFICAR QUE EXISTE OPTIMIZACIÓN DE AULAS</t>
  </si>
  <si>
    <t>PERSONAL DOCENTE OPTIMIZADO</t>
  </si>
  <si>
    <t>DOBLE TURNO</t>
  </si>
  <si>
    <t>SI</t>
  </si>
  <si>
    <t>AULA INTEGRADA</t>
  </si>
  <si>
    <t>NÚMERO DE SECCIONES</t>
  </si>
  <si>
    <t>URBANO</t>
  </si>
  <si>
    <t>RURAL</t>
  </si>
  <si>
    <t>MÓDULOS DE EQUIPOS</t>
  </si>
  <si>
    <t>Sala de Usos Múltiples</t>
  </si>
  <si>
    <t>Ambiente de Psicomotricidad</t>
  </si>
  <si>
    <t>SSHH Niños y Niñas</t>
  </si>
  <si>
    <t>Deposito Material Educativo</t>
  </si>
  <si>
    <t>Área de juegos</t>
  </si>
  <si>
    <t>Depósito de aula</t>
  </si>
  <si>
    <t>CÁLCULOS DEMANDA</t>
  </si>
  <si>
    <t>PARÁMETRO</t>
  </si>
  <si>
    <t>PROYECCIÓN DE LA POBLACIÓN DEMANDANTE EFECTIVA CON PROYECTO</t>
  </si>
  <si>
    <t>PROYECCIÓN DE LAS SECCIONES CON PROYECTO</t>
  </si>
  <si>
    <t>CÁLCULOS OFERTA</t>
  </si>
  <si>
    <t>AULAS</t>
  </si>
  <si>
    <t>DOCENTES</t>
  </si>
  <si>
    <t>OFERTA ACTUAL</t>
  </si>
  <si>
    <t>OFERTA OPTIMIZADA</t>
  </si>
  <si>
    <t>CÁLCULOS BRECHA DEL SERVICIO Y AULAS</t>
  </si>
  <si>
    <t>PROYECCIÓN DE LA BRECHA OFERTA-DEMANDA DE AULAS</t>
  </si>
  <si>
    <t>EDAD/AÑO</t>
  </si>
  <si>
    <t>BRECHA_MÁX</t>
  </si>
  <si>
    <t>BENEF</t>
  </si>
  <si>
    <t>SECCIONES REQUERIDAS</t>
  </si>
  <si>
    <t>REQ_AULAS</t>
  </si>
  <si>
    <t>MÁX ALUMNOS POR SECCIÓN</t>
  </si>
  <si>
    <t>ÁREA REQUERIDA(m2)</t>
  </si>
  <si>
    <t>ALUMNOS</t>
  </si>
  <si>
    <t xml:space="preserve">ÁREA </t>
  </si>
  <si>
    <t>BENEFICIARIOS</t>
  </si>
  <si>
    <r>
      <t xml:space="preserve">FICHA TÉCNICA  DE CONSOLIDACION Y PROPUESTA DE INFRAESTRUCTURA </t>
    </r>
    <r>
      <rPr>
        <b/>
        <sz val="12"/>
        <rFont val="Calibri"/>
        <family val="2"/>
      </rPr>
      <t/>
    </r>
  </si>
  <si>
    <t>LÁMINA</t>
  </si>
  <si>
    <t>06</t>
  </si>
  <si>
    <t>12</t>
  </si>
  <si>
    <t>FECHA</t>
  </si>
  <si>
    <t xml:space="preserve">ESTADO Y PROPUESTA </t>
  </si>
  <si>
    <t>ESTADO ACTUAL BLOQUES Y AMBIENTES</t>
  </si>
  <si>
    <t>PROPUESTA BLOQUES Y AMBIENTES</t>
  </si>
  <si>
    <t>Ubicación y capacidad</t>
  </si>
  <si>
    <t>Grado de conservacion</t>
  </si>
  <si>
    <t>No Existentes</t>
  </si>
  <si>
    <t>Grado de Intervención</t>
  </si>
  <si>
    <t>Provision Temporal</t>
  </si>
  <si>
    <t>Bloque   /                  N° Edificacion</t>
  </si>
  <si>
    <t>Ambientes (*)</t>
  </si>
  <si>
    <t xml:space="preserve">N° de niños/docente </t>
  </si>
  <si>
    <t>Area util de Ambiente (m2)</t>
  </si>
  <si>
    <t>Unidad de medida</t>
  </si>
  <si>
    <t>Bueno (B)</t>
  </si>
  <si>
    <t>Regular (R)</t>
  </si>
  <si>
    <t>Mal      (M)</t>
  </si>
  <si>
    <t>Ambiente minimo obligatorio</t>
  </si>
  <si>
    <t>Mantenimiento Correctivo</t>
  </si>
  <si>
    <t>Reforzamiento / Rehabilitación (regular)</t>
  </si>
  <si>
    <t>Sustitución / Nuevo (mal estado/Inexistente) </t>
  </si>
  <si>
    <t>Tiempo (mes)</t>
  </si>
  <si>
    <t>Provision temporal</t>
  </si>
  <si>
    <t>Bloque 1</t>
  </si>
  <si>
    <t>Aulas 03 años  Ardillitas</t>
  </si>
  <si>
    <t>X</t>
  </si>
  <si>
    <t>Aula 01</t>
  </si>
  <si>
    <t>Capacidad N° de niños</t>
  </si>
  <si>
    <t>Aulas 03 años  Conejitos</t>
  </si>
  <si>
    <t>Aula 02</t>
  </si>
  <si>
    <t>Aula</t>
  </si>
  <si>
    <t>Aulas 04 años Pollitos</t>
  </si>
  <si>
    <t>Aula 03</t>
  </si>
  <si>
    <t>SSHH</t>
  </si>
  <si>
    <t>Aulas 04 años Palomitas</t>
  </si>
  <si>
    <t>Aula 04</t>
  </si>
  <si>
    <t>Bloque 02</t>
  </si>
  <si>
    <t>Bloque 3</t>
  </si>
  <si>
    <t>Aulas 05 años</t>
  </si>
  <si>
    <t>Aula 05</t>
  </si>
  <si>
    <t>Aquí se sistematiza el stado de conservacion de las obras exteriores y sus propuestas</t>
  </si>
  <si>
    <t>Bloque 4</t>
  </si>
  <si>
    <t>Sala de Psicomotricidad</t>
  </si>
  <si>
    <t>"N"……………….</t>
  </si>
  <si>
    <t>"n"……………….</t>
  </si>
  <si>
    <t>* Descripcion por ambiente</t>
  </si>
  <si>
    <t>ESTADO ACTUAL OBRAS EXTERIORES</t>
  </si>
  <si>
    <t>PROPUESTA OBRAS EXTERIORES</t>
  </si>
  <si>
    <t>OBRAS EXTERIORES</t>
  </si>
  <si>
    <t xml:space="preserve">Medicion </t>
  </si>
  <si>
    <t>Construcciones minimo obligatorio</t>
  </si>
  <si>
    <t>Construccion</t>
  </si>
  <si>
    <t>Medida</t>
  </si>
  <si>
    <t>Capacidad</t>
  </si>
  <si>
    <t>Veredas, rampas, bancas, etc.</t>
  </si>
  <si>
    <t xml:space="preserve">Tanque de agua </t>
  </si>
  <si>
    <t>1 m3</t>
  </si>
  <si>
    <t>Patio (s)</t>
  </si>
  <si>
    <t>Biodigestor</t>
  </si>
  <si>
    <t>0.5 m3</t>
  </si>
  <si>
    <t>Losa Deportiva de 18 x 30 m, Demarcada y Equipada</t>
  </si>
  <si>
    <t>Cerco</t>
  </si>
  <si>
    <t>H= 3.0 m</t>
  </si>
  <si>
    <t>Tanque Cisterna y Tanque Elevado (15 y 5 m³ )</t>
  </si>
  <si>
    <t>Pérgola (de material liviano)</t>
  </si>
  <si>
    <t>Instalaciones Sanitarias generales</t>
  </si>
  <si>
    <t>Instalaciones Eléctricas generales</t>
  </si>
  <si>
    <t>Cerco Perimétrico</t>
  </si>
  <si>
    <t>CASOS DE INTERVENCION - INVERSION NO PIP</t>
  </si>
  <si>
    <t>CODIGO</t>
  </si>
  <si>
    <t>Inversión Marginal</t>
  </si>
  <si>
    <t>Inversión por rehabilitación</t>
  </si>
  <si>
    <t>Inversión por Reposición</t>
  </si>
  <si>
    <t>Inversión por Optimización</t>
  </si>
  <si>
    <t>AM.01</t>
  </si>
  <si>
    <t>Ampliacion de Servicios Higiencos de inicial</t>
  </si>
  <si>
    <t>RH.01</t>
  </si>
  <si>
    <t>Reconstruccion de cerco perimetrico</t>
  </si>
  <si>
    <t>RP.01</t>
  </si>
  <si>
    <t>Reposicion de sillas y mesas de inicial</t>
  </si>
  <si>
    <t>OP.01</t>
  </si>
  <si>
    <t>Compra de terreno</t>
  </si>
  <si>
    <t>AM.02</t>
  </si>
  <si>
    <t>Ampliacion de Servicios Higiencos de primaria</t>
  </si>
  <si>
    <t>RH.02</t>
  </si>
  <si>
    <t>Reconstruccion de cerco perimetrico e ingreso</t>
  </si>
  <si>
    <t>RP.02</t>
  </si>
  <si>
    <t>Reposicion de sillas y mesas de primaria</t>
  </si>
  <si>
    <t>OP.02</t>
  </si>
  <si>
    <t>Reforzamiento estructural de Aulas</t>
  </si>
  <si>
    <t>AM.03</t>
  </si>
  <si>
    <t>Ampliacion de Servicios Higiencos de secundaria</t>
  </si>
  <si>
    <t>RH.03</t>
  </si>
  <si>
    <t>Reconstruccion de ingreso</t>
  </si>
  <si>
    <t>RP.03</t>
  </si>
  <si>
    <t>Reposicion de sillas y mesas de secundaria</t>
  </si>
  <si>
    <t>OP.03</t>
  </si>
  <si>
    <t>Reforzamiento estructural de  SSHH</t>
  </si>
  <si>
    <t>AM.04</t>
  </si>
  <si>
    <t>Ampliacion de cerco perimetrico</t>
  </si>
  <si>
    <t>RH.04</t>
  </si>
  <si>
    <t>Reconstruccion de patio (losa)</t>
  </si>
  <si>
    <t>RP.04</t>
  </si>
  <si>
    <t>Reposicion de estantes para aulas</t>
  </si>
  <si>
    <t>OP.04</t>
  </si>
  <si>
    <t>Reforzamiento estructural de SUM</t>
  </si>
  <si>
    <t>AM.05</t>
  </si>
  <si>
    <t>RH.05</t>
  </si>
  <si>
    <t>Reconstruccion de losa deportiva</t>
  </si>
  <si>
    <t>RP.05</t>
  </si>
  <si>
    <t>Reposicion de escritorio y silla docente</t>
  </si>
  <si>
    <t>OP.05</t>
  </si>
  <si>
    <t>Reforzamiento estructural de Administracion</t>
  </si>
  <si>
    <t>AM.06</t>
  </si>
  <si>
    <t>Ampliacion de patio</t>
  </si>
  <si>
    <t>RH.06</t>
  </si>
  <si>
    <t>Reconstruccion de techo en ambiente</t>
  </si>
  <si>
    <t>RP.06</t>
  </si>
  <si>
    <t>Reposicion de computadoras CPU</t>
  </si>
  <si>
    <t>OP.06</t>
  </si>
  <si>
    <t>Reforzamiento estructural de cerco perimetrico</t>
  </si>
  <si>
    <t>AM.07</t>
  </si>
  <si>
    <t>Ampliacion de losa deportiva</t>
  </si>
  <si>
    <t>RH.07</t>
  </si>
  <si>
    <t>Reconstruccion de SSHH</t>
  </si>
  <si>
    <t>RP.07</t>
  </si>
  <si>
    <t>Reposicion de Laptops</t>
  </si>
  <si>
    <t>OP.07</t>
  </si>
  <si>
    <t>Cambio de piso en ambiente</t>
  </si>
  <si>
    <t>AM.08</t>
  </si>
  <si>
    <t>Construccion de SSHH</t>
  </si>
  <si>
    <t>RH.08</t>
  </si>
  <si>
    <t>Reemplazo total de instalaciones electricas</t>
  </si>
  <si>
    <t>RP.08</t>
  </si>
  <si>
    <t>Reposicion de Impresoras</t>
  </si>
  <si>
    <t>OP.08</t>
  </si>
  <si>
    <t>Cambio de falso cielo raso</t>
  </si>
  <si>
    <t>AM.09</t>
  </si>
  <si>
    <t>Construccion de muro de contencion</t>
  </si>
  <si>
    <t>RH.09</t>
  </si>
  <si>
    <t>Reemplazo total de instalaciones sanitarias</t>
  </si>
  <si>
    <t>RP.09</t>
  </si>
  <si>
    <t>Reposicion de proyector de video</t>
  </si>
  <si>
    <t>OP.09</t>
  </si>
  <si>
    <t>Instalacion de sistema de seguridad</t>
  </si>
  <si>
    <t>AM.10</t>
  </si>
  <si>
    <t>Construccion de cerco perimetrico</t>
  </si>
  <si>
    <t>RH.10</t>
  </si>
  <si>
    <t>Reparacion de cerco perimetrico</t>
  </si>
  <si>
    <t>RP.10</t>
  </si>
  <si>
    <t>Reposicion de ecran</t>
  </si>
  <si>
    <t>OP.10</t>
  </si>
  <si>
    <t>Tarrajeo y pintado de muros</t>
  </si>
  <si>
    <t>AM.11</t>
  </si>
  <si>
    <t>Construccion de Ingreso</t>
  </si>
  <si>
    <t>RH.11</t>
  </si>
  <si>
    <t>Reparacion de cerco perimetrico e ingreso</t>
  </si>
  <si>
    <t>RP.11</t>
  </si>
  <si>
    <t>OP.11</t>
  </si>
  <si>
    <t>AM.12</t>
  </si>
  <si>
    <t>Construccion de patio</t>
  </si>
  <si>
    <t>RH.12</t>
  </si>
  <si>
    <t>Reparacion de patio (losa)</t>
  </si>
  <si>
    <t>RP.12</t>
  </si>
  <si>
    <t>OP.12</t>
  </si>
  <si>
    <t>AM.13</t>
  </si>
  <si>
    <t>Construccion de losa deportiva</t>
  </si>
  <si>
    <t>RH.13</t>
  </si>
  <si>
    <t>Reparacion de losa deportiva</t>
  </si>
  <si>
    <t>RP.13</t>
  </si>
  <si>
    <t>OP.13</t>
  </si>
  <si>
    <t>Aquí se debera colocar el listado de todos los casos de intervencion, para que el formulador seleccione el o los casos de la intervencion</t>
  </si>
  <si>
    <t>AM.14</t>
  </si>
  <si>
    <t>Construccion de jardines y/o areas verdes</t>
  </si>
  <si>
    <t>RH.14</t>
  </si>
  <si>
    <t>Reparacion de techo en ambiente</t>
  </si>
  <si>
    <t>RP.14</t>
  </si>
  <si>
    <t>OP.14</t>
  </si>
  <si>
    <t>AM.15</t>
  </si>
  <si>
    <t>Construccion de depsito de materiales</t>
  </si>
  <si>
    <t>RH.15</t>
  </si>
  <si>
    <t>Reparacion de muros en ambientes</t>
  </si>
  <si>
    <t>RP.15</t>
  </si>
  <si>
    <t>OP.15</t>
  </si>
  <si>
    <t>AM.16</t>
  </si>
  <si>
    <t>RH.16</t>
  </si>
  <si>
    <t>Reparacion de SSHH</t>
  </si>
  <si>
    <t>RP.16</t>
  </si>
  <si>
    <t>OP.16</t>
  </si>
  <si>
    <t>AM.17</t>
  </si>
  <si>
    <t>RH.17</t>
  </si>
  <si>
    <t>Reparacion de escaleras</t>
  </si>
  <si>
    <t>RP.17</t>
  </si>
  <si>
    <t>OP.17</t>
  </si>
  <si>
    <t>AM.18</t>
  </si>
  <si>
    <t>RH.18</t>
  </si>
  <si>
    <t>Reparacion de Ingreso</t>
  </si>
  <si>
    <t>RP.18</t>
  </si>
  <si>
    <t>OP.18</t>
  </si>
  <si>
    <t>AM.19</t>
  </si>
  <si>
    <t>RH.19</t>
  </si>
  <si>
    <t>Reparacion de instalaciones electricas</t>
  </si>
  <si>
    <t>RP.19</t>
  </si>
  <si>
    <t>OP.19</t>
  </si>
  <si>
    <t>AM.20</t>
  </si>
  <si>
    <t>RH.20</t>
  </si>
  <si>
    <t>Reparacion de instalaciones sanitarias</t>
  </si>
  <si>
    <t>RP.20</t>
  </si>
  <si>
    <t>OP.20</t>
  </si>
  <si>
    <t>AM.21</t>
  </si>
  <si>
    <t>RH.21</t>
  </si>
  <si>
    <t>RP.21</t>
  </si>
  <si>
    <t>OP.21</t>
  </si>
  <si>
    <t>AM.22</t>
  </si>
  <si>
    <t>RH.22</t>
  </si>
  <si>
    <t>RP.22</t>
  </si>
  <si>
    <t>OP.22</t>
  </si>
  <si>
    <t>AM.23</t>
  </si>
  <si>
    <t>RH.23</t>
  </si>
  <si>
    <t>RP.23</t>
  </si>
  <si>
    <t>OP.23</t>
  </si>
  <si>
    <t>AM.24</t>
  </si>
  <si>
    <t>RH.24</t>
  </si>
  <si>
    <t>RP.24</t>
  </si>
  <si>
    <t>OP.24</t>
  </si>
  <si>
    <t>AM.25</t>
  </si>
  <si>
    <t>RH.25</t>
  </si>
  <si>
    <t>RP.25</t>
  </si>
  <si>
    <t>OP.25</t>
  </si>
  <si>
    <t>AM.26</t>
  </si>
  <si>
    <t>RH.26</t>
  </si>
  <si>
    <t>RP.26</t>
  </si>
  <si>
    <t>OP.26</t>
  </si>
  <si>
    <t>CONSOLIDADO DE INTERVENCION</t>
  </si>
  <si>
    <t>PROYECTO DE INVERSION PUIBLICA</t>
  </si>
  <si>
    <t xml:space="preserve">Bloques y Ambientes </t>
  </si>
  <si>
    <t>Codigo</t>
  </si>
  <si>
    <t xml:space="preserve">Metas a Ejecutar </t>
  </si>
  <si>
    <t>Bloque/Construccion</t>
  </si>
  <si>
    <t>Area Normativa</t>
  </si>
  <si>
    <t>Tiempo de construccion</t>
  </si>
  <si>
    <t>Unidad de tiempo</t>
  </si>
  <si>
    <t>Simbologia</t>
  </si>
  <si>
    <t>Nuevo</t>
  </si>
  <si>
    <t>metro lineal</t>
  </si>
  <si>
    <t>metro cuadrado</t>
  </si>
  <si>
    <t>metro cubico</t>
  </si>
  <si>
    <t>Global</t>
  </si>
  <si>
    <t>Und.</t>
  </si>
  <si>
    <t>Existente</t>
  </si>
  <si>
    <t>dia</t>
  </si>
  <si>
    <t>08 horas laborables</t>
  </si>
  <si>
    <t>30 dias calendarios</t>
  </si>
  <si>
    <t>Obras exteriores</t>
  </si>
  <si>
    <t>En esta seccion se sistemnatizara el tipo de inversion ( PIP) y su tipo de intervencion</t>
  </si>
  <si>
    <t>INVERSION NO PIP</t>
  </si>
  <si>
    <t>Metas a Ejecutar (***)</t>
  </si>
  <si>
    <t>Ambiente/Espacio</t>
  </si>
  <si>
    <t>Medidicion</t>
  </si>
  <si>
    <t>Patio existente en mal estado</t>
  </si>
  <si>
    <t>Cerco mal estado</t>
  </si>
  <si>
    <t>En esta seccion se sistemnatizara el tipo de inversion (NO PIP) y su tipo de intervencion</t>
  </si>
  <si>
    <t>*** Se debera identificar la totalidad de intervenciones para el calculo de su costo de inversion, de ser necesario incluir y medir otras actividades necesarias.</t>
  </si>
  <si>
    <t>RESULTADO DE INTERVENCION</t>
  </si>
  <si>
    <t>Tipo de Inversion</t>
  </si>
  <si>
    <t>Tipo de intervención</t>
  </si>
  <si>
    <t>Tipo de documento de pre inversión</t>
  </si>
  <si>
    <t>Escala de inversión (*)</t>
  </si>
  <si>
    <t>PIP</t>
  </si>
  <si>
    <t>Proyecto simplificados</t>
  </si>
  <si>
    <t xml:space="preserve">Ficha Técnica Simplificada </t>
  </si>
  <si>
    <t>&lt;= 3,037,500</t>
  </si>
  <si>
    <t>Proyecto estándar</t>
  </si>
  <si>
    <t xml:space="preserve">Ficha Técnica Estándar </t>
  </si>
  <si>
    <t>&gt; 3,037,500 y 
&lt;=  20,250,000</t>
  </si>
  <si>
    <t>Proyecto no estandarizados</t>
  </si>
  <si>
    <t>Perfil</t>
  </si>
  <si>
    <t>&gt; 20,250,000 y
 &lt;=  60,750,000</t>
  </si>
  <si>
    <t>Proyecto de alta complejidad</t>
  </si>
  <si>
    <t>&gt; 60,750,000 y
 &lt; 1,648,350,000</t>
  </si>
  <si>
    <t>Pyoyecto de muy alta complejidad</t>
  </si>
  <si>
    <t>Perfil Reforzado</t>
  </si>
  <si>
    <t>&gt;=  1,648,350,000</t>
  </si>
  <si>
    <t>En esta seccion se sistemnatizara el tipo de inversion (PIP o NO PIP) y su tipo de intervencion</t>
  </si>
  <si>
    <t>NO PIP</t>
  </si>
  <si>
    <t>Ficha técnica</t>
  </si>
  <si>
    <t>&lt; 1´800,000
&gt; 32,400</t>
  </si>
  <si>
    <t>&lt; 1´800,000
&gt; 32,401</t>
  </si>
  <si>
    <t>&lt; 1´800,000
&gt; 32,402</t>
  </si>
  <si>
    <t>&lt; 1´800,000
&gt; 32,403</t>
  </si>
  <si>
    <t>* La escala de inversion está costeada en soles (S/.)</t>
  </si>
  <si>
    <t>FUNCIÓN DE PRODUCCCIÓN</t>
  </si>
  <si>
    <t>ZONA RURAL (SI: COLOCAR 1, NO: COLOCAR 0)</t>
  </si>
  <si>
    <t>Menos de 15 alumnos</t>
  </si>
  <si>
    <t>Menos de 10 alumnos</t>
  </si>
  <si>
    <t xml:space="preserve">MODELO DE OFERTA PRODUCTIVA EBR-INICIAL </t>
  </si>
  <si>
    <t>INFRAESTRUCTURA</t>
  </si>
  <si>
    <t>DOCENTES (Polidocente)</t>
  </si>
  <si>
    <t>DOCENTES (Unidocente)</t>
  </si>
  <si>
    <t>PERSONAL AUXILIAR</t>
  </si>
  <si>
    <t>PERSONAL DIRECTIVO</t>
  </si>
  <si>
    <t>MATERIALES DIDÁCTICOS</t>
  </si>
  <si>
    <t>Total recursos de infraestructura</t>
  </si>
  <si>
    <t>Proporcionalidad de ambientes pedagógicos</t>
  </si>
  <si>
    <t>mínimo 30 % del área del terreno</t>
  </si>
  <si>
    <t>Estacionamiento.</t>
  </si>
  <si>
    <t>Área de Juegos</t>
  </si>
  <si>
    <t>Área verde</t>
  </si>
  <si>
    <t>Patio</t>
  </si>
  <si>
    <t>Área Terreno</t>
  </si>
  <si>
    <t>Área</t>
  </si>
  <si>
    <t>ambientes obligatorios para ámbito Urbano</t>
  </si>
  <si>
    <t>Deposito Mat Edu</t>
  </si>
  <si>
    <t>Área  de juegos</t>
  </si>
  <si>
    <t>Depósito de Aula</t>
  </si>
  <si>
    <t>ambientes obligatorios para ámbito Rural</t>
  </si>
  <si>
    <t>NO</t>
  </si>
  <si>
    <t>Inicial</t>
  </si>
  <si>
    <t>AÑO 0</t>
  </si>
  <si>
    <t>Nivel</t>
  </si>
  <si>
    <t>Tipo docente</t>
  </si>
  <si>
    <t>Bipersonales rural</t>
  </si>
  <si>
    <t>Polidocente</t>
  </si>
  <si>
    <t>Bipersonales urbana</t>
  </si>
  <si>
    <t>Unidocente</t>
  </si>
  <si>
    <t>Unipersonales rural</t>
  </si>
  <si>
    <t>Unipersonales urbana</t>
  </si>
  <si>
    <t xml:space="preserve">RESULTADOS </t>
  </si>
  <si>
    <t>VERIFICAR DATOS DE AULAS Y/O CAPACIDAD</t>
  </si>
  <si>
    <t>PROYECCIÓN DE LA BRECHA OFERTA-DEMANDA DEL SERVICIO</t>
  </si>
  <si>
    <t>Turno</t>
  </si>
  <si>
    <t>CUADRO N° 01: PROYECCIÓN DE LA POBLACIÓN DEMANDANTE POTENCIAL</t>
  </si>
  <si>
    <t>CUADRO N°02: PROYECCIÓN DE LA POBLACIÓN DEMANDANTE EFECTIVA SIN PROYECTO</t>
  </si>
  <si>
    <t>CUADRO N° 03: PROYECCIÓN DE LAS SECCIONES SIN PROYECTO</t>
  </si>
  <si>
    <t>LLENAR LÁMINAS DE INFORMACIÓN DE SITUACION ACTUAL_CARPETA 3: ANEXO 3  DIAGNOSTICO DE INFRAESTRUCTURA</t>
  </si>
  <si>
    <t>PRODUCTO</t>
  </si>
  <si>
    <t>SUBPRODUCTOS</t>
  </si>
  <si>
    <t>METAS</t>
  </si>
  <si>
    <t>MODELO: ESTRUCTURA DE COSTOS DE INVERSIÓN</t>
  </si>
  <si>
    <t>MODELO: EVALUACION SOCIAL</t>
  </si>
  <si>
    <t>Nota: los gastos generales, utilidad e IGV no son subproductos y deberían formar parte de los items que correspondan. Ver detalle en el Anexo 4.</t>
  </si>
  <si>
    <t>Documentos de propiedad</t>
  </si>
  <si>
    <t>Certitifcado de Posesión</t>
  </si>
  <si>
    <t>Actas de Donación</t>
  </si>
  <si>
    <t>Actas de Convenio de Cesión en Uso</t>
  </si>
  <si>
    <t>Otro documento de propiedad</t>
  </si>
  <si>
    <t>No se disponde de documento de propiedad</t>
  </si>
  <si>
    <t>Nombre d ela oficina</t>
  </si>
  <si>
    <t>UGEL</t>
  </si>
  <si>
    <t>MINEDU</t>
  </si>
  <si>
    <t>DRE</t>
  </si>
  <si>
    <t>REGISTROS PÚBLICOS</t>
  </si>
  <si>
    <t>GOBIERNO MUNICIPAL</t>
  </si>
  <si>
    <t>GOBIERNO CENTRAL</t>
  </si>
  <si>
    <t>PRIVADO</t>
  </si>
  <si>
    <t>ONG</t>
  </si>
  <si>
    <t>NO PRESENTA</t>
  </si>
  <si>
    <t>Educación</t>
  </si>
  <si>
    <t>22-Educación</t>
  </si>
  <si>
    <t xml:space="preserve">047-Educación Básica </t>
  </si>
  <si>
    <t>Responsable de la UEI</t>
  </si>
  <si>
    <t>SERVICIO EDUCATIVO CON BRECHA IDENTIFICADA</t>
  </si>
  <si>
    <t>TIPO DE INTERVENCIÓN</t>
  </si>
  <si>
    <t>INDICADOR 1</t>
  </si>
  <si>
    <t>CALIDAD</t>
  </si>
  <si>
    <t>COBERTURA</t>
  </si>
  <si>
    <t>CALIDAD Y COBERTURA</t>
  </si>
  <si>
    <t xml:space="preserve">% de la infraestructura en buen estado </t>
  </si>
  <si>
    <t>% de la infraestructura en mal estado</t>
  </si>
  <si>
    <t>% del personal con adecuadas capacidades</t>
  </si>
  <si>
    <t>% de personal con inadecuadas capacidades</t>
  </si>
  <si>
    <t>% de equipamiento en buen estado</t>
  </si>
  <si>
    <t>% de equipamiento en mal estado</t>
  </si>
  <si>
    <t>% de intrumentos de gestión de mantenimiento adecuados en la IE</t>
  </si>
  <si>
    <t>% de intrumentos de gestión de la información pedagógica de la IE</t>
  </si>
  <si>
    <t>% de intrumentos de gestión de la información institucional de la IE</t>
  </si>
  <si>
    <t>PROBLEMA CENTRAL</t>
  </si>
  <si>
    <t>INDICADOR</t>
  </si>
  <si>
    <t>La población accede a servicios que no cumplen estándares sectoriales.</t>
  </si>
  <si>
    <t>Población en edad escolar con limitado acceso a servicios educativos.</t>
  </si>
  <si>
    <t>Tasa total de matrícula</t>
  </si>
  <si>
    <t>% de estudiantes adecuadamente atendidos.</t>
  </si>
  <si>
    <t>CAUSAS DIRECTAS</t>
  </si>
  <si>
    <t>CAUSAS INDIRECTAS</t>
  </si>
  <si>
    <t>MEDIOS FUNDAMENTALES</t>
  </si>
  <si>
    <t>EFECTOS DIRECTOS</t>
  </si>
  <si>
    <t>EFECTOS INDIRECTOS</t>
  </si>
  <si>
    <t>OBJETIVO CENTRAL</t>
  </si>
  <si>
    <t>Población en edad escolar con adecuado acceso a servicios educativos.</t>
  </si>
  <si>
    <t>Población educativa con adecuado acceso al servicio educativo</t>
  </si>
  <si>
    <t>Inadecuada oferta educativa</t>
  </si>
  <si>
    <t>Inadecuada gestión de los servicios educativos</t>
  </si>
  <si>
    <t>Inadecuada e insuficiente oferta educativa</t>
  </si>
  <si>
    <t>Infraestructura no cumple con estándares normativos</t>
  </si>
  <si>
    <t>Déficit de infraestructura educativa</t>
  </si>
  <si>
    <t>Déficit de equipamiento educativo</t>
  </si>
  <si>
    <t>Limitada e inadecuado equipamiento educativo</t>
  </si>
  <si>
    <t>Limitada e inadecuada infraestructura educativa</t>
  </si>
  <si>
    <t xml:space="preserve">Equipamiento educativo Inadecuado </t>
  </si>
  <si>
    <t>Déficit de capacidades pedagógicas docente</t>
  </si>
  <si>
    <t>Inadecuada gestión de la información educativa (matrícula, indicadores educativos)</t>
  </si>
  <si>
    <t>Inadecuada gestión de la información institucional (inventario de equipos, mobiliario, seguimiento desempeño pedagógico,otros)</t>
  </si>
  <si>
    <t>Adecuada localización de la IE</t>
  </si>
  <si>
    <t>Infraestructura  cumple con estándares normativos</t>
  </si>
  <si>
    <t>Suficiente infraestructura educativa</t>
  </si>
  <si>
    <t xml:space="preserve">Equipamiento educativo adecuado </t>
  </si>
  <si>
    <t>Suficiente equipamiento educativo</t>
  </si>
  <si>
    <t>Suficiente y adecuada infraestructura educativa</t>
  </si>
  <si>
    <t>Suficiente y adecuado equipamiento educativo</t>
  </si>
  <si>
    <t>Adecuadas capacidades pedagógicas docente</t>
  </si>
  <si>
    <t>Adecuada gestión de la información educativa (matrícula, indicadores educativos)</t>
  </si>
  <si>
    <t>Adecuada gestión de la información institucional (inventario de equipos, mobiliario, seguimiento desempeño pedagógico,otros)</t>
  </si>
  <si>
    <t>La población accede a servicios que cumplen estándares sectoriales.</t>
  </si>
  <si>
    <t>Población educativa con inadecuado acceso al servicio educativo</t>
  </si>
  <si>
    <t>Población en edad escolar con limitado e inadecuado acceso al servicio educativo</t>
  </si>
  <si>
    <t>Población en edad escolar con mayor y adecuado acceso al servicio educativo</t>
  </si>
  <si>
    <t>Reducido logro de aprendizaje de los alumnos.</t>
  </si>
  <si>
    <t>Reducido nivel de desempeño del alumno.</t>
  </si>
  <si>
    <t>Atraso escolar.</t>
  </si>
  <si>
    <t>Ingreso tardío al servicio educativo según nivel educativo.</t>
  </si>
  <si>
    <t>Aumento de la deserción escolar</t>
  </si>
  <si>
    <t>INDICADOR 2</t>
  </si>
  <si>
    <t>Alternativa : Descripción</t>
  </si>
  <si>
    <t>Unidad de Gestión Educativa Local (UGEL)</t>
  </si>
  <si>
    <t>Dirección Regional de Educación (DRE)</t>
  </si>
  <si>
    <t>Gobierno Regional</t>
  </si>
  <si>
    <t>Gobierno Local</t>
  </si>
  <si>
    <t>Dirección de la IE</t>
  </si>
  <si>
    <t>APAFA</t>
  </si>
  <si>
    <t>Sector Privado</t>
  </si>
  <si>
    <t>FUENTE</t>
  </si>
  <si>
    <t>INEI</t>
  </si>
  <si>
    <t>ESCALE</t>
  </si>
  <si>
    <t>ENCUESTA DE CAMPO - ADJUNTAR A LA FICHA</t>
  </si>
  <si>
    <t>INSTITUCIÓN EDUCATIVA</t>
  </si>
  <si>
    <t>ACCIONES (PAQUETES DE TRABAJO)</t>
  </si>
  <si>
    <t>Construcción de ambientes complementarios</t>
  </si>
  <si>
    <t>Construcción de ambientes exteriores</t>
  </si>
  <si>
    <t>Implementación de equipamiento educativo</t>
  </si>
  <si>
    <t>Implementación de equipamiento administrativo</t>
  </si>
  <si>
    <t>Capacitación al personal docente</t>
  </si>
  <si>
    <t>Implementación de TICs</t>
  </si>
  <si>
    <t xml:space="preserve">Programa de operación y mantenimiento de la infraestructura </t>
  </si>
  <si>
    <t>Programa de operación y mantenimiento del equipamiento</t>
  </si>
  <si>
    <t>Protocolo de gestión de información educativa</t>
  </si>
  <si>
    <t>Protocolo de gestión de información institucional</t>
  </si>
  <si>
    <t>CÓDIGO</t>
  </si>
  <si>
    <t>Construcción de ambientes pedagógicos</t>
  </si>
  <si>
    <t>Infraestructura</t>
  </si>
  <si>
    <t>Capacidades</t>
  </si>
  <si>
    <t>Gestión</t>
  </si>
  <si>
    <t>Construcción de ambientes administrativos</t>
  </si>
  <si>
    <t>N°</t>
  </si>
  <si>
    <t>NATURALEZA</t>
  </si>
  <si>
    <t>Limitada oferta educativa</t>
  </si>
  <si>
    <t>CAUSA DIRECTA 1</t>
  </si>
  <si>
    <t>CAUSA DIRECTA 2</t>
  </si>
  <si>
    <t>No requiere</t>
  </si>
  <si>
    <t>ACCIÓN 1</t>
  </si>
  <si>
    <t>ACCIÓN 2</t>
  </si>
  <si>
    <t>ACCIÓN 3</t>
  </si>
  <si>
    <t>ACCIÓN 4</t>
  </si>
  <si>
    <t>ACCIÓN 5</t>
  </si>
  <si>
    <t>ACCIÓN 6</t>
  </si>
  <si>
    <t>ACCIÓN 7</t>
  </si>
  <si>
    <t>ACCIÓN 8</t>
  </si>
  <si>
    <t>maria</t>
  </si>
  <si>
    <t>PARCIALMENTE</t>
  </si>
  <si>
    <t>NO APLICA</t>
  </si>
  <si>
    <t>ADMINISTRACIÓN INDIRECTA -OBRA POR IMPUESTOS</t>
  </si>
  <si>
    <t>ADMINISTRACIÓN INDIRECTA-APP</t>
  </si>
  <si>
    <t>TIPOS DE DOCUMENTOS</t>
  </si>
  <si>
    <t>Acta de Compromiso de Operación y Mantenimiento</t>
  </si>
  <si>
    <t>Resolución de Alcaldía</t>
  </si>
  <si>
    <t>Acuerdo de Concejo Municipal</t>
  </si>
  <si>
    <t>Resolución del Gobierno Regional</t>
  </si>
  <si>
    <t>Acuerdo de Consejo Regional</t>
  </si>
  <si>
    <t>Resolución Ministerial</t>
  </si>
  <si>
    <t>Resolución Directoral</t>
  </si>
  <si>
    <t>Otro</t>
  </si>
  <si>
    <t>ALTA</t>
  </si>
  <si>
    <t>BAJA</t>
  </si>
  <si>
    <t>MEDIA</t>
  </si>
  <si>
    <t xml:space="preserve">BAJO </t>
  </si>
  <si>
    <t>MODERADO</t>
  </si>
  <si>
    <t>MAYOR</t>
  </si>
  <si>
    <t>operacional, contexto de cambio climático, mercado, financiero, legal</t>
  </si>
  <si>
    <t>OPERACIONAL</t>
  </si>
  <si>
    <t>CAMBIO CLIMÁTICO</t>
  </si>
  <si>
    <t>MERCADO</t>
  </si>
  <si>
    <t>FINANCIERO</t>
  </si>
  <si>
    <t>LEGAL</t>
  </si>
  <si>
    <t>Costo S/.</t>
  </si>
  <si>
    <t>OTROS (ESPECIFIQUE)</t>
  </si>
  <si>
    <t>MARCO LÓGICO</t>
  </si>
  <si>
    <t>INIDICADORES</t>
  </si>
  <si>
    <t>MEDIOS DE VERIFICACIÓN</t>
  </si>
  <si>
    <t xml:space="preserve">Elaboración y aprobación de </t>
  </si>
  <si>
    <t>Elaboración y aprobación de
expediente técnico</t>
  </si>
  <si>
    <t>Ejecución de obra.</t>
  </si>
  <si>
    <t>Adquisición de equipamiento</t>
  </si>
  <si>
    <t>Ejecución de capacitación</t>
  </si>
  <si>
    <t>Elaboración y aprobación de TdR con especificaciones sobre el equipamiento</t>
  </si>
  <si>
    <t>Elaboración y aprobación de Bases en capacitación</t>
  </si>
  <si>
    <t>Supervisión y liquidación de obra</t>
  </si>
  <si>
    <t>Registro de publicación de TdRs y convocatoria.</t>
  </si>
  <si>
    <t>Registro de revisión y entrega de expedientes técnicos</t>
  </si>
  <si>
    <t xml:space="preserve"> Informe de supervisión de obras con periodicidad indicada</t>
  </si>
  <si>
    <t xml:space="preserve">Informe de evaluación de
espacios físicos y mobiliario
</t>
  </si>
  <si>
    <t>Resultadosdel informede
evaluación</t>
  </si>
  <si>
    <t>Constancia de entrega de infraestructura, mobiliarioa la entidad encargada de prestar el servicio</t>
  </si>
  <si>
    <t>Estadística de la Calidad Educativa anual – ESCALE</t>
  </si>
  <si>
    <t>META</t>
  </si>
  <si>
    <t>ÍTEM</t>
  </si>
  <si>
    <t>% de alumnos que logran un nivel suficiente en comprensión de textos</t>
  </si>
  <si>
    <t xml:space="preserve"> Los temas educativos continúan siendo una prioridad.</t>
  </si>
  <si>
    <t>Existen proveedores de los bienes y servicios precisos para el proyecto y son capaces de suministrarlos en tiempo oportuno.
Disponibilidad oportuna de los recursos financieros.</t>
  </si>
  <si>
    <t>La motivación de los padres para enviar a sus hijos al colegio no sufre cambios significativos.
Los agentes implicados (autoridades, profesores y padres) participan activamente en el proyecto.</t>
  </si>
  <si>
    <t>Horizonte de evaluación</t>
  </si>
  <si>
    <t xml:space="preserve">Número de años </t>
  </si>
  <si>
    <t>3.2.1. ANÁLISIS DE LA DEMANDA</t>
  </si>
  <si>
    <t>3.2.1.2. Principales parámetros y supuestos considerados para la proyección de la demanda</t>
  </si>
  <si>
    <t>3.2.1.3. Proyección de la Población Demandante Efectiva del Servicio Educativo</t>
  </si>
  <si>
    <t>Responsable de la Formulación y Evaluación</t>
  </si>
  <si>
    <t>Intervención en ambientes pedagógicos</t>
  </si>
  <si>
    <t>Intervención en ambientes administrativos</t>
  </si>
  <si>
    <t>Intervención de ambientes complementarios</t>
  </si>
  <si>
    <t>Intervención de ambientes exteriores</t>
  </si>
  <si>
    <t>Coordenadas UTM - WGS84 y cota</t>
  </si>
  <si>
    <t>(Y):</t>
  </si>
  <si>
    <t>(X):</t>
  </si>
  <si>
    <t>% de alumnos que logran un nivel suficiente en comprensión matemática</t>
  </si>
  <si>
    <t>2.1. PROBLEMA CENTRAL, CAUSAS Y EFECTOS</t>
  </si>
  <si>
    <t>2.1.1.A. Causas Directas</t>
  </si>
  <si>
    <t>2.1.1.C. Efectos Directos</t>
  </si>
  <si>
    <t>2.1.1.B. Causas indirectas</t>
  </si>
  <si>
    <t>2.4. DESCRIPCIÓN DE LAS ALTERNATIVAS DE SOLUCIÓN AL PROBLEMA</t>
  </si>
  <si>
    <t>2.5. REQUERIMIENTOS INSTITUCIONALES Y/O NORMATIVOS</t>
  </si>
  <si>
    <t>3.3. COSTOS DEL PROYECTO</t>
  </si>
  <si>
    <t>3.3.4. COSTOS DE OPERACIÓN Y MANTENIMIENTO CON Y SIN PROYECTO</t>
  </si>
  <si>
    <t>3.3.5. COSTO DE INVERSIÓN POR BENEFICIARIO DIRECTO</t>
  </si>
  <si>
    <t>3.4. BENEFICIOS SOCIALES DEL PROYECTO</t>
  </si>
  <si>
    <t>3.4.1. DESCRIPCIÓN DE LOS BENEFICIOS SOCIALES</t>
  </si>
  <si>
    <t>3.4.2. LOS BENEFICIARIOS DEL HORIZONTE DEL PROYECTO</t>
  </si>
  <si>
    <t>3.5. CRITERIOS DE DECISIÓN DE INVERSIÓN</t>
  </si>
  <si>
    <t>3.6. SOSTENIBILIDAD</t>
  </si>
  <si>
    <t>Si</t>
  </si>
  <si>
    <t>Medidas consideradas en el proyecto para mitigar el riesgo de desastre</t>
  </si>
  <si>
    <t xml:space="preserve">Acción 1: </t>
  </si>
  <si>
    <t>Acción 2:</t>
  </si>
  <si>
    <t>Acción 3:</t>
  </si>
  <si>
    <t>Acción n:</t>
  </si>
  <si>
    <t>3.7. MODALIDAD DE EJECUCIÓN Y FUENTE DE FINANCIAMIENTO</t>
  </si>
  <si>
    <t>3.8. IMPACTO AMBIENTAL</t>
  </si>
  <si>
    <t>MONTOS &lt;=750 UIT</t>
  </si>
  <si>
    <t>3.2.2. ANÁLISIS DE LA OFERTA</t>
  </si>
  <si>
    <t>3.2.3. BALANCE OFERTA - DEMANDA</t>
  </si>
  <si>
    <t>Fecha de Culminación:</t>
  </si>
  <si>
    <t>Código Local</t>
  </si>
  <si>
    <t>2.3.1. Descripción del Objetivo Central</t>
  </si>
  <si>
    <t>Servicio Educativo de Nivel Inicial</t>
  </si>
  <si>
    <t>Subproducto / Metas</t>
  </si>
  <si>
    <t>Costo subtotal 
(soles)</t>
  </si>
  <si>
    <t>Unidad de medida representativa (UMR)</t>
  </si>
  <si>
    <t>Unidad de medida Normativa (m2; m; Glb; Und; etc)
(UMN)</t>
  </si>
  <si>
    <t>Magnitud
(cantidad o medicion)</t>
  </si>
  <si>
    <t>Costo unitario directo S/.  (A.T.)</t>
  </si>
  <si>
    <t>CD</t>
  </si>
  <si>
    <t>GG</t>
  </si>
  <si>
    <t>UTILIDAD</t>
  </si>
  <si>
    <t>SUBTOTAL</t>
  </si>
  <si>
    <t>SP 01: Modulo 01 
(incluye acondicionamiento termico)</t>
  </si>
  <si>
    <t>Acondicionamiento</t>
  </si>
  <si>
    <t>Aula - SUM</t>
  </si>
  <si>
    <t>Amb.</t>
  </si>
  <si>
    <t>SH niños y niñas</t>
  </si>
  <si>
    <t>Despensa</t>
  </si>
  <si>
    <t>SH Administrativo</t>
  </si>
  <si>
    <t>% de circulacion y muros</t>
  </si>
  <si>
    <t>SP 02: Modulo 02 
(incluye acondicionamiento termico)</t>
  </si>
  <si>
    <t>Dormitorio Docente</t>
  </si>
  <si>
    <t>Acondicionamiento termico</t>
  </si>
  <si>
    <t>Ventanas insuladas</t>
  </si>
  <si>
    <t>Acond.</t>
  </si>
  <si>
    <t>Aislamiento en paredes con planchas OBS y Poliestireno extruido XPS</t>
  </si>
  <si>
    <t>Aislamiento en pisos con poliestireno extruido XPS</t>
  </si>
  <si>
    <t>Aislamiento en cobertura con poliestireno extruido XPS</t>
  </si>
  <si>
    <t>Cielo raso suspendido con baldosas termoacusticas</t>
  </si>
  <si>
    <t>SP 03: Cerco Perimetrico - Portada de ingreso</t>
  </si>
  <si>
    <t>Cerco/Ingreso</t>
  </si>
  <si>
    <t>Cerco  perimetrico de estructura metalica enmallado, con sobrecimientos y muros de contencion armados.</t>
  </si>
  <si>
    <t>Portada de ingreso</t>
  </si>
  <si>
    <t>SP 04: Obras Exteriores</t>
  </si>
  <si>
    <t>Sembrado de grass</t>
  </si>
  <si>
    <t>Cunetas pluviales</t>
  </si>
  <si>
    <t>Rejillas metalicas</t>
  </si>
  <si>
    <t>Cobertura con malla rashell</t>
  </si>
  <si>
    <t>Accesibilidad y otros (rampas, veredas, gradas, etc)</t>
  </si>
  <si>
    <t>Instalaciones electricas</t>
  </si>
  <si>
    <t>Instalaciones sanitarias</t>
  </si>
  <si>
    <t>SP 05: Expediente Tecnico de Obra</t>
  </si>
  <si>
    <t>N° de E.T.</t>
  </si>
  <si>
    <t>Estudio</t>
  </si>
  <si>
    <t>SP 06: Supervision de Obra</t>
  </si>
  <si>
    <t>N° de S.O</t>
  </si>
  <si>
    <t>Supervision</t>
  </si>
  <si>
    <t>SP 07: Mobiliario</t>
  </si>
  <si>
    <t>Unidades</t>
  </si>
  <si>
    <t>Mobiliario escolar</t>
  </si>
  <si>
    <t>SP 08: Equipo</t>
  </si>
  <si>
    <t>Juegos infantiles de psicomotricidad gruesa</t>
  </si>
  <si>
    <t>Equipamiento menaje cocina</t>
  </si>
  <si>
    <t>Juegos infantiles</t>
  </si>
  <si>
    <t>Provision temporal del Servicio (*)</t>
  </si>
  <si>
    <t>UMR: Unidad de medida representativa AT ( area techada construida en m2 y equipamiento en Und.).</t>
  </si>
  <si>
    <t>AT: Area Techada (suma de area normativa + % de circulacion y muros, para el ejemplo es 15%).</t>
  </si>
  <si>
    <t>(*) Para la provision temporal del servicio se debera analizar y plantear las mejores acciones para que no se interrumpa el servicio durante la ejecucion del PIP</t>
  </si>
  <si>
    <t>Metrado (Normativo)</t>
  </si>
  <si>
    <t>Elaboracion de Expediente tecnico de Obra</t>
  </si>
  <si>
    <t>Servicio de Supervision de Obra</t>
  </si>
  <si>
    <t>P 01: EDIFICACION LOCAL ESCOLAR DE NIVEL INICIAL, SEGURA Y ACORDE A LAS NORMAS DEL SECTOR</t>
  </si>
  <si>
    <t>P 02: EQUIPAMIENTO EDUCATIVO</t>
  </si>
  <si>
    <t>Se recomienda desagregar el equipamiento por cada uno de los ambientes</t>
  </si>
  <si>
    <t>Ambientes que conforman la programacion arquitectonica del PIP</t>
  </si>
  <si>
    <t>La necesidad funcional de los ambientes, areas y equipamiento debera ser sustentado por la DEI de EBR</t>
  </si>
  <si>
    <t>El diseño arquitectonico debera ser sustentado normativamente (funcional, analisis de indices de ocupacion, sectores pedagogicos, etc) por DINOR</t>
  </si>
  <si>
    <t>Los costos deberan ser sustentados por la Unidad Fornuladora (fuentes, estructuras de costos, costos de operación y mantenimiento, etc)</t>
  </si>
  <si>
    <t xml:space="preserve">Ejemplo: Los costos se tomaron de la UE N° 118 y corresponden a Sierra. Incluye su acondicionamiento </t>
  </si>
  <si>
    <t>MODELO 1: DISEÑO HOMOGENEO  PARA UNA CAPACIDAD DE 15  ALUMNOS</t>
  </si>
  <si>
    <t xml:space="preserve">CUADRO DE PRODUCTOS Y SUBPRODUCTOS DEL PIP </t>
  </si>
  <si>
    <t xml:space="preserve">Costo unitario  S/.  </t>
  </si>
  <si>
    <t>1 niño</t>
  </si>
  <si>
    <t>2 niños</t>
  </si>
  <si>
    <t>3 niños</t>
  </si>
  <si>
    <t>4 niños</t>
  </si>
  <si>
    <t>5 niños</t>
  </si>
  <si>
    <t>6 niños</t>
  </si>
  <si>
    <t>7 niños</t>
  </si>
  <si>
    <t>8 niños</t>
  </si>
  <si>
    <t>9 niños</t>
  </si>
  <si>
    <t>10 niños</t>
  </si>
  <si>
    <t>11 niños</t>
  </si>
  <si>
    <t>12 niños</t>
  </si>
  <si>
    <t>13 niños</t>
  </si>
  <si>
    <t>14 niños</t>
  </si>
  <si>
    <t>15 niños</t>
  </si>
  <si>
    <t>De 10  a 15 niños</t>
  </si>
  <si>
    <t>De 5 a 9 niños</t>
  </si>
  <si>
    <t>De 4 niños a menos</t>
  </si>
  <si>
    <t>Tasa de crecimiento:</t>
  </si>
  <si>
    <t>Años</t>
  </si>
  <si>
    <t>Población</t>
  </si>
  <si>
    <t>Se ha evidenciado que por lo general la población en estos casos es bastante dispersa y no presenta crecimiento poblacional, sino mas bien decrece o se mantiene contante; por lo tanto para la formulación de proyectos de mejoramiento y/o acceso a la educación inicial como parte del sustento se deberá realizar un análisis poblacional con información primaria, el cual incluya un padrón nominado de al menos 10 niños que demandan y/o demandarían el servicio. Para la validez del padrón este deberá estar con huella digital y estar firmado por los padres de familia de los niños que demandaran el servicio. Además debe anexarse las copias de los DNI o partida de nacimiento de los niños.</t>
  </si>
  <si>
    <t xml:space="preserve">CALIDAD </t>
  </si>
  <si>
    <t xml:space="preserve">% de locales educativos con educación inicial que contiene capacidad instalada inadecuada </t>
  </si>
  <si>
    <t>Inadecuada infraestructura educativa</t>
  </si>
  <si>
    <t>Limitadas capacidades del Recurso Humano</t>
  </si>
  <si>
    <t>Inadecuada edificación de la I.E.</t>
  </si>
  <si>
    <t>Déficit de capacidades del recurso humano</t>
  </si>
  <si>
    <t>Limitados instrumentos de planificación, organización y/o monitoreo del servicio en la I.E.</t>
  </si>
  <si>
    <t>Escasos sistemas y/o elementos tecnológicos de gestión en la I.E.</t>
  </si>
  <si>
    <t>Inadecuado equipamiento educativo</t>
  </si>
  <si>
    <t>Deficiente infraestructura educativa</t>
  </si>
  <si>
    <t>Limitado desempeño del recurso humano de la UPS</t>
  </si>
  <si>
    <t>Escasa gestión de la UPS</t>
  </si>
  <si>
    <t>Escasa gestión del capital intelectual en la I.E.</t>
  </si>
  <si>
    <t xml:space="preserve">0103: Educación Inicial </t>
  </si>
  <si>
    <t xml:space="preserve">Indicador </t>
  </si>
  <si>
    <t>Bajos niveles de atención, concentración y motivación de los niños</t>
  </si>
  <si>
    <t>Reducidos logros de aprendizaje de los niños</t>
  </si>
  <si>
    <t>Atrasos en el desarrollo de las capacidades cognitivas, motrices, sociales y afectivas de los niños</t>
  </si>
  <si>
    <t>Escasa contribución al desarrollo integral de las personas y de su comunidad</t>
  </si>
  <si>
    <t>2.2. POBLACIÓN AFECTADA Y POBLACIÓN OBJETIVO*</t>
  </si>
  <si>
    <t>Meta  (%)</t>
  </si>
  <si>
    <t>2.1.1. Descripción del Problema Central</t>
  </si>
  <si>
    <t>* Para este tipo de intervención se requiere que la población del área de influencia sea caracterizada.</t>
  </si>
  <si>
    <t>2.3. OBJETIVO DEL PROYECTO</t>
  </si>
  <si>
    <t>Se dispone con equipamiento educativo adecuado</t>
  </si>
  <si>
    <t>Se genera conocimiento  y las condiciones para transferirlo y reutilizarlo.</t>
  </si>
  <si>
    <t>Elaboración del expediente técnico</t>
  </si>
  <si>
    <t>Contrucción de: aula -SUM, depósito, SSHH niños, cocina, despensa, SSHH administrativo.</t>
  </si>
  <si>
    <t>Construcción del cerco perimétrico.</t>
  </si>
  <si>
    <t>Desarrollo de obras exteriores</t>
  </si>
  <si>
    <t>Adquisición de mobiliario</t>
  </si>
  <si>
    <t>Adquisición de equipos</t>
  </si>
  <si>
    <t>Supervisión de la obra.
Liquidación de la obra.</t>
  </si>
  <si>
    <t>Elaboración de especificaciones técnicas a nivel de esudio definitivo</t>
  </si>
  <si>
    <t>Desarrollo de contenidos digitales de capacitación.</t>
  </si>
  <si>
    <t>Desarrollo de documentos de planificación.</t>
  </si>
  <si>
    <t>SUB TOTAL
(Soles)</t>
  </si>
  <si>
    <t>Elaboracion de Términos de Referencia</t>
  </si>
  <si>
    <t>Desarrollo de contenidos digitales</t>
  </si>
  <si>
    <t>Desarrollo de cursos y/o talleres presenciales</t>
  </si>
  <si>
    <t>Monitoreo y liquidación</t>
  </si>
  <si>
    <t>Desarrollo de instrumentos de monitoreo.</t>
  </si>
  <si>
    <t>Desarrollo de cursos y/o talleres de capacitación.</t>
  </si>
  <si>
    <t>Desarrollo de documentos de planificación</t>
  </si>
  <si>
    <t>Se cuenta con herramientas de gestión de la Unidad Productora de Servicios.</t>
  </si>
  <si>
    <t>Contenido digital</t>
  </si>
  <si>
    <t>Curso / taller</t>
  </si>
  <si>
    <t>Instrumento</t>
  </si>
  <si>
    <t>Desarrollo de instrumentos de monitoreo de la gestión</t>
  </si>
  <si>
    <t>Costo parcial</t>
  </si>
  <si>
    <t xml:space="preserve">        División Funcional</t>
  </si>
  <si>
    <t xml:space="preserve">        Función</t>
  </si>
  <si>
    <t xml:space="preserve">        Grupo Funcional</t>
  </si>
  <si>
    <t xml:space="preserve">        Sector Responsable</t>
  </si>
  <si>
    <t xml:space="preserve">        Tipología del proyecto</t>
  </si>
  <si>
    <t>Educación Inicial</t>
  </si>
  <si>
    <t>Ubigeo</t>
  </si>
  <si>
    <t>sep</t>
  </si>
  <si>
    <t>oct</t>
  </si>
  <si>
    <t>nov</t>
  </si>
  <si>
    <t>dic</t>
  </si>
  <si>
    <t>ene</t>
  </si>
  <si>
    <t>feb</t>
  </si>
  <si>
    <t>mar</t>
  </si>
  <si>
    <t>abr</t>
  </si>
  <si>
    <t>M2 de terreno (según levantamiento topográfico)</t>
  </si>
  <si>
    <t>Área útil de terreno M2 (área donde se puede intervenir)</t>
  </si>
  <si>
    <r>
      <rPr>
        <b/>
        <sz val="20"/>
        <rFont val="Arial"/>
        <family val="2"/>
      </rPr>
      <t>.</t>
    </r>
    <r>
      <rPr>
        <sz val="8"/>
        <rFont val="Arial"/>
        <family val="2"/>
      </rPr>
      <t xml:space="preserve"> Adjuntar plano de ubicación</t>
    </r>
  </si>
  <si>
    <t>Inadecuadas condiciones para la prestación del servicio de educación inicial en</t>
  </si>
  <si>
    <t>Adecuadas condiciones para la prestación del servicio de educación inicial en</t>
  </si>
  <si>
    <t>Valor  de la línea de base (%)</t>
  </si>
  <si>
    <t>% de metas de equipamiento de la institución educativa en condiciones inadecuadas</t>
  </si>
  <si>
    <t>% de metas de edificación de la institución educativa en condiciones inadecuadas</t>
  </si>
  <si>
    <t xml:space="preserve">Titular </t>
  </si>
  <si>
    <t>M2 de terreno (según partida registral o documento de propiedad, de poseer)</t>
  </si>
  <si>
    <t>Elaboración de términos de referencia a nivel de estudio definitivo para contratar la consultoria</t>
  </si>
  <si>
    <t>Elaboración de términos de referencia a nivel de estudio definitivo para contratar la capacitación</t>
  </si>
  <si>
    <t>N° de año de cumplimiento</t>
  </si>
  <si>
    <t>Información primaria (ficha socioeconómica) - adjuntar documento</t>
  </si>
  <si>
    <t>ESCALE, verificada con información primaria - adjuntar documento</t>
  </si>
  <si>
    <t>Niños en el rango de edad de 3 a 5 años</t>
  </si>
  <si>
    <t>4.1. CONCLUSIONES</t>
  </si>
  <si>
    <t>4.2. RECOMENDACIONES</t>
  </si>
  <si>
    <t>V.  ANEXOS</t>
  </si>
  <si>
    <t>Localización apta para intervenir?</t>
  </si>
  <si>
    <t>3.2.2.2. Principales parámetros y supuestos considerados para la proyección de la oferta</t>
  </si>
  <si>
    <t>3.2.2.3. Proyección de la Oferta del Servicio Educativo</t>
  </si>
  <si>
    <t>.</t>
  </si>
  <si>
    <t>Soles</t>
  </si>
  <si>
    <t>Servicio</t>
  </si>
  <si>
    <t>Depósito de material educativo y fungible</t>
  </si>
  <si>
    <t>Cocina apoyo alimentario</t>
  </si>
  <si>
    <t>Estar</t>
  </si>
  <si>
    <t>Instalaciones sanitarias  (redes externas)</t>
  </si>
  <si>
    <t>Estar de vivienda docente</t>
  </si>
  <si>
    <t>Kit de psicomotricidad (Aula - SUM)</t>
  </si>
  <si>
    <t>Kitchenette (Cocina de vivienda docente)</t>
  </si>
  <si>
    <t>m2 
(AT)</t>
  </si>
  <si>
    <t>TSD</t>
  </si>
  <si>
    <t>Costos incrementales  (pv)</t>
  </si>
  <si>
    <t>Costos incrementales  (ps)</t>
  </si>
  <si>
    <t>Actos preparatorios y proceso de selección para Expediente Técnico</t>
  </si>
  <si>
    <t xml:space="preserve">Actos preparatorios y proceso de selección de Contratista y Supervisor de Obra </t>
  </si>
  <si>
    <t>Actos preparatorios y proceso de selección</t>
  </si>
  <si>
    <t>(*) Se requiere se adjunte el detalle del mobiliario y el equipamiento pedagógico</t>
  </si>
  <si>
    <t>Valor</t>
  </si>
  <si>
    <t>EJECUCIÓN (Bimestres)</t>
  </si>
  <si>
    <t>___</t>
  </si>
  <si>
    <t>Acción</t>
  </si>
  <si>
    <t>Herramienta</t>
  </si>
  <si>
    <t xml:space="preserve">Servicio de control de calidad del equipamiento </t>
  </si>
  <si>
    <t>Documento oficial de la UGEL</t>
  </si>
  <si>
    <t xml:space="preserve">Compromiso </t>
  </si>
  <si>
    <t>Es responsable con cargo a su presupuesto institucional?</t>
  </si>
  <si>
    <t>Indicador*</t>
  </si>
  <si>
    <t>3.3.2. CRONOGRAMA DE EJECUCIÓN FÍSICA</t>
  </si>
  <si>
    <t>3.3.3. CRONOGRAMA DE EJECUCIÓN FINANCIERA</t>
  </si>
  <si>
    <t>Unidad de medida representativa</t>
  </si>
  <si>
    <t>Documento*</t>
  </si>
  <si>
    <t>* Adjuntar documentos de sustento</t>
  </si>
  <si>
    <t>A). EXPEDIENTE TÉCNICO DE OBRA</t>
  </si>
  <si>
    <t>B). OBRAS CIVILES</t>
  </si>
  <si>
    <t>A) ESPECIFICACIONES TÉCNICAS</t>
  </si>
  <si>
    <t>C). SUPERVISIÓN Y CONTROL DE CALIDAD</t>
  </si>
  <si>
    <t>II.  IDENTIFICACIÓN</t>
  </si>
  <si>
    <t>III.  FORMULACIÓN Y EVALUACIÓN</t>
  </si>
  <si>
    <t>3.2.1.1.  Descripción de la metodología empleada y las fuentes de información en la estimación de la demanda</t>
  </si>
  <si>
    <t>Costo unitario en Soles 
(Incl. GG, Útil e IGV)</t>
  </si>
  <si>
    <t>INVERSIÓN TOTAL   (Precios privados)</t>
  </si>
  <si>
    <t>FACTOR DE CORRECCIÓN</t>
  </si>
  <si>
    <t>Elaboración de Expediente Técnico de Obra</t>
  </si>
  <si>
    <t>Servicios higiénicos para niños y niñas</t>
  </si>
  <si>
    <t>Elaboración de Términos de Referencia</t>
  </si>
  <si>
    <t>Dormitorio para el docente en vivienda</t>
  </si>
  <si>
    <t>Servicio higiénico para el docente en vivienda</t>
  </si>
  <si>
    <t>% de circulación y muros</t>
  </si>
  <si>
    <t>Servicio higiénico para el docente</t>
  </si>
  <si>
    <t>Dormitorio para el docente</t>
  </si>
  <si>
    <t>Rejillas metálicas (cunetas)</t>
  </si>
  <si>
    <t>Instalaciones eléctricas (redes externas)</t>
  </si>
  <si>
    <t>Telefonía y/o Internet  (redes externas)</t>
  </si>
  <si>
    <t>Muro de contención</t>
  </si>
  <si>
    <t>Área de disposición de residuos solidos</t>
  </si>
  <si>
    <t>Servicio de supervisión de obra</t>
  </si>
  <si>
    <t>Elaboración de especificaciones técnicas</t>
  </si>
  <si>
    <t>Equipamiento de la Dirección</t>
  </si>
  <si>
    <t>3.3.1. COSTOS DE INVERSIÓN</t>
  </si>
  <si>
    <t>INVERSIÓN TOTAL   (Precios sociales)</t>
  </si>
  <si>
    <t>• Disminución de la deserción escolar.
• Mejores niveles de atención, concentración y motivación a los niños.
• Progresos en el desarrollo de las capacidades cognitivas, motrices, sociales y afectivas de los niños.
• Mayores logros de aprendizaje de los niños.
• Contribución con el desarrollo integral de las personas y de su comunidad.</t>
  </si>
  <si>
    <t>Costo (S/)</t>
  </si>
  <si>
    <t>3.2.1.3. Proyección de la demanda del servicio educativo</t>
  </si>
  <si>
    <t>(Referido a los aspectos técnicos y regulatorios que el proyecto deberá cumplir durante su fase de ejecución y fase de funcionamiento (como el saneamiento técnico legal y/o los arreglos institucionales corrrespondientes, sustento de factibilidad de servicios de agua, desagüe y electricidad, certificado de parámetros urbanísticos, cumplimiento de permisos y autorizaciones, entre otros).</t>
  </si>
  <si>
    <t>Certificado de búsqueda catastral, la partida registral o documento que acredite la propiedad</t>
  </si>
  <si>
    <t xml:space="preserve">Descripción complementaria o adicional para esclarecer aspectos importantes sobre la condición del terreno </t>
  </si>
  <si>
    <t>En caso que la UF evidencie que la UEI (y/o la entidad a la que pertenece) no cuenta con la libre disponibilidad del terreno para la ejecución del proyecto, la UF deberá señalar los procedimientos y/o arreglos institucionales que conllevarán a contar con las condiciones físico - legales que aseguren la intervención en el terreno</t>
  </si>
  <si>
    <t>Entidad y órgano responsable de implementar, hacer seguimiento y concretar de manera oportuna los procedimientos y/o arreglos institucionales</t>
  </si>
  <si>
    <t xml:space="preserve">
DESARROLLO  DE  CAPACIDADES</t>
  </si>
  <si>
    <t xml:space="preserve">
GESTIÓN  DE  LA  UPS</t>
  </si>
  <si>
    <t xml:space="preserve">PRODUCTO </t>
  </si>
  <si>
    <t>UNIDAD FISICA</t>
  </si>
  <si>
    <t>Meta</t>
  </si>
  <si>
    <t>TAMAÑO</t>
  </si>
  <si>
    <t xml:space="preserve">Unidad de medida </t>
  </si>
  <si>
    <t>Estructura</t>
  </si>
  <si>
    <t>Supervisión de obra</t>
  </si>
  <si>
    <t xml:space="preserve">Especificaciones técnicas </t>
  </si>
  <si>
    <t>Monitor de calidad (mobiliario y equipos)</t>
  </si>
  <si>
    <t>Términos de Referencia</t>
  </si>
  <si>
    <t>Espacio</t>
  </si>
  <si>
    <t>N° de mobiliario</t>
  </si>
  <si>
    <t>Horizonte de ejecución</t>
  </si>
  <si>
    <t xml:space="preserve">A. MODALIDAD DE EJECUCIÓN </t>
  </si>
  <si>
    <t>ml</t>
  </si>
  <si>
    <t>Unidades de Activos: Obras Exteriores</t>
  </si>
  <si>
    <t>Unidad de Activo: Cerco Perimétrico - Portada de ingreso</t>
  </si>
  <si>
    <t>Unidad de Activo: Bloque 02
(puede incluir acondicionamiento térmico)</t>
  </si>
  <si>
    <t>Unidad de Activo: Bloque 01
(puede incluir acondicionamiento térmico)</t>
  </si>
  <si>
    <t xml:space="preserve"> 
INFRAESTRUCTURA (EDIFICACIONES)</t>
  </si>
  <si>
    <t>Unidades de Activos: Mobiliario</t>
  </si>
  <si>
    <t xml:space="preserve">Unidades de Activos: Equipamiento Pedagógico </t>
  </si>
  <si>
    <t>Unidades de Activos: Generación de capacidades</t>
  </si>
  <si>
    <t>Unidades de Activos: Herramientas de gestión</t>
  </si>
  <si>
    <t>Acciones/Activos</t>
  </si>
  <si>
    <t>Nombre del órgano que hace de UF</t>
  </si>
  <si>
    <t>Órgano técnico responsable</t>
  </si>
  <si>
    <t>Entidad pública</t>
  </si>
  <si>
    <t>Región (Costa, Sierra o Selva)</t>
  </si>
  <si>
    <t xml:space="preserve">En caso que la UF evidencie, que el terreno no cuenta con el saneamiento físico legal o arreglos institucionales a favor de la entidad que será responsable de la administración del inmueble durante el funcionamiento del servicio educativo, la UF deberá señalar los procedimientos y/o arreglos institucionales que aseguren dicha administración </t>
  </si>
  <si>
    <t>Situación actual del saneamiento físico legal del terreno en el que se ubica la institución educativa</t>
  </si>
  <si>
    <t>Se cuenta con una edificación educativa adecuada</t>
  </si>
  <si>
    <t>3.2.2.1. Descripción de los principales factores de producción que determinan la oferta actual del servicio educativo</t>
  </si>
  <si>
    <t>Nombre del producto/
componente</t>
  </si>
  <si>
    <t>SUBPRODUCTO/ACTIVOS/METAS</t>
  </si>
  <si>
    <t>Cerco perimétrico de estructura metalica enmallado, con sobrecimientos y muros de contención armados.</t>
  </si>
  <si>
    <t>AT: Área Techada (suma de area normativa + % de circulación y muros, para el ejemplo es 15%).</t>
  </si>
  <si>
    <t>Para el registro en el banco de inversiones, se entiende a cada componente como subproducto y a las acciones como la intervención sobre los activos y sus respectivas metas.</t>
  </si>
  <si>
    <t>B) MOBILIARIO Y EQUIPAMIENTO(*)</t>
  </si>
  <si>
    <t>Actividad/Acción</t>
  </si>
  <si>
    <t>Nota: los gastos generales, utilidad e IGV no son subproductos y deberían formar parte de los items que correspondan. Anexar el detalle.</t>
  </si>
  <si>
    <t>Unidad de Medida y Metas 
(asociada a la unidad de subproducto)</t>
  </si>
  <si>
    <t>Producto/sub
productos</t>
  </si>
  <si>
    <t xml:space="preserve">
EQUIPAMIENTO </t>
  </si>
  <si>
    <t>C) SUPERVISIÓN DE OBRA</t>
  </si>
  <si>
    <t>Expediente Técnico de Obra</t>
  </si>
  <si>
    <t>Costo / Eficiencia</t>
  </si>
  <si>
    <t>Ser responsable de la operación y mantenimiento de la institución educativa</t>
  </si>
  <si>
    <t>IV.  CONCLUSIONES Y RECOMENDACIONES</t>
  </si>
  <si>
    <t>Indicar relación de anexos que se debe adjuntar a la Ficha Técnica</t>
  </si>
  <si>
    <t>2.1.1.D. Efectos Indirectos</t>
  </si>
  <si>
    <t>3.6.1. ¿EL ÁREA DONDE SE UBICA EL PROYECTO HA SIDO AFECTADA POR ALGÚN DESASTRE?</t>
  </si>
  <si>
    <t xml:space="preserve">FICHA TÉCNICA SIMPLIFICADA PARA PROYECTOS DE INVERSIÓN EN INSTITUCIONES EDUCATIVAS DE NIVEL INICIAL QUE PRESTEN SERVICIOS A UN NUMERO REFERENCIAL DE QUINCE (15) NIÑOS. VERSIÓN 1.0 </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</si>
</sst>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8" formatCode="&quot;S/.&quot;\ #,##0.00;[Red]&quot;S/.&quot;\ \-#,##0.00"/>
    <numFmt numFmtId="164" formatCode="_(&quot;S/.&quot;* #,##0.00_);_(&quot;S/.&quot;* \(#,##0.00\);_(&quot;S/.&quot;* &quot;-&quot;??_);_(@_)"/>
    <numFmt numFmtId="165" formatCode="_(* #,##0.00_);_(* \(#,##0.00\);_(* &quot;-&quot;??_);_(@_)"/>
    <numFmt numFmtId="166" formatCode="_ * #,##0.000_ ;_ * \-#,##0.000_ ;_ * &quot;-&quot;??_ ;_ @_ "/>
    <numFmt numFmtId="167" formatCode="0.0"/>
    <numFmt numFmtId="168" formatCode="_-* #,##0\ _€_-;\-* #,##0\ _€_-;_-* &quot;-&quot;??\ _€_-;_-@_-"/>
    <numFmt numFmtId="169" formatCode="&quot;S/.&quot;\ #,##0.00"/>
    <numFmt numFmtId="170" formatCode="#,##0\ _€"/>
    <numFmt numFmtId="171" formatCode="0;[Red]0"/>
    <numFmt numFmtId="172" formatCode="_([$€]* #,##0.00_);_([$€]* \(#,##0.00\);_([$€]* &quot;-&quot;??_);_(@_)"/>
    <numFmt numFmtId="173" formatCode="#,##0.00\ &quot;m2&quot;;\-#,##0.00\ &quot;m2&quot;"/>
    <numFmt numFmtId="174" formatCode="_ * #,##0.0000_ ;_ * \-#,##0.0000_ ;_ * &quot;-&quot;??_ ;_ @_ "/>
    <numFmt numFmtId="175" formatCode="_ * #,##0.00000_ ;_ * \-#,##0.00000_ ;_ * &quot;-&quot;??_ ;_ @_ "/>
    <numFmt numFmtId="176" formatCode="#,##0.00_ ;\-#,##0.00\ "/>
    <numFmt numFmtId="177" formatCode="_ &quot;S/.&quot;* #,##0.00_ ;_ &quot;S/.&quot;* \-#,##0.00_ ;_ &quot;S/.&quot;* &quot;-&quot;??_ ;_ @_ "/>
    <numFmt numFmtId="178" formatCode="_ &quot;S/.&quot;\ * #,##0_ ;_ &quot;S/.&quot;\ * \-#,##0_ ;_ &quot;S/.&quot;\ * &quot;-&quot;??_ ;_ @_ "/>
    <numFmt numFmtId="179" formatCode="_ * #,##0_ ;_ * \-#,##0_ ;_ * &quot;-&quot;??_ ;_ @_ "/>
    <numFmt numFmtId="180" formatCode="&quot;S/.&quot;\ #,##0"/>
    <numFmt numFmtId="181" formatCode="_-* #,##0.00\ _€_-;\-* #,##0.00\ _€_-;_-* &quot;-&quot;??\ _€_-;_-@_-"/>
    <numFmt numFmtId="182" formatCode="#,##0.000"/>
    <numFmt numFmtId="183" formatCode="_ [$S/.-280A]\ * #,##0.00_ ;_ [$S/.-280A]\ * \-#,##0.00_ ;_ [$S/.-280A]\ * &quot;-&quot;??_ ;_ @_ "/>
    <numFmt numFmtId="184" formatCode="0.000"/>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b/>
      <sz val="10"/>
      <color indexed="9"/>
      <name val="Arial"/>
      <family val="2"/>
    </font>
    <font>
      <sz val="10"/>
      <color indexed="9"/>
      <name val="Arial"/>
      <family val="2"/>
    </font>
    <font>
      <b/>
      <sz val="9"/>
      <name val="Arial"/>
      <family val="2"/>
    </font>
    <font>
      <sz val="10"/>
      <color rgb="FF0070C0"/>
      <name val="Arial"/>
      <family val="2"/>
    </font>
    <font>
      <sz val="10"/>
      <color theme="3" tint="0.39997558519241921"/>
      <name val="Arial"/>
      <family val="2"/>
    </font>
    <font>
      <b/>
      <sz val="12"/>
      <name val="Arial"/>
      <family val="2"/>
    </font>
    <font>
      <b/>
      <sz val="8"/>
      <name val="Arial"/>
      <family val="2"/>
    </font>
    <font>
      <sz val="10"/>
      <name val="Arial"/>
      <family val="2"/>
    </font>
    <font>
      <b/>
      <i/>
      <sz val="9"/>
      <name val="Arial"/>
      <family val="2"/>
    </font>
    <font>
      <sz val="9"/>
      <name val="Arial"/>
      <family val="2"/>
    </font>
    <font>
      <i/>
      <sz val="9"/>
      <name val="Arial"/>
      <family val="2"/>
    </font>
    <font>
      <sz val="8"/>
      <name val="Arial"/>
      <family val="2"/>
    </font>
    <font>
      <sz val="10"/>
      <name val="Arial"/>
      <family val="2"/>
    </font>
    <font>
      <sz val="9"/>
      <color rgb="FFFF0000"/>
      <name val="Arial"/>
      <family val="2"/>
    </font>
    <font>
      <sz val="10"/>
      <color theme="1"/>
      <name val="Arial"/>
      <family val="2"/>
    </font>
    <font>
      <sz val="10"/>
      <color theme="0"/>
      <name val="Arial"/>
      <family val="2"/>
    </font>
    <font>
      <b/>
      <sz val="10"/>
      <color theme="0"/>
      <name val="Arial"/>
      <family val="2"/>
    </font>
    <font>
      <b/>
      <sz val="11"/>
      <name val="Arial"/>
      <family val="2"/>
    </font>
    <font>
      <b/>
      <sz val="11"/>
      <color indexed="9"/>
      <name val="Arial"/>
      <family val="2"/>
    </font>
    <font>
      <sz val="11"/>
      <color indexed="9"/>
      <name val="Arial"/>
      <family val="2"/>
    </font>
    <font>
      <sz val="9"/>
      <color indexed="9"/>
      <name val="Arial"/>
      <family val="2"/>
    </font>
    <font>
      <b/>
      <sz val="12"/>
      <color indexed="9"/>
      <name val="Arial"/>
      <family val="2"/>
    </font>
    <font>
      <sz val="12"/>
      <color indexed="9"/>
      <name val="Arial"/>
      <family val="2"/>
    </font>
    <font>
      <b/>
      <sz val="9"/>
      <color theme="0"/>
      <name val="Arial"/>
      <family val="2"/>
    </font>
    <font>
      <sz val="9"/>
      <color theme="0"/>
      <name val="Arial"/>
      <family val="2"/>
    </font>
    <font>
      <b/>
      <sz val="8"/>
      <color theme="0"/>
      <name val="Arial"/>
      <family val="2"/>
    </font>
    <font>
      <sz val="8"/>
      <color theme="0"/>
      <name val="Arial"/>
      <family val="2"/>
    </font>
    <font>
      <sz val="16"/>
      <color theme="1"/>
      <name val="Calibri"/>
      <family val="2"/>
      <scheme val="minor"/>
    </font>
    <font>
      <b/>
      <sz val="16"/>
      <color theme="1"/>
      <name val="Calibri"/>
      <family val="2"/>
      <scheme val="minor"/>
    </font>
    <font>
      <sz val="9"/>
      <color theme="1"/>
      <name val="Arial"/>
      <family val="2"/>
    </font>
    <font>
      <sz val="10"/>
      <color rgb="FFC00000"/>
      <name val="Arial"/>
      <family val="2"/>
    </font>
    <font>
      <sz val="8"/>
      <color indexed="9"/>
      <name val="Arial"/>
      <family val="2"/>
    </font>
    <font>
      <sz val="8"/>
      <color theme="0" tint="-0.34998626667073579"/>
      <name val="Arial"/>
      <family val="2"/>
    </font>
    <font>
      <b/>
      <sz val="11"/>
      <name val="Calibri"/>
      <family val="2"/>
    </font>
    <font>
      <sz val="8.5"/>
      <name val="Arial"/>
      <family val="2"/>
    </font>
    <font>
      <b/>
      <sz val="8.5"/>
      <name val="Arial"/>
      <family val="2"/>
    </font>
    <font>
      <sz val="10"/>
      <name val="Arial"/>
      <family val="2"/>
    </font>
    <font>
      <sz val="8"/>
      <color theme="1"/>
      <name val="Arial"/>
      <family val="2"/>
    </font>
    <font>
      <sz val="9"/>
      <name val="Arial Narrow"/>
      <family val="2"/>
    </font>
    <font>
      <sz val="9"/>
      <color theme="1"/>
      <name val="Arial Narrow"/>
      <family val="2"/>
    </font>
    <font>
      <sz val="11"/>
      <name val="Calibri"/>
      <family val="2"/>
      <scheme val="minor"/>
    </font>
    <font>
      <b/>
      <sz val="9"/>
      <name val="Arial Narrow"/>
      <family val="2"/>
    </font>
    <font>
      <b/>
      <vertAlign val="superscript"/>
      <sz val="11"/>
      <name val="Arial"/>
      <family val="2"/>
    </font>
    <font>
      <b/>
      <sz val="9"/>
      <color theme="1"/>
      <name val="Arial"/>
      <family val="2"/>
    </font>
    <font>
      <b/>
      <u/>
      <sz val="9"/>
      <color theme="1"/>
      <name val="Arial"/>
      <family val="2"/>
    </font>
    <font>
      <b/>
      <sz val="12"/>
      <color theme="0"/>
      <name val="Swis721 Cn BT"/>
      <family val="2"/>
    </font>
    <font>
      <b/>
      <sz val="10"/>
      <name val="Swis721 Cn BT"/>
      <family val="2"/>
    </font>
    <font>
      <b/>
      <sz val="10"/>
      <color theme="1"/>
      <name val="Swis721 Cn BT"/>
      <family val="2"/>
    </font>
    <font>
      <sz val="10"/>
      <color theme="1"/>
      <name val="Swis721 Cn BT"/>
      <family val="2"/>
    </font>
    <font>
      <b/>
      <sz val="11"/>
      <name val="Calibri"/>
      <family val="2"/>
      <scheme val="minor"/>
    </font>
    <font>
      <sz val="9"/>
      <color rgb="FFFF0000"/>
      <name val="Arial Narrow"/>
      <family val="2"/>
    </font>
    <font>
      <sz val="7"/>
      <name val="Arial"/>
      <family val="2"/>
    </font>
    <font>
      <sz val="7"/>
      <color rgb="FF002060"/>
      <name val="Arial"/>
      <family val="2"/>
    </font>
    <font>
      <b/>
      <sz val="9"/>
      <color indexed="8"/>
      <name val="Arial"/>
      <family val="2"/>
    </font>
    <font>
      <sz val="9"/>
      <color indexed="8"/>
      <name val="Arial"/>
      <family val="2"/>
    </font>
    <font>
      <b/>
      <sz val="9"/>
      <name val="Swis721 Cn BT"/>
      <family val="2"/>
    </font>
    <font>
      <sz val="10"/>
      <name val="Swis721 Cn BT"/>
      <family val="2"/>
    </font>
    <font>
      <sz val="9"/>
      <name val="Swis721 Cn BT"/>
      <family val="2"/>
    </font>
    <font>
      <sz val="8"/>
      <color theme="1"/>
      <name val="Swis721 Cn BT"/>
      <family val="2"/>
    </font>
    <font>
      <sz val="11"/>
      <color theme="1"/>
      <name val="Swis721 Cn BT"/>
      <family val="2"/>
    </font>
    <font>
      <i/>
      <sz val="8"/>
      <name val="Arial"/>
      <family val="2"/>
    </font>
    <font>
      <b/>
      <sz val="9"/>
      <color theme="1"/>
      <name val="Arial Narrow"/>
      <family val="2"/>
    </font>
    <font>
      <i/>
      <sz val="9"/>
      <color rgb="FF60497A"/>
      <name val="Arial Narrow"/>
      <family val="2"/>
    </font>
    <font>
      <i/>
      <sz val="9"/>
      <color rgb="FF002060"/>
      <name val="Arial"/>
      <family val="2"/>
    </font>
    <font>
      <i/>
      <sz val="9"/>
      <color rgb="FF60497A"/>
      <name val="Arial"/>
      <family val="2"/>
    </font>
    <font>
      <i/>
      <sz val="8"/>
      <name val="Arial Narrow"/>
      <family val="2"/>
    </font>
    <font>
      <sz val="8"/>
      <name val="Arial Narrow"/>
      <family val="2"/>
    </font>
    <font>
      <i/>
      <sz val="9"/>
      <name val="Arial Narrow"/>
      <family val="2"/>
    </font>
    <font>
      <b/>
      <sz val="9"/>
      <color indexed="81"/>
      <name val="Tahoma"/>
      <family val="2"/>
    </font>
    <font>
      <sz val="9"/>
      <color indexed="81"/>
      <name val="Tahoma"/>
      <family val="2"/>
    </font>
    <font>
      <b/>
      <sz val="8"/>
      <color theme="1"/>
      <name val="Arial"/>
      <family val="2"/>
    </font>
    <font>
      <sz val="18"/>
      <name val="Arial"/>
      <family val="2"/>
    </font>
    <font>
      <sz val="18"/>
      <color theme="1"/>
      <name val="Arial"/>
      <family val="2"/>
    </font>
    <font>
      <b/>
      <sz val="8"/>
      <name val="Arial Narrow"/>
      <family val="2"/>
    </font>
    <font>
      <b/>
      <sz val="8"/>
      <color theme="1"/>
      <name val="Arial Narrow"/>
      <family val="2"/>
    </font>
    <font>
      <sz val="8"/>
      <color theme="1"/>
      <name val="Arial Narrow"/>
      <family val="2"/>
    </font>
    <font>
      <i/>
      <sz val="8"/>
      <color theme="1"/>
      <name val="Arial Narrow"/>
      <family val="2"/>
    </font>
    <font>
      <i/>
      <sz val="9"/>
      <color rgb="FF002060"/>
      <name val="Arial Narrow"/>
      <family val="2"/>
    </font>
    <font>
      <b/>
      <sz val="15"/>
      <color theme="3"/>
      <name val="Calibri"/>
      <family val="2"/>
      <scheme val="minor"/>
    </font>
    <font>
      <sz val="11"/>
      <color rgb="FF3F3F76"/>
      <name val="Calibri"/>
      <family val="2"/>
      <scheme val="minor"/>
    </font>
    <font>
      <sz val="11"/>
      <name val="Calibri"/>
      <family val="2"/>
    </font>
    <font>
      <sz val="8"/>
      <name val="Calibri"/>
      <family val="2"/>
    </font>
    <font>
      <sz val="10"/>
      <name val="Agency FB"/>
      <family val="2"/>
    </font>
    <font>
      <sz val="11"/>
      <name val="Agency FB"/>
      <family val="2"/>
    </font>
    <font>
      <b/>
      <sz val="11"/>
      <color rgb="FF3F3F76"/>
      <name val="Agency FB"/>
      <family val="2"/>
    </font>
    <font>
      <b/>
      <sz val="11"/>
      <color theme="0"/>
      <name val="Agency FB"/>
      <family val="2"/>
    </font>
    <font>
      <b/>
      <sz val="10"/>
      <color theme="0"/>
      <name val="Agency FB"/>
      <family val="2"/>
    </font>
    <font>
      <b/>
      <sz val="15"/>
      <color theme="3"/>
      <name val="Agency FB"/>
      <family val="2"/>
    </font>
    <font>
      <sz val="11"/>
      <color theme="0"/>
      <name val="Agency FB"/>
      <family val="2"/>
    </font>
    <font>
      <sz val="10"/>
      <color theme="0"/>
      <name val="Agency FB"/>
      <family val="2"/>
    </font>
    <font>
      <sz val="10"/>
      <color theme="1"/>
      <name val="Agency FB"/>
      <family val="2"/>
    </font>
    <font>
      <sz val="10"/>
      <color rgb="FFFF0000"/>
      <name val="Agency FB"/>
      <family val="2"/>
    </font>
    <font>
      <sz val="8"/>
      <name val="Calibri"/>
      <family val="2"/>
      <scheme val="minor"/>
    </font>
    <font>
      <b/>
      <sz val="12"/>
      <name val="Calibri"/>
      <family val="2"/>
      <scheme val="minor"/>
    </font>
    <font>
      <b/>
      <sz val="12"/>
      <name val="Calibri"/>
      <family val="2"/>
    </font>
    <font>
      <b/>
      <sz val="8"/>
      <name val="Calibri"/>
      <family val="2"/>
      <scheme val="minor"/>
    </font>
    <font>
      <b/>
      <sz val="10"/>
      <color indexed="9"/>
      <name val="Calibri"/>
      <family val="2"/>
      <scheme val="minor"/>
    </font>
    <font>
      <sz val="8"/>
      <color indexed="9"/>
      <name val="Calibri"/>
      <family val="2"/>
      <scheme val="minor"/>
    </font>
    <font>
      <b/>
      <sz val="8"/>
      <color indexed="9"/>
      <name val="Calibri"/>
      <family val="2"/>
      <scheme val="minor"/>
    </font>
    <font>
      <b/>
      <sz val="9"/>
      <name val="Calibri"/>
      <family val="2"/>
      <scheme val="minor"/>
    </font>
    <font>
      <sz val="9"/>
      <name val="Calibri"/>
      <family val="2"/>
      <scheme val="minor"/>
    </font>
    <font>
      <b/>
      <sz val="10"/>
      <color rgb="FFFF0000"/>
      <name val="Calibri"/>
      <family val="2"/>
      <scheme val="minor"/>
    </font>
    <font>
      <sz val="10"/>
      <name val="Calibri"/>
      <family val="2"/>
      <scheme val="minor"/>
    </font>
    <font>
      <b/>
      <sz val="10"/>
      <name val="Calibri"/>
      <family val="2"/>
      <scheme val="minor"/>
    </font>
    <font>
      <sz val="9.5"/>
      <color theme="1"/>
      <name val="Arial Narrow"/>
      <family val="2"/>
    </font>
    <font>
      <sz val="10"/>
      <color theme="1"/>
      <name val="Calibri"/>
      <family val="2"/>
      <scheme val="minor"/>
    </font>
    <font>
      <sz val="10"/>
      <color theme="1"/>
      <name val="Arial Narrow"/>
      <family val="2"/>
    </font>
    <font>
      <b/>
      <sz val="9.5"/>
      <color theme="1"/>
      <name val="Arial Narrow"/>
      <family val="2"/>
    </font>
    <font>
      <b/>
      <sz val="11"/>
      <name val="Agency FB"/>
      <family val="2"/>
    </font>
    <font>
      <b/>
      <sz val="10"/>
      <name val="Agency FB"/>
      <family val="2"/>
    </font>
    <font>
      <b/>
      <sz val="12"/>
      <color rgb="FF003366"/>
      <name val="Agency FB"/>
      <family val="2"/>
    </font>
    <font>
      <sz val="16"/>
      <color rgb="FFFF0000"/>
      <name val="Calibri"/>
      <family val="2"/>
      <scheme val="minor"/>
    </font>
    <font>
      <b/>
      <sz val="20"/>
      <color rgb="FF0070C0"/>
      <name val="Arial"/>
      <family val="2"/>
    </font>
    <font>
      <b/>
      <sz val="20"/>
      <color rgb="FF0070C0"/>
      <name val="Calibri"/>
      <family val="2"/>
      <scheme val="minor"/>
    </font>
    <font>
      <b/>
      <sz val="12"/>
      <color rgb="FF0070C0"/>
      <name val="Arial Narrow"/>
      <family val="2"/>
    </font>
    <font>
      <b/>
      <sz val="16"/>
      <color rgb="FF0070C0"/>
      <name val="Arial Narrow"/>
      <family val="2"/>
    </font>
    <font>
      <sz val="8"/>
      <color rgb="FFFF0000"/>
      <name val="Arial"/>
      <family val="2"/>
    </font>
    <font>
      <b/>
      <sz val="20"/>
      <name val="Arial"/>
      <family val="2"/>
    </font>
    <font>
      <b/>
      <sz val="8"/>
      <color theme="1" tint="0.34998626667073579"/>
      <name val="Arial"/>
      <family val="2"/>
    </font>
    <font>
      <sz val="8"/>
      <color theme="1" tint="0.34998626667073579"/>
      <name val="Arial"/>
      <family val="2"/>
    </font>
    <font>
      <b/>
      <sz val="8"/>
      <color theme="1" tint="0.249977111117893"/>
      <name val="Arial"/>
      <family val="2"/>
    </font>
    <font>
      <sz val="8"/>
      <color rgb="FF0000FF"/>
      <name val="Arial"/>
      <family val="2"/>
    </font>
    <font>
      <sz val="9"/>
      <color rgb="FF0000FF"/>
      <name val="Arial"/>
      <family val="2"/>
    </font>
    <font>
      <sz val="8.5"/>
      <color rgb="FF0000FF"/>
      <name val="Arial"/>
      <family val="2"/>
    </font>
    <font>
      <b/>
      <sz val="11"/>
      <color rgb="FF0000FF"/>
      <name val="Arial"/>
      <family val="2"/>
    </font>
    <font>
      <b/>
      <sz val="8"/>
      <color rgb="FF0000FF"/>
      <name val="Arial"/>
      <family val="2"/>
    </font>
    <font>
      <sz val="8"/>
      <color rgb="FF000000"/>
      <name val="Arial"/>
      <family val="2"/>
    </font>
    <font>
      <sz val="6"/>
      <name val="Arial"/>
      <family val="2"/>
    </font>
    <font>
      <b/>
      <sz val="12"/>
      <name val="Arial Black"/>
      <family val="2"/>
    </font>
  </fonts>
  <fills count="4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rgb="FF000000"/>
      </patternFill>
    </fill>
    <fill>
      <patternFill patternType="solid">
        <fgColor theme="7" tint="0.79998168889431442"/>
        <bgColor indexed="64"/>
      </patternFill>
    </fill>
    <fill>
      <patternFill patternType="solid">
        <fgColor theme="0" tint="-0.14999847407452621"/>
        <bgColor rgb="FF000000"/>
      </patternFill>
    </fill>
    <fill>
      <patternFill patternType="solid">
        <fgColor rgb="FFFFFFFF"/>
        <bgColor rgb="FF000000"/>
      </patternFill>
    </fill>
    <fill>
      <patternFill patternType="solid">
        <fgColor theme="0"/>
        <bgColor rgb="FF000000"/>
      </patternFill>
    </fill>
    <fill>
      <patternFill patternType="solid">
        <fgColor theme="2" tint="-9.9978637043366805E-2"/>
        <bgColor indexed="64"/>
      </patternFill>
    </fill>
    <fill>
      <patternFill patternType="solid">
        <fgColor theme="4" tint="-0.249977111117893"/>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FF0000"/>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rgb="FFFFCC99"/>
      </patternFill>
    </fill>
    <fill>
      <patternFill patternType="solid">
        <fgColor rgb="FFC4BD97"/>
        <bgColor indexed="64"/>
      </patternFill>
    </fill>
    <fill>
      <patternFill patternType="solid">
        <fgColor rgb="FFD8E4BC"/>
        <bgColor indexed="64"/>
      </patternFill>
    </fill>
    <fill>
      <patternFill patternType="solid">
        <fgColor rgb="FFB8CCE4"/>
        <bgColor indexed="64"/>
      </patternFill>
    </fill>
    <fill>
      <patternFill patternType="solid">
        <fgColor rgb="FFFCD5B4"/>
        <bgColor indexed="64"/>
      </patternFill>
    </fill>
    <fill>
      <patternFill patternType="solid">
        <fgColor theme="3"/>
        <bgColor indexed="64"/>
      </patternFill>
    </fill>
    <fill>
      <patternFill patternType="solid">
        <fgColor theme="8"/>
        <bgColor indexed="64"/>
      </patternFill>
    </fill>
    <fill>
      <patternFill patternType="solid">
        <fgColor indexed="5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39997558519241921"/>
        <bgColor indexed="64"/>
      </patternFill>
    </fill>
    <fill>
      <patternFill patternType="solid">
        <fgColor theme="9" tint="-0.24994659260841701"/>
        <bgColor indexed="64"/>
      </patternFill>
    </fill>
    <fill>
      <patternFill patternType="solid">
        <fgColor theme="8" tint="-0.249977111117893"/>
        <bgColor indexed="64"/>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hair">
        <color auto="1"/>
      </left>
      <right style="hair">
        <color auto="1"/>
      </right>
      <top style="hair">
        <color auto="1"/>
      </top>
      <bottom/>
      <diagonal/>
    </border>
    <border>
      <left/>
      <right/>
      <top style="thin">
        <color auto="1"/>
      </top>
      <bottom style="hair">
        <color auto="1"/>
      </bottom>
      <diagonal/>
    </border>
    <border>
      <left style="hair">
        <color auto="1"/>
      </left>
      <right/>
      <top/>
      <bottom style="thin">
        <color auto="1"/>
      </bottom>
      <diagonal/>
    </border>
    <border>
      <left style="thin">
        <color theme="3" tint="0.39994506668294322"/>
      </left>
      <right style="thin">
        <color theme="3" tint="0.39991454817346722"/>
      </right>
      <top style="thin">
        <color theme="3" tint="0.39994506668294322"/>
      </top>
      <bottom/>
      <diagonal/>
    </border>
    <border>
      <left style="thin">
        <color theme="3" tint="0.39991454817346722"/>
      </left>
      <right style="thin">
        <color theme="3" tint="0.39994506668294322"/>
      </right>
      <top style="thin">
        <color theme="3" tint="0.39994506668294322"/>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1454817346722"/>
      </right>
      <top/>
      <bottom/>
      <diagonal/>
    </border>
    <border>
      <left style="thin">
        <color theme="3" tint="0.39991454817346722"/>
      </left>
      <right style="thin">
        <color theme="3" tint="0.39994506668294322"/>
      </right>
      <top/>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1454817346722"/>
      </right>
      <top/>
      <bottom style="thin">
        <color theme="3" tint="0.39994506668294322"/>
      </bottom>
      <diagonal/>
    </border>
    <border>
      <left style="thin">
        <color theme="3" tint="0.39991454817346722"/>
      </left>
      <right style="thin">
        <color theme="3" tint="0.39994506668294322"/>
      </right>
      <top/>
      <bottom style="thin">
        <color theme="3" tint="0.39994506668294322"/>
      </bottom>
      <diagonal/>
    </border>
    <border>
      <left style="thin">
        <color theme="3" tint="0.39994506668294322"/>
      </left>
      <right style="thin">
        <color theme="3" tint="0.39994506668294322"/>
      </right>
      <top/>
      <bottom style="thin">
        <color theme="3" tint="0.39994506668294322"/>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double">
        <color theme="3"/>
      </left>
      <right style="double">
        <color theme="3"/>
      </right>
      <top style="double">
        <color theme="3"/>
      </top>
      <bottom style="double">
        <color theme="3"/>
      </bottom>
      <diagonal/>
    </border>
    <border>
      <left style="double">
        <color theme="3"/>
      </left>
      <right style="thin">
        <color rgb="FF7F7F7F"/>
      </right>
      <top style="double">
        <color theme="3"/>
      </top>
      <bottom style="double">
        <color theme="3"/>
      </bottom>
      <diagonal/>
    </border>
    <border>
      <left style="thin">
        <color rgb="FF7F7F7F"/>
      </left>
      <right style="thin">
        <color rgb="FF7F7F7F"/>
      </right>
      <top style="double">
        <color theme="3"/>
      </top>
      <bottom style="double">
        <color theme="3"/>
      </bottom>
      <diagonal/>
    </border>
    <border>
      <left style="thin">
        <color rgb="FF7F7F7F"/>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bottom style="double">
        <color theme="3"/>
      </bottom>
      <diagonal/>
    </border>
    <border>
      <left style="double">
        <color theme="0"/>
      </left>
      <right style="double">
        <color theme="0"/>
      </right>
      <top style="double">
        <color theme="0"/>
      </top>
      <bottom style="double">
        <color theme="0"/>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double">
        <color theme="0"/>
      </left>
      <right/>
      <top/>
      <bottom/>
      <diagonal/>
    </border>
    <border>
      <left style="double">
        <color theme="3"/>
      </left>
      <right style="double">
        <color theme="3"/>
      </right>
      <top/>
      <bottom style="double">
        <color theme="3"/>
      </bottom>
      <diagonal/>
    </border>
    <border>
      <left/>
      <right style="double">
        <color theme="3"/>
      </right>
      <top/>
      <bottom style="double">
        <color theme="3"/>
      </bottom>
      <diagonal/>
    </border>
    <border>
      <left style="double">
        <color theme="0"/>
      </left>
      <right style="double">
        <color theme="3"/>
      </right>
      <top style="double">
        <color theme="0"/>
      </top>
      <bottom style="double">
        <color theme="0"/>
      </bottom>
      <diagonal/>
    </border>
    <border>
      <left style="double">
        <color theme="3"/>
      </left>
      <right style="double">
        <color theme="0"/>
      </right>
      <top style="double">
        <color theme="0"/>
      </top>
      <bottom style="double">
        <color theme="0"/>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right/>
      <top style="double">
        <color theme="3"/>
      </top>
      <bottom style="double">
        <color theme="3"/>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bottom style="double">
        <color theme="0"/>
      </bottom>
      <diagonal/>
    </border>
    <border>
      <left/>
      <right style="double">
        <color theme="0"/>
      </right>
      <top/>
      <bottom style="double">
        <color theme="0"/>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26">
    <xf numFmtId="0" fontId="0" fillId="0" borderId="0"/>
    <xf numFmtId="9" fontId="13"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3" fillId="0" borderId="0"/>
    <xf numFmtId="164" fontId="42" fillId="0" borderId="0" applyFont="0" applyFill="0" applyBorder="0" applyAlignment="0" applyProtection="0"/>
    <xf numFmtId="0" fontId="2" fillId="0" borderId="0"/>
    <xf numFmtId="0" fontId="5" fillId="0" borderId="0"/>
    <xf numFmtId="0" fontId="5" fillId="0" borderId="0"/>
    <xf numFmtId="0" fontId="5" fillId="0" borderId="0"/>
    <xf numFmtId="0" fontId="2"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2" fillId="0" borderId="0"/>
    <xf numFmtId="0" fontId="2" fillId="0" borderId="0"/>
    <xf numFmtId="165" fontId="5" fillId="0" borderId="0" applyFont="0" applyFill="0" applyBorder="0" applyAlignment="0" applyProtection="0"/>
    <xf numFmtId="177" fontId="2" fillId="0" borderId="0" applyFont="0" applyFill="0" applyBorder="0" applyAlignment="0" applyProtection="0"/>
    <xf numFmtId="165" fontId="2" fillId="0" borderId="0" applyFont="0" applyFill="0" applyBorder="0" applyAlignment="0" applyProtection="0"/>
    <xf numFmtId="0" fontId="5" fillId="0" borderId="0"/>
    <xf numFmtId="0" fontId="84" fillId="0" borderId="56" applyNumberFormat="0" applyFill="0" applyAlignment="0" applyProtection="0"/>
    <xf numFmtId="0" fontId="85" fillId="31" borderId="57" applyNumberFormat="0" applyAlignment="0" applyProtection="0"/>
    <xf numFmtId="165" fontId="5" fillId="0" borderId="0" applyFont="0" applyFill="0" applyBorder="0" applyAlignment="0" applyProtection="0"/>
    <xf numFmtId="0" fontId="1" fillId="0" borderId="0"/>
  </cellStyleXfs>
  <cellXfs count="2235">
    <xf numFmtId="0" fontId="0" fillId="0" borderId="0" xfId="0"/>
    <xf numFmtId="0" fontId="5" fillId="0" borderId="0" xfId="0" applyFont="1"/>
    <xf numFmtId="0" fontId="8" fillId="6" borderId="1" xfId="0" applyFont="1" applyFill="1" applyBorder="1" applyAlignment="1">
      <alignment vertical="center"/>
    </xf>
    <xf numFmtId="0" fontId="17" fillId="0" borderId="1" xfId="0" applyFont="1" applyBorder="1" applyAlignment="1">
      <alignment horizontal="center" vertical="center"/>
    </xf>
    <xf numFmtId="0" fontId="33" fillId="0" borderId="0" xfId="0" applyFont="1" applyAlignment="1">
      <alignment wrapText="1"/>
    </xf>
    <xf numFmtId="0" fontId="34" fillId="0" borderId="0" xfId="0" applyFont="1" applyAlignment="1">
      <alignment wrapText="1"/>
    </xf>
    <xf numFmtId="4" fontId="34" fillId="0" borderId="0" xfId="0" applyNumberFormat="1" applyFont="1" applyAlignment="1">
      <alignment wrapText="1"/>
    </xf>
    <xf numFmtId="4" fontId="33" fillId="0" borderId="0" xfId="0" applyNumberFormat="1" applyFont="1" applyAlignment="1">
      <alignment wrapText="1"/>
    </xf>
    <xf numFmtId="0" fontId="33" fillId="0" borderId="1" xfId="0" applyFont="1" applyBorder="1" applyAlignment="1">
      <alignment wrapText="1"/>
    </xf>
    <xf numFmtId="0" fontId="15" fillId="0" borderId="0" xfId="0" applyFont="1" applyBorder="1" applyAlignment="1">
      <alignment vertical="center"/>
    </xf>
    <xf numFmtId="0" fontId="5" fillId="0" borderId="0" xfId="0" applyFont="1" applyAlignment="1">
      <alignment vertical="center"/>
    </xf>
    <xf numFmtId="0" fontId="17" fillId="0" borderId="0" xfId="0" applyFont="1" applyBorder="1" applyAlignment="1">
      <alignment vertical="center"/>
    </xf>
    <xf numFmtId="0" fontId="15" fillId="0" borderId="0" xfId="0" applyFont="1" applyAlignment="1">
      <alignment vertical="center"/>
    </xf>
    <xf numFmtId="0" fontId="17" fillId="0" borderId="9" xfId="0" applyFont="1" applyBorder="1" applyAlignment="1">
      <alignment vertical="center"/>
    </xf>
    <xf numFmtId="0" fontId="8" fillId="6" borderId="1" xfId="0" applyFont="1" applyFill="1" applyBorder="1" applyAlignment="1">
      <alignment horizontal="center" vertical="center"/>
    </xf>
    <xf numFmtId="0" fontId="8" fillId="6" borderId="1" xfId="0" applyFont="1" applyFill="1" applyBorder="1" applyAlignment="1">
      <alignment horizontal="center"/>
    </xf>
    <xf numFmtId="0" fontId="0" fillId="0" borderId="0" xfId="0" applyAlignment="1">
      <alignment horizontal="center" vertical="center"/>
    </xf>
    <xf numFmtId="0" fontId="0" fillId="0" borderId="0" xfId="0" applyAlignment="1">
      <alignment horizontal="center"/>
    </xf>
    <xf numFmtId="0" fontId="0" fillId="0" borderId="0" xfId="0" applyAlignment="1">
      <alignment vertical="center"/>
    </xf>
    <xf numFmtId="0" fontId="39" fillId="0" borderId="0" xfId="0" applyFont="1" applyAlignment="1">
      <alignment vertical="center"/>
    </xf>
    <xf numFmtId="0" fontId="5" fillId="0" borderId="0" xfId="0" applyFont="1" applyAlignment="1">
      <alignment horizontal="center" vertical="center"/>
    </xf>
    <xf numFmtId="0" fontId="0" fillId="0" borderId="0" xfId="0" applyAlignment="1"/>
    <xf numFmtId="0" fontId="4" fillId="0" borderId="0" xfId="0" applyFont="1" applyAlignment="1">
      <alignment horizontal="center" vertical="center"/>
    </xf>
    <xf numFmtId="0" fontId="4" fillId="0" borderId="0" xfId="0" applyFont="1" applyAlignment="1">
      <alignment vertical="center"/>
    </xf>
    <xf numFmtId="0" fontId="5" fillId="0" borderId="0" xfId="0" applyFont="1" applyAlignment="1">
      <alignment horizontal="left" vertical="center"/>
    </xf>
    <xf numFmtId="0" fontId="0" fillId="0" borderId="0" xfId="0" applyAlignment="1">
      <alignment horizontal="left"/>
    </xf>
    <xf numFmtId="0" fontId="44" fillId="0" borderId="0" xfId="0" applyFont="1"/>
    <xf numFmtId="0" fontId="8" fillId="14" borderId="1" xfId="0" applyFont="1" applyFill="1" applyBorder="1" applyAlignment="1">
      <alignment horizontal="center" vertical="center" wrapText="1"/>
    </xf>
    <xf numFmtId="0" fontId="44" fillId="0" borderId="0" xfId="0" applyFont="1" applyBorder="1"/>
    <xf numFmtId="165" fontId="44" fillId="0" borderId="0" xfId="0" applyNumberFormat="1" applyFont="1"/>
    <xf numFmtId="0" fontId="44" fillId="3" borderId="0" xfId="0" applyFont="1" applyFill="1"/>
    <xf numFmtId="0" fontId="8" fillId="14" borderId="1" xfId="10" applyFont="1" applyFill="1" applyBorder="1" applyAlignment="1">
      <alignment horizontal="center" vertical="center" wrapText="1"/>
    </xf>
    <xf numFmtId="0" fontId="8" fillId="14" borderId="1" xfId="10" applyFont="1" applyFill="1" applyBorder="1" applyAlignment="1">
      <alignment horizontal="center" vertical="center"/>
    </xf>
    <xf numFmtId="170" fontId="8" fillId="18" borderId="1" xfId="9" applyNumberFormat="1" applyFont="1" applyFill="1" applyBorder="1" applyAlignment="1">
      <alignment horizontal="center" vertical="center"/>
    </xf>
    <xf numFmtId="170" fontId="8" fillId="18" borderId="1" xfId="9" applyNumberFormat="1" applyFont="1" applyFill="1" applyBorder="1" applyAlignment="1">
      <alignment horizontal="center" vertical="center" wrapText="1"/>
    </xf>
    <xf numFmtId="170" fontId="8" fillId="20" borderId="15" xfId="9" applyNumberFormat="1" applyFont="1" applyFill="1" applyBorder="1"/>
    <xf numFmtId="0" fontId="15" fillId="6" borderId="9" xfId="10" applyFont="1" applyFill="1" applyBorder="1"/>
    <xf numFmtId="0" fontId="8" fillId="6" borderId="1" xfId="10" applyFont="1" applyFill="1" applyBorder="1" applyAlignment="1">
      <alignment horizontal="center"/>
    </xf>
    <xf numFmtId="0" fontId="15" fillId="6" borderId="15" xfId="10" applyFont="1" applyFill="1" applyBorder="1"/>
    <xf numFmtId="4" fontId="8" fillId="20" borderId="15" xfId="9" applyNumberFormat="1" applyFont="1" applyFill="1" applyBorder="1" applyAlignment="1">
      <alignment horizontal="right"/>
    </xf>
    <xf numFmtId="2" fontId="8" fillId="6" borderId="1" xfId="10" applyNumberFormat="1" applyFont="1" applyFill="1" applyBorder="1"/>
    <xf numFmtId="0" fontId="14" fillId="0" borderId="1" xfId="10" applyFont="1" applyFill="1" applyBorder="1" applyAlignment="1">
      <alignment horizontal="left" wrapText="1"/>
    </xf>
    <xf numFmtId="0" fontId="8" fillId="0" borderId="1" xfId="10" applyFont="1" applyFill="1" applyBorder="1" applyAlignment="1">
      <alignment horizontal="left"/>
    </xf>
    <xf numFmtId="0" fontId="35" fillId="0" borderId="0" xfId="0" applyFont="1"/>
    <xf numFmtId="4" fontId="15" fillId="0" borderId="1" xfId="10" applyNumberFormat="1" applyFont="1" applyFill="1" applyBorder="1" applyAlignment="1">
      <alignment horizontal="right"/>
    </xf>
    <xf numFmtId="4" fontId="8" fillId="0" borderId="1" xfId="10" applyNumberFormat="1" applyFont="1" applyFill="1" applyBorder="1"/>
    <xf numFmtId="4" fontId="8" fillId="0" borderId="1" xfId="9" applyNumberFormat="1" applyFont="1" applyFill="1" applyBorder="1" applyAlignment="1">
      <alignment horizontal="center"/>
    </xf>
    <xf numFmtId="0" fontId="15" fillId="0" borderId="1" xfId="10" applyFont="1" applyBorder="1"/>
    <xf numFmtId="0" fontId="15" fillId="0" borderId="1" xfId="10" applyFont="1" applyFill="1" applyBorder="1"/>
    <xf numFmtId="0" fontId="15" fillId="0" borderId="1" xfId="10" applyFont="1" applyFill="1" applyBorder="1" applyAlignment="1">
      <alignment horizontal="center"/>
    </xf>
    <xf numFmtId="0" fontId="15" fillId="0" borderId="1" xfId="10" applyFont="1" applyFill="1" applyBorder="1" applyAlignment="1">
      <alignment horizontal="center" vertical="center"/>
    </xf>
    <xf numFmtId="4" fontId="15" fillId="0" borderId="1" xfId="10" applyNumberFormat="1" applyFont="1" applyFill="1" applyBorder="1"/>
    <xf numFmtId="0" fontId="15" fillId="0" borderId="1" xfId="10" applyFont="1" applyFill="1" applyBorder="1" applyAlignment="1">
      <alignment horizontal="left"/>
    </xf>
    <xf numFmtId="0" fontId="14" fillId="0" borderId="1" xfId="10" applyFont="1" applyFill="1" applyBorder="1" applyAlignment="1">
      <alignment horizontal="left"/>
    </xf>
    <xf numFmtId="0" fontId="8" fillId="0" borderId="1" xfId="10" applyFont="1" applyFill="1" applyBorder="1" applyAlignment="1">
      <alignment horizontal="center"/>
    </xf>
    <xf numFmtId="0" fontId="8" fillId="0" borderId="1" xfId="10" applyFont="1" applyFill="1" applyBorder="1" applyAlignment="1">
      <alignment vertical="center" wrapText="1"/>
    </xf>
    <xf numFmtId="0" fontId="8" fillId="0" borderId="1" xfId="10" applyFont="1" applyFill="1" applyBorder="1" applyAlignment="1">
      <alignment horizontal="center" vertical="center" wrapText="1"/>
    </xf>
    <xf numFmtId="170" fontId="15" fillId="21" borderId="1" xfId="9" applyNumberFormat="1" applyFont="1" applyFill="1" applyBorder="1"/>
    <xf numFmtId="170" fontId="15" fillId="21" borderId="1" xfId="9" applyNumberFormat="1" applyFont="1" applyFill="1" applyBorder="1" applyAlignment="1">
      <alignment horizontal="center" vertical="center"/>
    </xf>
    <xf numFmtId="4" fontId="15" fillId="0" borderId="1" xfId="9" applyNumberFormat="1" applyFont="1" applyFill="1" applyBorder="1"/>
    <xf numFmtId="4" fontId="15" fillId="0" borderId="1" xfId="9" applyNumberFormat="1" applyFont="1" applyFill="1" applyBorder="1" applyAlignment="1">
      <alignment horizontal="right"/>
    </xf>
    <xf numFmtId="170" fontId="8" fillId="20" borderId="1" xfId="9" applyNumberFormat="1" applyFont="1" applyFill="1" applyBorder="1"/>
    <xf numFmtId="170" fontId="15" fillId="20" borderId="1" xfId="9" applyNumberFormat="1" applyFont="1" applyFill="1" applyBorder="1"/>
    <xf numFmtId="170" fontId="8" fillId="6" borderId="1" xfId="9" applyNumberFormat="1" applyFont="1" applyFill="1" applyBorder="1" applyAlignment="1">
      <alignment horizontal="center" vertical="center"/>
    </xf>
    <xf numFmtId="4" fontId="15" fillId="20" borderId="1" xfId="9" applyNumberFormat="1" applyFont="1" applyFill="1" applyBorder="1"/>
    <xf numFmtId="4" fontId="15" fillId="20" borderId="1" xfId="9" applyNumberFormat="1" applyFont="1" applyFill="1" applyBorder="1" applyAlignment="1">
      <alignment horizontal="center"/>
    </xf>
    <xf numFmtId="4" fontId="8" fillId="20" borderId="1" xfId="9" applyNumberFormat="1" applyFont="1" applyFill="1" applyBorder="1" applyAlignment="1">
      <alignment horizontal="right"/>
    </xf>
    <xf numFmtId="170" fontId="15" fillId="0" borderId="1" xfId="9" applyNumberFormat="1" applyFont="1" applyFill="1" applyBorder="1"/>
    <xf numFmtId="170" fontId="15" fillId="21" borderId="1" xfId="9" applyNumberFormat="1" applyFont="1" applyFill="1" applyBorder="1" applyAlignment="1">
      <alignment horizontal="center" vertical="top"/>
    </xf>
    <xf numFmtId="4" fontId="8" fillId="22" borderId="1" xfId="9" applyNumberFormat="1" applyFont="1" applyFill="1" applyBorder="1" applyAlignment="1">
      <alignment horizontal="right"/>
    </xf>
    <xf numFmtId="4" fontId="8" fillId="0" borderId="1" xfId="9" applyNumberFormat="1" applyFont="1" applyFill="1" applyBorder="1" applyAlignment="1">
      <alignment horizontal="right"/>
    </xf>
    <xf numFmtId="170" fontId="15" fillId="0" borderId="1" xfId="9" applyNumberFormat="1" applyFont="1" applyFill="1" applyBorder="1" applyAlignment="1">
      <alignment horizontal="center" vertical="center"/>
    </xf>
    <xf numFmtId="170" fontId="15" fillId="0" borderId="1" xfId="9" applyNumberFormat="1" applyFont="1" applyFill="1" applyBorder="1" applyAlignment="1">
      <alignment vertical="center"/>
    </xf>
    <xf numFmtId="170" fontId="15" fillId="21" borderId="1" xfId="9" applyNumberFormat="1" applyFont="1" applyFill="1" applyBorder="1" applyAlignment="1">
      <alignment vertical="center"/>
    </xf>
    <xf numFmtId="4" fontId="15" fillId="0" borderId="1" xfId="9" applyNumberFormat="1" applyFont="1" applyFill="1" applyBorder="1" applyAlignment="1">
      <alignment horizontal="right" vertical="center"/>
    </xf>
    <xf numFmtId="0" fontId="15" fillId="0" borderId="1" xfId="10" applyFont="1" applyBorder="1" applyAlignment="1">
      <alignment horizontal="right"/>
    </xf>
    <xf numFmtId="170" fontId="8" fillId="20" borderId="14" xfId="9" applyNumberFormat="1" applyFont="1" applyFill="1" applyBorder="1"/>
    <xf numFmtId="170" fontId="15" fillId="20" borderId="14" xfId="9" applyNumberFormat="1" applyFont="1" applyFill="1" applyBorder="1"/>
    <xf numFmtId="170" fontId="8" fillId="20" borderId="14" xfId="9" applyNumberFormat="1" applyFont="1" applyFill="1" applyBorder="1" applyAlignment="1">
      <alignment horizontal="center" vertical="center"/>
    </xf>
    <xf numFmtId="4" fontId="15" fillId="20" borderId="14" xfId="9" applyNumberFormat="1" applyFont="1" applyFill="1" applyBorder="1"/>
    <xf numFmtId="0" fontId="15" fillId="6" borderId="1" xfId="10" applyFont="1" applyFill="1" applyBorder="1" applyAlignment="1">
      <alignment horizontal="right"/>
    </xf>
    <xf numFmtId="170" fontId="15" fillId="0" borderId="13" xfId="9" applyNumberFormat="1" applyFont="1" applyFill="1" applyBorder="1"/>
    <xf numFmtId="170" fontId="15" fillId="0" borderId="13" xfId="9" applyNumberFormat="1" applyFont="1" applyFill="1" applyBorder="1" applyAlignment="1">
      <alignment horizontal="center"/>
    </xf>
    <xf numFmtId="170" fontId="15" fillId="0" borderId="13" xfId="9" applyNumberFormat="1" applyFont="1" applyFill="1" applyBorder="1" applyAlignment="1">
      <alignment horizontal="center" vertical="center"/>
    </xf>
    <xf numFmtId="4" fontId="15" fillId="0" borderId="13" xfId="9" applyNumberFormat="1" applyFont="1" applyFill="1" applyBorder="1"/>
    <xf numFmtId="4" fontId="15" fillId="0" borderId="13" xfId="9" applyNumberFormat="1" applyFont="1" applyFill="1" applyBorder="1" applyAlignment="1">
      <alignment horizontal="right"/>
    </xf>
    <xf numFmtId="4" fontId="8" fillId="0" borderId="13" xfId="9" applyNumberFormat="1" applyFont="1" applyFill="1" applyBorder="1" applyAlignment="1">
      <alignment horizontal="right"/>
    </xf>
    <xf numFmtId="170" fontId="15" fillId="21" borderId="1" xfId="9" applyNumberFormat="1" applyFont="1" applyFill="1" applyBorder="1" applyAlignment="1">
      <alignment horizontal="center"/>
    </xf>
    <xf numFmtId="0" fontId="8" fillId="6" borderId="1" xfId="11" applyFont="1" applyFill="1" applyBorder="1"/>
    <xf numFmtId="0" fontId="15" fillId="6" borderId="1" xfId="11" applyFont="1" applyFill="1" applyBorder="1" applyAlignment="1">
      <alignment horizontal="center" vertical="center"/>
    </xf>
    <xf numFmtId="171" fontId="8" fillId="6" borderId="1" xfId="11" applyNumberFormat="1" applyFont="1" applyFill="1" applyBorder="1" applyAlignment="1">
      <alignment horizontal="center" vertical="center"/>
    </xf>
    <xf numFmtId="4" fontId="15" fillId="6" borderId="1" xfId="11" applyNumberFormat="1" applyFont="1" applyFill="1" applyBorder="1" applyAlignment="1">
      <alignment horizontal="right" vertical="center"/>
    </xf>
    <xf numFmtId="4" fontId="15" fillId="6" borderId="1" xfId="11" applyNumberFormat="1" applyFont="1" applyFill="1" applyBorder="1" applyAlignment="1">
      <alignment horizontal="right"/>
    </xf>
    <xf numFmtId="4" fontId="8" fillId="6" borderId="1" xfId="11" applyNumberFormat="1" applyFont="1" applyFill="1" applyBorder="1" applyAlignment="1">
      <alignment horizontal="right"/>
    </xf>
    <xf numFmtId="0" fontId="15" fillId="0" borderId="1" xfId="11" applyFont="1" applyFill="1" applyBorder="1"/>
    <xf numFmtId="0" fontId="15" fillId="3" borderId="1" xfId="11" applyFont="1" applyFill="1" applyBorder="1" applyAlignment="1">
      <alignment horizontal="center" vertical="center"/>
    </xf>
    <xf numFmtId="171" fontId="15" fillId="0" borderId="1" xfId="11" applyNumberFormat="1" applyFont="1" applyFill="1" applyBorder="1" applyAlignment="1">
      <alignment horizontal="center" vertical="center"/>
    </xf>
    <xf numFmtId="4" fontId="15" fillId="0" borderId="1" xfId="11" applyNumberFormat="1" applyFont="1" applyFill="1" applyBorder="1" applyAlignment="1">
      <alignment horizontal="right" vertical="center"/>
    </xf>
    <xf numFmtId="4" fontId="15" fillId="3" borderId="1" xfId="11" applyNumberFormat="1" applyFont="1" applyFill="1" applyBorder="1" applyAlignment="1">
      <alignment horizontal="right"/>
    </xf>
    <xf numFmtId="4" fontId="8" fillId="0" borderId="1" xfId="11" applyNumberFormat="1" applyFont="1" applyFill="1" applyBorder="1" applyAlignment="1">
      <alignment horizontal="right"/>
    </xf>
    <xf numFmtId="0" fontId="15" fillId="3" borderId="1" xfId="11" applyFont="1" applyFill="1" applyBorder="1"/>
    <xf numFmtId="171" fontId="15" fillId="3" borderId="1" xfId="11" applyNumberFormat="1" applyFont="1" applyFill="1" applyBorder="1" applyAlignment="1">
      <alignment horizontal="center" vertical="center"/>
    </xf>
    <xf numFmtId="4" fontId="15" fillId="3" borderId="1" xfId="11" applyNumberFormat="1" applyFont="1" applyFill="1" applyBorder="1" applyAlignment="1">
      <alignment horizontal="right" vertical="center"/>
    </xf>
    <xf numFmtId="4" fontId="8" fillId="0" borderId="1" xfId="11" applyNumberFormat="1" applyFont="1" applyBorder="1" applyAlignment="1">
      <alignment horizontal="right"/>
    </xf>
    <xf numFmtId="0" fontId="15" fillId="0" borderId="1" xfId="11" applyFont="1" applyFill="1" applyBorder="1" applyAlignment="1">
      <alignment horizontal="left" vertical="center" wrapText="1"/>
    </xf>
    <xf numFmtId="0" fontId="15" fillId="3" borderId="1" xfId="11" applyFont="1" applyFill="1" applyBorder="1" applyAlignment="1">
      <alignment horizontal="left" vertical="center" wrapText="1"/>
    </xf>
    <xf numFmtId="170" fontId="8" fillId="6" borderId="1" xfId="11" applyNumberFormat="1" applyFont="1" applyFill="1" applyBorder="1"/>
    <xf numFmtId="0" fontId="15" fillId="3" borderId="1" xfId="11" applyFont="1" applyFill="1" applyBorder="1" applyAlignment="1">
      <alignment horizontal="center" vertical="center" wrapText="1"/>
    </xf>
    <xf numFmtId="171" fontId="15" fillId="3" borderId="1" xfId="11" applyNumberFormat="1" applyFont="1" applyFill="1" applyBorder="1" applyAlignment="1">
      <alignment horizontal="center" vertical="center" wrapText="1"/>
    </xf>
    <xf numFmtId="4" fontId="8" fillId="3" borderId="1" xfId="11" applyNumberFormat="1" applyFont="1" applyFill="1" applyBorder="1" applyAlignment="1">
      <alignment horizontal="right"/>
    </xf>
    <xf numFmtId="0" fontId="15" fillId="0" borderId="1" xfId="11" applyFont="1" applyFill="1" applyBorder="1" applyAlignment="1">
      <alignment horizontal="center" vertical="center" wrapText="1"/>
    </xf>
    <xf numFmtId="171" fontId="15" fillId="0" borderId="1" xfId="11" applyNumberFormat="1" applyFont="1" applyFill="1" applyBorder="1" applyAlignment="1">
      <alignment horizontal="center" vertical="center" wrapText="1"/>
    </xf>
    <xf numFmtId="4" fontId="15" fillId="0" borderId="1" xfId="11" applyNumberFormat="1" applyFont="1" applyFill="1" applyBorder="1" applyAlignment="1">
      <alignment horizontal="right"/>
    </xf>
    <xf numFmtId="170" fontId="15" fillId="3" borderId="1" xfId="11" applyNumberFormat="1" applyFont="1" applyFill="1" applyBorder="1" applyAlignment="1">
      <alignment vertical="center"/>
    </xf>
    <xf numFmtId="0" fontId="15" fillId="3" borderId="1" xfId="11" applyFont="1" applyFill="1" applyBorder="1" applyAlignment="1">
      <alignment horizontal="center"/>
    </xf>
    <xf numFmtId="171" fontId="15" fillId="3" borderId="1" xfId="11" applyNumberFormat="1" applyFont="1" applyFill="1" applyBorder="1" applyAlignment="1">
      <alignment horizontal="center"/>
    </xf>
    <xf numFmtId="0" fontId="8" fillId="6" borderId="1" xfId="10" applyFont="1" applyFill="1" applyBorder="1"/>
    <xf numFmtId="170" fontId="15" fillId="20" borderId="1" xfId="9" applyNumberFormat="1" applyFont="1" applyFill="1" applyBorder="1" applyAlignment="1">
      <alignment horizontal="center"/>
    </xf>
    <xf numFmtId="2" fontId="15" fillId="6" borderId="1" xfId="10" applyNumberFormat="1" applyFont="1" applyFill="1" applyBorder="1"/>
    <xf numFmtId="4" fontId="15" fillId="6" borderId="1" xfId="9" applyNumberFormat="1" applyFont="1" applyFill="1" applyBorder="1" applyAlignment="1">
      <alignment horizontal="right"/>
    </xf>
    <xf numFmtId="0" fontId="15" fillId="0" borderId="1" xfId="10" applyFont="1" applyBorder="1" applyAlignment="1">
      <alignment vertical="top"/>
    </xf>
    <xf numFmtId="2" fontId="15" fillId="0" borderId="1" xfId="10" applyNumberFormat="1" applyFont="1" applyBorder="1" applyAlignment="1">
      <alignment vertical="top"/>
    </xf>
    <xf numFmtId="4" fontId="15" fillId="0" borderId="1" xfId="9" applyNumberFormat="1" applyFont="1" applyFill="1" applyBorder="1" applyAlignment="1">
      <alignment horizontal="right" vertical="top"/>
    </xf>
    <xf numFmtId="4" fontId="8" fillId="0" borderId="1" xfId="10" applyNumberFormat="1" applyFont="1" applyBorder="1" applyAlignment="1">
      <alignment vertical="top"/>
    </xf>
    <xf numFmtId="2" fontId="15" fillId="0" borderId="1" xfId="10" applyNumberFormat="1" applyFont="1" applyBorder="1" applyAlignment="1">
      <alignment vertical="center"/>
    </xf>
    <xf numFmtId="4" fontId="8" fillId="0" borderId="1" xfId="10" applyNumberFormat="1" applyFont="1" applyBorder="1" applyAlignment="1">
      <alignment vertical="center"/>
    </xf>
    <xf numFmtId="4" fontId="15" fillId="20" borderId="1" xfId="9" applyNumberFormat="1" applyFont="1" applyFill="1" applyBorder="1" applyAlignment="1">
      <alignment horizontal="right"/>
    </xf>
    <xf numFmtId="4" fontId="15" fillId="0" borderId="1" xfId="9" applyNumberFormat="1" applyFont="1" applyFill="1" applyBorder="1" applyAlignment="1">
      <alignment vertical="center"/>
    </xf>
    <xf numFmtId="4" fontId="8" fillId="0" borderId="1" xfId="9" applyNumberFormat="1" applyFont="1" applyFill="1" applyBorder="1" applyAlignment="1">
      <alignment horizontal="right" vertical="center"/>
    </xf>
    <xf numFmtId="0" fontId="15" fillId="6" borderId="1" xfId="11" applyFont="1" applyFill="1" applyBorder="1" applyAlignment="1">
      <alignment horizontal="center" vertical="center" wrapText="1"/>
    </xf>
    <xf numFmtId="171" fontId="8" fillId="6" borderId="1" xfId="11" applyNumberFormat="1" applyFont="1" applyFill="1" applyBorder="1" applyAlignment="1">
      <alignment horizontal="center" vertical="center" wrapText="1"/>
    </xf>
    <xf numFmtId="4" fontId="8" fillId="20" borderId="1" xfId="10" applyNumberFormat="1" applyFont="1" applyFill="1" applyBorder="1" applyAlignment="1">
      <alignment horizontal="right"/>
    </xf>
    <xf numFmtId="0" fontId="49" fillId="14" borderId="1" xfId="0" applyFont="1" applyFill="1" applyBorder="1" applyAlignment="1"/>
    <xf numFmtId="0" fontId="49" fillId="14" borderId="1" xfId="0" applyFont="1" applyFill="1" applyBorder="1" applyAlignment="1">
      <alignment horizontal="center"/>
    </xf>
    <xf numFmtId="0" fontId="50" fillId="6" borderId="1" xfId="0" applyFont="1" applyFill="1" applyBorder="1" applyAlignment="1"/>
    <xf numFmtId="0" fontId="35" fillId="6" borderId="1" xfId="0" applyFont="1" applyFill="1" applyBorder="1" applyAlignment="1">
      <alignment horizontal="center"/>
    </xf>
    <xf numFmtId="3" fontId="35" fillId="6" borderId="1" xfId="0" applyNumberFormat="1" applyFont="1" applyFill="1" applyBorder="1" applyAlignment="1">
      <alignment horizontal="center"/>
    </xf>
    <xf numFmtId="3" fontId="35" fillId="6" borderId="1" xfId="0" applyNumberFormat="1" applyFont="1" applyFill="1" applyBorder="1" applyAlignment="1"/>
    <xf numFmtId="3" fontId="49" fillId="6" borderId="1" xfId="0" applyNumberFormat="1" applyFont="1" applyFill="1" applyBorder="1" applyAlignment="1"/>
    <xf numFmtId="0" fontId="35" fillId="0" borderId="1" xfId="0" applyFont="1" applyBorder="1" applyAlignment="1">
      <alignment horizontal="left"/>
    </xf>
    <xf numFmtId="0" fontId="35" fillId="0" borderId="1" xfId="0" applyFont="1" applyBorder="1" applyAlignment="1">
      <alignment horizontal="center"/>
    </xf>
    <xf numFmtId="3" fontId="35" fillId="0" borderId="1" xfId="0" applyNumberFormat="1" applyFont="1" applyBorder="1" applyAlignment="1">
      <alignment horizontal="center"/>
    </xf>
    <xf numFmtId="3" fontId="35" fillId="0" borderId="1" xfId="0" applyNumberFormat="1" applyFont="1" applyBorder="1" applyAlignment="1"/>
    <xf numFmtId="3" fontId="49" fillId="7" borderId="1" xfId="0" applyNumberFormat="1" applyFont="1" applyFill="1" applyBorder="1" applyAlignment="1"/>
    <xf numFmtId="172" fontId="52" fillId="14" borderId="1" xfId="0" applyNumberFormat="1" applyFont="1" applyFill="1" applyBorder="1" applyAlignment="1" applyProtection="1">
      <alignment horizontal="center" vertical="center"/>
    </xf>
    <xf numFmtId="172" fontId="52" fillId="14" borderId="1" xfId="0" applyNumberFormat="1" applyFont="1" applyFill="1" applyBorder="1" applyAlignment="1" applyProtection="1">
      <alignment horizontal="center" vertical="center" wrapText="1"/>
    </xf>
    <xf numFmtId="2" fontId="52" fillId="6" borderId="1" xfId="0" applyNumberFormat="1" applyFont="1" applyFill="1" applyBorder="1" applyAlignment="1" applyProtection="1">
      <alignment horizontal="center" vertical="center"/>
    </xf>
    <xf numFmtId="172" fontId="53" fillId="6" borderId="1" xfId="0" applyNumberFormat="1" applyFont="1" applyFill="1" applyBorder="1" applyAlignment="1">
      <alignment vertical="center"/>
    </xf>
    <xf numFmtId="172" fontId="52" fillId="6" borderId="1" xfId="0" applyNumberFormat="1" applyFont="1" applyFill="1" applyBorder="1" applyAlignment="1" applyProtection="1">
      <alignment horizontal="center" vertical="center"/>
    </xf>
    <xf numFmtId="172" fontId="52" fillId="6" borderId="1" xfId="0" applyNumberFormat="1" applyFont="1" applyFill="1" applyBorder="1" applyAlignment="1" applyProtection="1">
      <alignment horizontal="center" vertical="center" wrapText="1"/>
    </xf>
    <xf numFmtId="4" fontId="52" fillId="6" borderId="1" xfId="0" applyNumberFormat="1" applyFont="1" applyFill="1" applyBorder="1" applyAlignment="1" applyProtection="1">
      <alignment horizontal="right" vertical="center"/>
    </xf>
    <xf numFmtId="2" fontId="54" fillId="3" borderId="1" xfId="0" applyNumberFormat="1" applyFont="1" applyFill="1" applyBorder="1" applyAlignment="1">
      <alignment horizontal="center" vertical="center"/>
    </xf>
    <xf numFmtId="172" fontId="54" fillId="3" borderId="1" xfId="0" applyNumberFormat="1" applyFont="1" applyFill="1" applyBorder="1" applyAlignment="1">
      <alignment vertical="center"/>
    </xf>
    <xf numFmtId="172" fontId="54" fillId="3" borderId="1" xfId="0" applyNumberFormat="1" applyFont="1" applyFill="1" applyBorder="1" applyAlignment="1">
      <alignment horizontal="center" vertical="center"/>
    </xf>
    <xf numFmtId="4" fontId="54" fillId="3" borderId="1" xfId="0" applyNumberFormat="1" applyFont="1" applyFill="1" applyBorder="1" applyAlignment="1">
      <alignment vertical="center"/>
    </xf>
    <xf numFmtId="4" fontId="54" fillId="3" borderId="1" xfId="0" applyNumberFormat="1" applyFont="1" applyFill="1" applyBorder="1" applyAlignment="1">
      <alignment horizontal="right" vertical="center"/>
    </xf>
    <xf numFmtId="172" fontId="54" fillId="0" borderId="1" xfId="0" applyNumberFormat="1" applyFont="1" applyFill="1" applyBorder="1" applyAlignment="1">
      <alignment vertical="center"/>
    </xf>
    <xf numFmtId="172" fontId="54" fillId="6" borderId="1" xfId="0" applyNumberFormat="1" applyFont="1" applyFill="1" applyBorder="1" applyAlignment="1">
      <alignment horizontal="center" vertical="center"/>
    </xf>
    <xf numFmtId="2" fontId="54" fillId="6" borderId="1" xfId="0" applyNumberFormat="1" applyFont="1" applyFill="1" applyBorder="1" applyAlignment="1">
      <alignment horizontal="center" vertical="center"/>
    </xf>
    <xf numFmtId="4" fontId="54" fillId="6" borderId="1" xfId="0" applyNumberFormat="1" applyFont="1" applyFill="1" applyBorder="1" applyAlignment="1">
      <alignment vertical="center"/>
    </xf>
    <xf numFmtId="4" fontId="53" fillId="6" borderId="1" xfId="0" applyNumberFormat="1" applyFont="1" applyFill="1" applyBorder="1" applyAlignment="1">
      <alignment horizontal="right" vertical="center"/>
    </xf>
    <xf numFmtId="172" fontId="54" fillId="0" borderId="1" xfId="0" applyNumberFormat="1" applyFont="1" applyFill="1" applyBorder="1" applyAlignment="1">
      <alignment vertical="center" wrapText="1"/>
    </xf>
    <xf numFmtId="2" fontId="53" fillId="6" borderId="1" xfId="0" applyNumberFormat="1" applyFont="1" applyFill="1" applyBorder="1" applyAlignment="1">
      <alignment horizontal="center" vertical="center"/>
    </xf>
    <xf numFmtId="172" fontId="52" fillId="6" borderId="1" xfId="0" applyNumberFormat="1" applyFont="1" applyFill="1" applyBorder="1" applyAlignment="1">
      <alignment horizontal="left" vertical="center"/>
    </xf>
    <xf numFmtId="2" fontId="52" fillId="6" borderId="1" xfId="0" applyNumberFormat="1" applyFont="1" applyFill="1" applyBorder="1" applyAlignment="1">
      <alignment horizontal="left" vertical="center"/>
    </xf>
    <xf numFmtId="165" fontId="52" fillId="6" borderId="1" xfId="13" applyFont="1" applyFill="1" applyBorder="1" applyAlignment="1">
      <alignment horizontal="left" vertical="center"/>
    </xf>
    <xf numFmtId="165" fontId="52" fillId="6" borderId="1" xfId="13" applyFont="1" applyFill="1" applyBorder="1" applyAlignment="1">
      <alignment horizontal="right"/>
    </xf>
    <xf numFmtId="172" fontId="54" fillId="0" borderId="1" xfId="7" applyNumberFormat="1" applyFont="1" applyFill="1" applyBorder="1" applyAlignment="1">
      <alignment vertical="center"/>
    </xf>
    <xf numFmtId="2" fontId="54" fillId="0" borderId="1" xfId="7" applyNumberFormat="1" applyFont="1" applyFill="1" applyBorder="1" applyAlignment="1">
      <alignment horizontal="center" vertical="center"/>
    </xf>
    <xf numFmtId="165" fontId="54" fillId="0" borderId="1" xfId="13" applyFont="1" applyFill="1" applyBorder="1"/>
    <xf numFmtId="165" fontId="54" fillId="0" borderId="1" xfId="13" applyFont="1" applyFill="1" applyBorder="1" applyAlignment="1">
      <alignment horizontal="right"/>
    </xf>
    <xf numFmtId="167" fontId="53" fillId="6" borderId="1" xfId="0" applyNumberFormat="1" applyFont="1" applyFill="1" applyBorder="1" applyAlignment="1">
      <alignment horizontal="center" vertical="center"/>
    </xf>
    <xf numFmtId="167" fontId="54" fillId="3" borderId="1" xfId="0" applyNumberFormat="1" applyFont="1" applyFill="1" applyBorder="1" applyAlignment="1">
      <alignment horizontal="center" vertical="center"/>
    </xf>
    <xf numFmtId="172" fontId="54" fillId="3" borderId="1" xfId="0" applyNumberFormat="1" applyFont="1" applyFill="1" applyBorder="1" applyAlignment="1">
      <alignment vertical="center" wrapText="1"/>
    </xf>
    <xf numFmtId="4" fontId="52" fillId="6" borderId="1" xfId="0" applyNumberFormat="1" applyFont="1" applyFill="1" applyBorder="1" applyAlignment="1">
      <alignment horizontal="right" vertical="center"/>
    </xf>
    <xf numFmtId="0" fontId="45" fillId="3" borderId="0" xfId="0" applyFont="1" applyFill="1"/>
    <xf numFmtId="0" fontId="45" fillId="3" borderId="0" xfId="0" applyFont="1" applyFill="1" applyBorder="1"/>
    <xf numFmtId="0" fontId="44" fillId="0" borderId="0" xfId="0" applyFont="1" applyAlignment="1">
      <alignment horizontal="center"/>
    </xf>
    <xf numFmtId="0" fontId="56" fillId="0" borderId="0" xfId="0" quotePrefix="1" applyFont="1"/>
    <xf numFmtId="4" fontId="8" fillId="14" borderId="1" xfId="9" applyNumberFormat="1" applyFont="1" applyFill="1" applyBorder="1" applyAlignment="1">
      <alignment horizontal="center"/>
    </xf>
    <xf numFmtId="0" fontId="12" fillId="17" borderId="1" xfId="0" applyFont="1" applyFill="1" applyBorder="1" applyAlignment="1">
      <alignment horizontal="right"/>
    </xf>
    <xf numFmtId="4" fontId="12" fillId="17" borderId="1" xfId="0" applyNumberFormat="1" applyFont="1" applyFill="1" applyBorder="1" applyAlignment="1">
      <alignment horizontal="center"/>
    </xf>
    <xf numFmtId="4" fontId="12" fillId="15" borderId="1" xfId="0" applyNumberFormat="1" applyFont="1" applyFill="1" applyBorder="1" applyAlignment="1">
      <alignment vertical="center"/>
    </xf>
    <xf numFmtId="4" fontId="17" fillId="15" borderId="1" xfId="0" applyNumberFormat="1" applyFont="1" applyFill="1" applyBorder="1" applyAlignment="1">
      <alignment vertical="center"/>
    </xf>
    <xf numFmtId="4" fontId="12" fillId="15" borderId="1" xfId="0" applyNumberFormat="1" applyFont="1" applyFill="1" applyBorder="1" applyAlignment="1">
      <alignment horizontal="center" vertical="center"/>
    </xf>
    <xf numFmtId="4" fontId="43" fillId="3" borderId="1" xfId="7" applyNumberFormat="1" applyFont="1" applyFill="1" applyBorder="1" applyAlignment="1">
      <alignment vertical="center" wrapText="1"/>
    </xf>
    <xf numFmtId="4" fontId="17" fillId="3" borderId="1" xfId="7" applyNumberFormat="1" applyFont="1" applyFill="1" applyBorder="1" applyAlignment="1">
      <alignment horizontal="center" vertical="center" wrapText="1"/>
    </xf>
    <xf numFmtId="4" fontId="17" fillId="3" borderId="1" xfId="7" applyNumberFormat="1" applyFont="1" applyFill="1" applyBorder="1" applyAlignment="1">
      <alignment horizontal="center" vertical="center"/>
    </xf>
    <xf numFmtId="4" fontId="17" fillId="3" borderId="1" xfId="7" applyNumberFormat="1" applyFont="1" applyFill="1" applyBorder="1" applyAlignment="1">
      <alignment horizontal="right" vertical="center"/>
    </xf>
    <xf numFmtId="4" fontId="17" fillId="3" borderId="1" xfId="0" applyNumberFormat="1" applyFont="1" applyFill="1" applyBorder="1" applyAlignment="1">
      <alignment vertical="center"/>
    </xf>
    <xf numFmtId="0" fontId="43" fillId="0" borderId="1" xfId="7" applyFont="1" applyFill="1" applyBorder="1" applyAlignment="1">
      <alignment vertical="center" wrapText="1"/>
    </xf>
    <xf numFmtId="4" fontId="17" fillId="3" borderId="1" xfId="0" applyNumberFormat="1" applyFont="1" applyFill="1" applyBorder="1" applyAlignment="1">
      <alignment horizontal="center" vertical="center"/>
    </xf>
    <xf numFmtId="0" fontId="43" fillId="3" borderId="1" xfId="7" applyFont="1" applyFill="1" applyBorder="1" applyAlignment="1">
      <alignment vertical="center" wrapText="1"/>
    </xf>
    <xf numFmtId="4" fontId="12" fillId="3" borderId="1" xfId="0" applyNumberFormat="1" applyFont="1" applyFill="1" applyBorder="1" applyAlignment="1">
      <alignment horizontal="center" vertical="center"/>
    </xf>
    <xf numFmtId="0" fontId="43" fillId="3" borderId="1" xfId="7" applyFont="1" applyFill="1" applyBorder="1" applyAlignment="1">
      <alignment vertical="center"/>
    </xf>
    <xf numFmtId="4" fontId="17" fillId="15" borderId="1" xfId="0" applyNumberFormat="1" applyFont="1" applyFill="1" applyBorder="1" applyAlignment="1">
      <alignment horizontal="center" vertical="center"/>
    </xf>
    <xf numFmtId="4" fontId="12" fillId="15" borderId="1" xfId="0" applyNumberFormat="1" applyFont="1" applyFill="1" applyBorder="1" applyAlignment="1">
      <alignment horizontal="center"/>
    </xf>
    <xf numFmtId="4" fontId="43" fillId="3" borderId="1" xfId="7" applyNumberFormat="1" applyFont="1" applyFill="1" applyBorder="1"/>
    <xf numFmtId="4" fontId="17" fillId="3" borderId="1" xfId="7" applyNumberFormat="1" applyFont="1" applyFill="1" applyBorder="1" applyAlignment="1">
      <alignment horizontal="center"/>
    </xf>
    <xf numFmtId="4" fontId="17" fillId="3" borderId="1" xfId="7" applyNumberFormat="1" applyFont="1" applyFill="1" applyBorder="1" applyAlignment="1">
      <alignment horizontal="right"/>
    </xf>
    <xf numFmtId="4" fontId="12" fillId="3" borderId="1" xfId="0" applyNumberFormat="1" applyFont="1" applyFill="1" applyBorder="1" applyAlignment="1">
      <alignment horizontal="center"/>
    </xf>
    <xf numFmtId="0" fontId="17" fillId="3" borderId="1" xfId="0" applyFont="1" applyFill="1" applyBorder="1"/>
    <xf numFmtId="4" fontId="12" fillId="15" borderId="1" xfId="0" applyNumberFormat="1" applyFont="1" applyFill="1" applyBorder="1"/>
    <xf numFmtId="4" fontId="17" fillId="15" borderId="1" xfId="0" applyNumberFormat="1" applyFont="1" applyFill="1" applyBorder="1" applyAlignment="1">
      <alignment horizontal="center"/>
    </xf>
    <xf numFmtId="0" fontId="43" fillId="3" borderId="1" xfId="7" applyFont="1" applyFill="1" applyBorder="1"/>
    <xf numFmtId="2" fontId="17" fillId="3" borderId="1" xfId="7" applyNumberFormat="1" applyFont="1" applyFill="1" applyBorder="1" applyAlignment="1">
      <alignment horizontal="center"/>
    </xf>
    <xf numFmtId="4" fontId="12" fillId="26" borderId="1" xfId="0" applyNumberFormat="1" applyFont="1" applyFill="1" applyBorder="1"/>
    <xf numFmtId="4" fontId="17" fillId="26" borderId="1" xfId="0" applyNumberFormat="1" applyFont="1" applyFill="1" applyBorder="1"/>
    <xf numFmtId="10" fontId="57" fillId="26" borderId="1" xfId="0" applyNumberFormat="1" applyFont="1" applyFill="1" applyBorder="1" applyAlignment="1">
      <alignment horizontal="center"/>
    </xf>
    <xf numFmtId="10" fontId="17" fillId="26" borderId="1" xfId="14" applyNumberFormat="1" applyFont="1" applyFill="1" applyBorder="1"/>
    <xf numFmtId="4" fontId="12" fillId="26" borderId="1" xfId="0" applyNumberFormat="1" applyFont="1" applyFill="1" applyBorder="1" applyAlignment="1">
      <alignment horizontal="right"/>
    </xf>
    <xf numFmtId="4" fontId="12" fillId="26" borderId="1" xfId="0" applyNumberFormat="1" applyFont="1" applyFill="1" applyBorder="1" applyAlignment="1">
      <alignment horizontal="center"/>
    </xf>
    <xf numFmtId="4" fontId="17" fillId="15" borderId="1" xfId="0" applyNumberFormat="1" applyFont="1" applyFill="1" applyBorder="1"/>
    <xf numFmtId="4" fontId="43" fillId="2" borderId="1" xfId="7" applyNumberFormat="1" applyFont="1" applyFill="1" applyBorder="1"/>
    <xf numFmtId="4" fontId="17" fillId="3" borderId="1" xfId="0" applyNumberFormat="1" applyFont="1" applyFill="1" applyBorder="1" applyAlignment="1">
      <alignment horizontal="center"/>
    </xf>
    <xf numFmtId="4" fontId="43" fillId="2" borderId="1" xfId="7" applyNumberFormat="1" applyFont="1" applyFill="1" applyBorder="1" applyAlignment="1">
      <alignment wrapText="1"/>
    </xf>
    <xf numFmtId="4" fontId="17" fillId="15" borderId="1" xfId="0" applyNumberFormat="1" applyFont="1" applyFill="1" applyBorder="1" applyAlignment="1">
      <alignment horizontal="right"/>
    </xf>
    <xf numFmtId="2" fontId="17" fillId="0" borderId="1" xfId="7" applyNumberFormat="1" applyFont="1" applyFill="1" applyBorder="1" applyAlignment="1">
      <alignment horizontal="center"/>
    </xf>
    <xf numFmtId="2" fontId="17" fillId="3" borderId="1" xfId="7" applyNumberFormat="1" applyFont="1" applyFill="1" applyBorder="1" applyAlignment="1">
      <alignment horizontal="right"/>
    </xf>
    <xf numFmtId="4" fontId="17" fillId="0" borderId="1" xfId="7" applyNumberFormat="1" applyFont="1" applyFill="1" applyBorder="1" applyAlignment="1">
      <alignment horizontal="center"/>
    </xf>
    <xf numFmtId="4" fontId="17" fillId="26" borderId="1" xfId="0" applyNumberFormat="1" applyFont="1" applyFill="1" applyBorder="1" applyAlignment="1">
      <alignment horizontal="right"/>
    </xf>
    <xf numFmtId="4" fontId="17" fillId="26" borderId="1" xfId="0" applyNumberFormat="1" applyFont="1" applyFill="1" applyBorder="1" applyAlignment="1">
      <alignment horizontal="center"/>
    </xf>
    <xf numFmtId="10" fontId="57" fillId="3" borderId="1" xfId="0" applyNumberFormat="1" applyFont="1" applyFill="1" applyBorder="1" applyAlignment="1">
      <alignment horizontal="center"/>
    </xf>
    <xf numFmtId="4" fontId="17" fillId="3" borderId="1" xfId="0" applyNumberFormat="1" applyFont="1" applyFill="1" applyBorder="1"/>
    <xf numFmtId="0" fontId="17" fillId="3" borderId="1" xfId="0" applyFont="1" applyFill="1" applyBorder="1" applyAlignment="1">
      <alignment horizontal="right"/>
    </xf>
    <xf numFmtId="4" fontId="8" fillId="6" borderId="1" xfId="9" applyNumberFormat="1" applyFont="1" applyFill="1" applyBorder="1" applyAlignment="1">
      <alignment horizontal="right" vertical="center"/>
    </xf>
    <xf numFmtId="4" fontId="8" fillId="6" borderId="1" xfId="9" applyNumberFormat="1" applyFont="1" applyFill="1" applyBorder="1" applyAlignment="1">
      <alignment horizontal="center" vertical="center"/>
    </xf>
    <xf numFmtId="4" fontId="29" fillId="24" borderId="1" xfId="9" applyNumberFormat="1" applyFont="1" applyFill="1" applyBorder="1" applyAlignment="1">
      <alignment horizontal="right" vertical="center"/>
    </xf>
    <xf numFmtId="4" fontId="29" fillId="24" borderId="1" xfId="9" applyNumberFormat="1" applyFont="1" applyFill="1" applyBorder="1" applyAlignment="1">
      <alignment horizontal="center" vertical="center"/>
    </xf>
    <xf numFmtId="0" fontId="49" fillId="14" borderId="1" xfId="12" applyFont="1" applyFill="1" applyBorder="1" applyAlignment="1">
      <alignment horizontal="center" vertical="center"/>
    </xf>
    <xf numFmtId="0" fontId="35" fillId="14" borderId="1" xfId="12" applyFont="1" applyFill="1" applyBorder="1" applyAlignment="1">
      <alignment vertical="center"/>
    </xf>
    <xf numFmtId="4" fontId="49" fillId="14" borderId="1" xfId="12" applyNumberFormat="1" applyFont="1" applyFill="1" applyBorder="1" applyAlignment="1">
      <alignment horizontal="center" vertical="center" wrapText="1"/>
    </xf>
    <xf numFmtId="0" fontId="35" fillId="0" borderId="1" xfId="7" applyFont="1" applyBorder="1" applyAlignment="1">
      <alignment horizontal="center" vertical="center"/>
    </xf>
    <xf numFmtId="0" fontId="35" fillId="0" borderId="1" xfId="7" applyFont="1" applyBorder="1" applyAlignment="1">
      <alignment vertical="center"/>
    </xf>
    <xf numFmtId="4" fontId="35" fillId="0" borderId="1" xfId="7" applyNumberFormat="1" applyFont="1" applyBorder="1" applyAlignment="1">
      <alignment horizontal="right" vertical="center"/>
    </xf>
    <xf numFmtId="0" fontId="49" fillId="17" borderId="1" xfId="7" applyFont="1" applyFill="1" applyBorder="1" applyAlignment="1">
      <alignment horizontal="center" vertical="center"/>
    </xf>
    <xf numFmtId="0" fontId="49" fillId="17" borderId="1" xfId="7" applyFont="1" applyFill="1" applyBorder="1" applyAlignment="1">
      <alignment vertical="center"/>
    </xf>
    <xf numFmtId="0" fontId="35" fillId="17" borderId="1" xfId="7" applyFont="1" applyFill="1" applyBorder="1" applyAlignment="1">
      <alignment vertical="center"/>
    </xf>
    <xf numFmtId="4" fontId="35" fillId="17" borderId="1" xfId="7" applyNumberFormat="1" applyFont="1" applyFill="1" applyBorder="1" applyAlignment="1">
      <alignment horizontal="right" vertical="center"/>
    </xf>
    <xf numFmtId="4" fontId="8" fillId="0" borderId="1" xfId="7" applyNumberFormat="1" applyFont="1" applyBorder="1" applyAlignment="1">
      <alignment horizontal="right" vertical="center"/>
    </xf>
    <xf numFmtId="4" fontId="15" fillId="0" borderId="1" xfId="7" applyNumberFormat="1" applyFont="1" applyBorder="1" applyAlignment="1">
      <alignment horizontal="right" vertical="center"/>
    </xf>
    <xf numFmtId="0" fontId="35" fillId="0" borderId="1" xfId="7" applyFont="1" applyBorder="1" applyAlignment="1">
      <alignment horizontal="right" vertical="center"/>
    </xf>
    <xf numFmtId="0" fontId="35" fillId="0" borderId="1" xfId="7" applyFont="1" applyFill="1" applyBorder="1" applyAlignment="1">
      <alignment horizontal="center" vertical="center"/>
    </xf>
    <xf numFmtId="0" fontId="35" fillId="0" borderId="1" xfId="7" applyFont="1" applyFill="1" applyBorder="1" applyAlignment="1">
      <alignment vertical="center"/>
    </xf>
    <xf numFmtId="0" fontId="35" fillId="0" borderId="1" xfId="7" applyFont="1" applyFill="1" applyBorder="1" applyAlignment="1">
      <alignment horizontal="right" vertical="center"/>
    </xf>
    <xf numFmtId="4" fontId="8" fillId="0" borderId="1" xfId="7" applyNumberFormat="1" applyFont="1" applyFill="1" applyBorder="1" applyAlignment="1">
      <alignment horizontal="right" vertical="center"/>
    </xf>
    <xf numFmtId="4" fontId="15" fillId="0" borderId="1" xfId="7" applyNumberFormat="1" applyFont="1" applyFill="1" applyBorder="1" applyAlignment="1">
      <alignment horizontal="right" vertical="center"/>
    </xf>
    <xf numFmtId="2" fontId="35" fillId="0" borderId="1" xfId="7" applyNumberFormat="1" applyFont="1" applyFill="1" applyBorder="1" applyAlignment="1">
      <alignment horizontal="center" vertical="center"/>
    </xf>
    <xf numFmtId="4" fontId="35" fillId="0" borderId="1" xfId="7" applyNumberFormat="1" applyFont="1" applyFill="1" applyBorder="1" applyAlignment="1">
      <alignment horizontal="right" vertical="center"/>
    </xf>
    <xf numFmtId="0" fontId="49" fillId="0" borderId="1" xfId="7" applyFont="1" applyBorder="1" applyAlignment="1">
      <alignment vertical="center"/>
    </xf>
    <xf numFmtId="4" fontId="49" fillId="0" borderId="1" xfId="7" applyNumberFormat="1" applyFont="1" applyBorder="1" applyAlignment="1">
      <alignment horizontal="right" vertical="center"/>
    </xf>
    <xf numFmtId="3" fontId="35" fillId="0" borderId="1" xfId="7" applyNumberFormat="1" applyFont="1" applyBorder="1" applyAlignment="1">
      <alignment horizontal="center" vertical="center"/>
    </xf>
    <xf numFmtId="4" fontId="35" fillId="0" borderId="1" xfId="7" applyNumberFormat="1" applyFont="1" applyBorder="1" applyAlignment="1">
      <alignment vertical="center"/>
    </xf>
    <xf numFmtId="4" fontId="35" fillId="0" borderId="1" xfId="7" applyNumberFormat="1" applyFont="1" applyBorder="1" applyAlignment="1">
      <alignment horizontal="center" vertical="center"/>
    </xf>
    <xf numFmtId="3" fontId="49" fillId="0" borderId="1" xfId="7" applyNumberFormat="1" applyFont="1" applyBorder="1" applyAlignment="1">
      <alignment horizontal="center" vertical="center"/>
    </xf>
    <xf numFmtId="4" fontId="49" fillId="17" borderId="1" xfId="7" applyNumberFormat="1" applyFont="1" applyFill="1" applyBorder="1" applyAlignment="1">
      <alignment horizontal="right" vertical="center"/>
    </xf>
    <xf numFmtId="3" fontId="35" fillId="0" borderId="1" xfId="7" applyNumberFormat="1" applyFont="1" applyBorder="1" applyAlignment="1">
      <alignment vertical="center"/>
    </xf>
    <xf numFmtId="0" fontId="35" fillId="0" borderId="1" xfId="7" applyFont="1" applyBorder="1" applyAlignment="1">
      <alignment vertical="center" wrapText="1"/>
    </xf>
    <xf numFmtId="9" fontId="35" fillId="0" borderId="1" xfId="7" applyNumberFormat="1" applyFont="1" applyBorder="1" applyAlignment="1">
      <alignment horizontal="right" vertical="center"/>
    </xf>
    <xf numFmtId="3" fontId="35" fillId="0" borderId="1" xfId="7" applyNumberFormat="1" applyFont="1" applyBorder="1" applyAlignment="1">
      <alignment horizontal="right" vertical="center"/>
    </xf>
    <xf numFmtId="10" fontId="35" fillId="0" borderId="1" xfId="7" applyNumberFormat="1" applyFont="1" applyBorder="1" applyAlignment="1">
      <alignment vertical="center"/>
    </xf>
    <xf numFmtId="2" fontId="35" fillId="0" borderId="1" xfId="7" applyNumberFormat="1" applyFont="1" applyBorder="1" applyAlignment="1">
      <alignment horizontal="center" vertical="center"/>
    </xf>
    <xf numFmtId="1" fontId="35" fillId="0" borderId="1" xfId="7" applyNumberFormat="1" applyFont="1" applyBorder="1" applyAlignment="1">
      <alignment horizontal="right" vertical="center"/>
    </xf>
    <xf numFmtId="0" fontId="49" fillId="17" borderId="1" xfId="7" applyFont="1" applyFill="1" applyBorder="1" applyAlignment="1">
      <alignment horizontal="left" vertical="center"/>
    </xf>
    <xf numFmtId="0" fontId="35" fillId="3" borderId="1" xfId="7" applyFont="1" applyFill="1" applyBorder="1" applyAlignment="1">
      <alignment horizontal="center" vertical="center"/>
    </xf>
    <xf numFmtId="0" fontId="35" fillId="3" borderId="1" xfId="7" applyFont="1" applyFill="1" applyBorder="1" applyAlignment="1">
      <alignment horizontal="left" vertical="center" wrapText="1"/>
    </xf>
    <xf numFmtId="0" fontId="35" fillId="3" borderId="1" xfId="7" applyFont="1" applyFill="1" applyBorder="1" applyAlignment="1">
      <alignment vertical="center"/>
    </xf>
    <xf numFmtId="4" fontId="35" fillId="3" borderId="1" xfId="7" applyNumberFormat="1" applyFont="1" applyFill="1" applyBorder="1" applyAlignment="1">
      <alignment horizontal="right" vertical="center"/>
    </xf>
    <xf numFmtId="0" fontId="49" fillId="4" borderId="1" xfId="7" applyFont="1" applyFill="1" applyBorder="1" applyAlignment="1">
      <alignment horizontal="center" vertical="center"/>
    </xf>
    <xf numFmtId="165" fontId="49" fillId="4" borderId="1" xfId="15" applyFont="1" applyFill="1" applyBorder="1" applyAlignment="1">
      <alignment vertical="center"/>
    </xf>
    <xf numFmtId="0" fontId="49" fillId="0" borderId="1" xfId="7" applyFont="1" applyBorder="1" applyAlignment="1">
      <alignment horizontal="center" vertical="center"/>
    </xf>
    <xf numFmtId="0" fontId="35" fillId="4" borderId="1" xfId="7" applyFont="1" applyFill="1" applyBorder="1" applyAlignment="1">
      <alignment horizontal="center" vertical="center"/>
    </xf>
    <xf numFmtId="4" fontId="49" fillId="4" borderId="1" xfId="7" applyNumberFormat="1" applyFont="1" applyFill="1" applyBorder="1" applyAlignment="1">
      <alignment horizontal="right" vertical="center"/>
    </xf>
    <xf numFmtId="0" fontId="15" fillId="0" borderId="0" xfId="17" applyFont="1"/>
    <xf numFmtId="0" fontId="8" fillId="14" borderId="1" xfId="16" applyNumberFormat="1" applyFont="1" applyFill="1" applyBorder="1" applyAlignment="1" applyProtection="1">
      <alignment horizontal="center"/>
    </xf>
    <xf numFmtId="49" fontId="8" fillId="6" borderId="1" xfId="17" applyNumberFormat="1" applyFont="1" applyFill="1" applyBorder="1" applyAlignment="1" applyProtection="1">
      <alignment horizontal="center"/>
    </xf>
    <xf numFmtId="0" fontId="59" fillId="6" borderId="1" xfId="17" applyNumberFormat="1" applyFont="1" applyFill="1" applyBorder="1" applyAlignment="1" applyProtection="1"/>
    <xf numFmtId="0" fontId="15" fillId="6" borderId="1" xfId="17" applyNumberFormat="1" applyFont="1" applyFill="1" applyBorder="1" applyAlignment="1" applyProtection="1"/>
    <xf numFmtId="165" fontId="60" fillId="6" borderId="1" xfId="15" applyFont="1" applyFill="1" applyBorder="1" applyAlignment="1" applyProtection="1"/>
    <xf numFmtId="165" fontId="59" fillId="6" borderId="1" xfId="15" applyFont="1" applyFill="1" applyBorder="1" applyAlignment="1" applyProtection="1"/>
    <xf numFmtId="49" fontId="15" fillId="0" borderId="1" xfId="17" applyNumberFormat="1" applyFont="1" applyFill="1" applyBorder="1" applyAlignment="1" applyProtection="1">
      <alignment horizontal="center"/>
    </xf>
    <xf numFmtId="0" fontId="59" fillId="0" borderId="1" xfId="17" applyNumberFormat="1" applyFont="1" applyFill="1" applyBorder="1" applyAlignment="1" applyProtection="1"/>
    <xf numFmtId="0" fontId="15" fillId="0" borderId="1" xfId="17" applyNumberFormat="1" applyFont="1" applyFill="1" applyBorder="1" applyAlignment="1" applyProtection="1"/>
    <xf numFmtId="165" fontId="60" fillId="0" borderId="1" xfId="15" applyFont="1" applyFill="1" applyBorder="1" applyAlignment="1" applyProtection="1"/>
    <xf numFmtId="165" fontId="59" fillId="3" borderId="1" xfId="15" applyFont="1" applyFill="1" applyBorder="1" applyAlignment="1" applyProtection="1"/>
    <xf numFmtId="0" fontId="60" fillId="0" borderId="1" xfId="17" applyNumberFormat="1" applyFont="1" applyFill="1" applyBorder="1" applyAlignment="1" applyProtection="1"/>
    <xf numFmtId="0" fontId="60" fillId="0" borderId="1" xfId="17" applyNumberFormat="1" applyFont="1" applyFill="1" applyBorder="1" applyAlignment="1" applyProtection="1">
      <alignment horizontal="center"/>
    </xf>
    <xf numFmtId="49" fontId="15" fillId="0" borderId="2" xfId="17" applyNumberFormat="1" applyFont="1" applyFill="1" applyBorder="1" applyAlignment="1" applyProtection="1">
      <alignment horizontal="center"/>
    </xf>
    <xf numFmtId="0" fontId="35" fillId="25" borderId="1" xfId="0" applyFont="1" applyFill="1" applyBorder="1" applyAlignment="1">
      <alignment horizontal="left" vertical="center" indent="1"/>
    </xf>
    <xf numFmtId="0" fontId="8" fillId="6" borderId="1" xfId="17" applyNumberFormat="1" applyFont="1" applyFill="1" applyBorder="1" applyAlignment="1" applyProtection="1"/>
    <xf numFmtId="165" fontId="15" fillId="0" borderId="1" xfId="15" applyFont="1" applyFill="1" applyBorder="1" applyAlignment="1" applyProtection="1"/>
    <xf numFmtId="0" fontId="60" fillId="0" borderId="1" xfId="17" applyNumberFormat="1" applyFont="1" applyFill="1" applyBorder="1" applyAlignment="1" applyProtection="1">
      <alignment wrapText="1"/>
    </xf>
    <xf numFmtId="165" fontId="59" fillId="0" borderId="1" xfId="15" applyFont="1" applyFill="1" applyBorder="1" applyAlignment="1" applyProtection="1"/>
    <xf numFmtId="174" fontId="60" fillId="0" borderId="1" xfId="2" applyNumberFormat="1" applyFont="1" applyFill="1" applyBorder="1" applyAlignment="1" applyProtection="1"/>
    <xf numFmtId="0" fontId="60" fillId="6" borderId="1" xfId="17" applyNumberFormat="1" applyFont="1" applyFill="1" applyBorder="1" applyAlignment="1" applyProtection="1">
      <alignment horizontal="center"/>
    </xf>
    <xf numFmtId="0" fontId="15" fillId="27" borderId="1" xfId="17" applyFont="1" applyFill="1" applyBorder="1" applyAlignment="1">
      <alignment horizontal="center"/>
    </xf>
    <xf numFmtId="166" fontId="60" fillId="0" borderId="1" xfId="15" applyNumberFormat="1" applyFont="1" applyFill="1" applyBorder="1" applyAlignment="1" applyProtection="1"/>
    <xf numFmtId="165" fontId="60" fillId="0" borderId="1" xfId="15" applyFont="1" applyFill="1" applyBorder="1" applyAlignment="1" applyProtection="1">
      <alignment horizontal="center"/>
    </xf>
    <xf numFmtId="165" fontId="35" fillId="28" borderId="0" xfId="0" applyNumberFormat="1" applyFont="1" applyFill="1"/>
    <xf numFmtId="0" fontId="60" fillId="0" borderId="1" xfId="17" applyNumberFormat="1" applyFont="1" applyFill="1" applyBorder="1" applyAlignment="1" applyProtection="1">
      <alignment vertical="center" wrapText="1"/>
    </xf>
    <xf numFmtId="0" fontId="60" fillId="0" borderId="1" xfId="17" applyNumberFormat="1" applyFont="1" applyFill="1" applyBorder="1" applyAlignment="1" applyProtection="1">
      <alignment horizontal="center" vertical="center"/>
    </xf>
    <xf numFmtId="10" fontId="60" fillId="0" borderId="1" xfId="1" applyNumberFormat="1" applyFont="1" applyFill="1" applyBorder="1" applyAlignment="1" applyProtection="1">
      <alignment vertical="center"/>
    </xf>
    <xf numFmtId="165" fontId="60" fillId="0" borderId="1" xfId="15" applyFont="1" applyFill="1" applyBorder="1" applyAlignment="1" applyProtection="1">
      <alignment vertical="center"/>
    </xf>
    <xf numFmtId="165" fontId="60" fillId="0" borderId="1" xfId="2" applyFont="1" applyFill="1" applyBorder="1" applyAlignment="1" applyProtection="1">
      <alignment vertical="center"/>
    </xf>
    <xf numFmtId="4" fontId="15" fillId="0" borderId="0" xfId="17" applyNumberFormat="1" applyFont="1"/>
    <xf numFmtId="0" fontId="60" fillId="0" borderId="1" xfId="17" applyNumberFormat="1" applyFont="1" applyFill="1" applyBorder="1" applyAlignment="1" applyProtection="1">
      <alignment vertical="center"/>
    </xf>
    <xf numFmtId="165" fontId="49" fillId="6" borderId="1" xfId="15" applyNumberFormat="1" applyFont="1" applyFill="1" applyBorder="1" applyAlignment="1" applyProtection="1">
      <alignment vertical="center" wrapText="1"/>
    </xf>
    <xf numFmtId="10" fontId="15" fillId="0" borderId="0" xfId="1" applyNumberFormat="1" applyFont="1"/>
    <xf numFmtId="165" fontId="8" fillId="6" borderId="1" xfId="15" applyNumberFormat="1" applyFont="1" applyFill="1" applyBorder="1" applyAlignment="1" applyProtection="1">
      <alignment vertical="center" wrapText="1"/>
    </xf>
    <xf numFmtId="10" fontId="35" fillId="0" borderId="0" xfId="1" applyNumberFormat="1" applyFont="1"/>
    <xf numFmtId="172" fontId="52" fillId="29" borderId="24" xfId="0" applyNumberFormat="1" applyFont="1" applyFill="1" applyBorder="1" applyAlignment="1">
      <alignment horizontal="center" wrapText="1"/>
    </xf>
    <xf numFmtId="4" fontId="52" fillId="5" borderId="24" xfId="0" applyNumberFormat="1" applyFont="1" applyFill="1" applyBorder="1" applyAlignment="1">
      <alignment horizontal="right" vertical="center" wrapText="1"/>
    </xf>
    <xf numFmtId="4" fontId="62" fillId="0" borderId="24" xfId="0" applyNumberFormat="1" applyFont="1" applyBorder="1" applyAlignment="1">
      <alignment horizontal="right" wrapText="1"/>
    </xf>
    <xf numFmtId="4" fontId="62" fillId="3" borderId="24" xfId="0" applyNumberFormat="1" applyFont="1" applyFill="1" applyBorder="1" applyAlignment="1">
      <alignment horizontal="right" wrapText="1"/>
    </xf>
    <xf numFmtId="172" fontId="52" fillId="6" borderId="23" xfId="0" applyNumberFormat="1" applyFont="1" applyFill="1" applyBorder="1" applyAlignment="1">
      <alignment horizontal="left" wrapText="1"/>
    </xf>
    <xf numFmtId="172" fontId="52" fillId="6" borderId="3" xfId="0" applyNumberFormat="1" applyFont="1" applyFill="1" applyBorder="1" applyAlignment="1">
      <alignment horizontal="left" wrapText="1"/>
    </xf>
    <xf numFmtId="172" fontId="52" fillId="6" borderId="4" xfId="0" applyNumberFormat="1" applyFont="1" applyFill="1" applyBorder="1" applyAlignment="1">
      <alignment horizontal="left" wrapText="1"/>
    </xf>
    <xf numFmtId="4" fontId="52" fillId="6" borderId="24" xfId="0" applyNumberFormat="1" applyFont="1" applyFill="1" applyBorder="1" applyAlignment="1">
      <alignment horizontal="right" wrapText="1"/>
    </xf>
    <xf numFmtId="172" fontId="62" fillId="25" borderId="18" xfId="0" applyNumberFormat="1" applyFont="1" applyFill="1" applyBorder="1" applyAlignment="1">
      <alignment wrapText="1"/>
    </xf>
    <xf numFmtId="172" fontId="62" fillId="25" borderId="2" xfId="0" applyNumberFormat="1" applyFont="1" applyFill="1" applyBorder="1" applyAlignment="1">
      <alignment horizontal="left"/>
    </xf>
    <xf numFmtId="172" fontId="62" fillId="25" borderId="3" xfId="0" applyNumberFormat="1" applyFont="1" applyFill="1" applyBorder="1" applyAlignment="1">
      <alignment horizontal="left"/>
    </xf>
    <xf numFmtId="172" fontId="62" fillId="25" borderId="4" xfId="0" applyNumberFormat="1" applyFont="1" applyFill="1" applyBorder="1" applyAlignment="1">
      <alignment horizontal="left"/>
    </xf>
    <xf numFmtId="4" fontId="62" fillId="25" borderId="24" xfId="0" applyNumberFormat="1" applyFont="1" applyFill="1" applyBorder="1" applyAlignment="1">
      <alignment horizontal="right" wrapText="1"/>
    </xf>
    <xf numFmtId="172" fontId="62" fillId="25" borderId="2" xfId="0" applyNumberFormat="1" applyFont="1" applyFill="1" applyBorder="1" applyAlignment="1">
      <alignment horizontal="left" wrapText="1"/>
    </xf>
    <xf numFmtId="172" fontId="62" fillId="25" borderId="3" xfId="0" applyNumberFormat="1" applyFont="1" applyFill="1" applyBorder="1" applyAlignment="1">
      <alignment horizontal="left" wrapText="1"/>
    </xf>
    <xf numFmtId="172" fontId="62" fillId="25" borderId="4" xfId="0" applyNumberFormat="1" applyFont="1" applyFill="1" applyBorder="1" applyAlignment="1">
      <alignment horizontal="left" wrapText="1"/>
    </xf>
    <xf numFmtId="172" fontId="62" fillId="30" borderId="18" xfId="0" applyNumberFormat="1" applyFont="1" applyFill="1" applyBorder="1" applyAlignment="1">
      <alignment wrapText="1"/>
    </xf>
    <xf numFmtId="172" fontId="62" fillId="30" borderId="2" xfId="0" applyNumberFormat="1" applyFont="1" applyFill="1" applyBorder="1" applyAlignment="1">
      <alignment horizontal="left" wrapText="1"/>
    </xf>
    <xf numFmtId="172" fontId="62" fillId="30" borderId="3" xfId="0" applyNumberFormat="1" applyFont="1" applyFill="1" applyBorder="1" applyAlignment="1">
      <alignment horizontal="left" wrapText="1"/>
    </xf>
    <xf numFmtId="172" fontId="62" fillId="30" borderId="4" xfId="0" applyNumberFormat="1" applyFont="1" applyFill="1" applyBorder="1" applyAlignment="1">
      <alignment horizontal="left" wrapText="1"/>
    </xf>
    <xf numFmtId="4" fontId="62" fillId="30" borderId="24" xfId="0" applyNumberFormat="1" applyFont="1" applyFill="1" applyBorder="1" applyAlignment="1">
      <alignment horizontal="right" wrapText="1"/>
    </xf>
    <xf numFmtId="172" fontId="52" fillId="5" borderId="23" xfId="0" applyNumberFormat="1" applyFont="1" applyFill="1" applyBorder="1" applyAlignment="1">
      <alignment horizontal="left" vertical="center" wrapText="1"/>
    </xf>
    <xf numFmtId="172" fontId="52" fillId="5" borderId="3" xfId="0" applyNumberFormat="1" applyFont="1" applyFill="1" applyBorder="1" applyAlignment="1">
      <alignment horizontal="left" vertical="center" wrapText="1"/>
    </xf>
    <xf numFmtId="172" fontId="52" fillId="5" borderId="4" xfId="0" applyNumberFormat="1" applyFont="1" applyFill="1" applyBorder="1" applyAlignment="1">
      <alignment horizontal="left" vertical="center" wrapText="1"/>
    </xf>
    <xf numFmtId="4" fontId="52" fillId="5" borderId="24" xfId="0" applyNumberFormat="1" applyFont="1" applyFill="1" applyBorder="1" applyAlignment="1">
      <alignment horizontal="right" wrapText="1"/>
    </xf>
    <xf numFmtId="172" fontId="62" fillId="6" borderId="18" xfId="0" applyNumberFormat="1" applyFont="1" applyFill="1" applyBorder="1" applyAlignment="1">
      <alignment horizontal="left" wrapText="1"/>
    </xf>
    <xf numFmtId="172" fontId="62" fillId="6" borderId="1" xfId="0" applyNumberFormat="1" applyFont="1" applyFill="1" applyBorder="1" applyAlignment="1"/>
    <xf numFmtId="172" fontId="62" fillId="6" borderId="2" xfId="0" applyNumberFormat="1" applyFont="1" applyFill="1" applyBorder="1" applyAlignment="1"/>
    <xf numFmtId="172" fontId="62" fillId="6" borderId="4" xfId="0" applyNumberFormat="1" applyFont="1" applyFill="1" applyBorder="1" applyAlignment="1"/>
    <xf numFmtId="4" fontId="62" fillId="6" borderId="24" xfId="0" applyNumberFormat="1" applyFont="1" applyFill="1" applyBorder="1" applyAlignment="1">
      <alignment horizontal="right" wrapText="1"/>
    </xf>
    <xf numFmtId="172" fontId="62" fillId="6" borderId="3" xfId="0" applyNumberFormat="1" applyFont="1" applyFill="1" applyBorder="1" applyAlignment="1"/>
    <xf numFmtId="172" fontId="62" fillId="6" borderId="18" xfId="0" applyNumberFormat="1" applyFont="1" applyFill="1" applyBorder="1" applyAlignment="1">
      <alignment horizontal="left" vertical="center" wrapText="1"/>
    </xf>
    <xf numFmtId="172" fontId="52" fillId="5" borderId="23" xfId="0" applyNumberFormat="1" applyFont="1" applyFill="1" applyBorder="1" applyAlignment="1">
      <alignment horizontal="left"/>
    </xf>
    <xf numFmtId="172" fontId="52" fillId="5" borderId="3" xfId="0" applyNumberFormat="1" applyFont="1" applyFill="1" applyBorder="1" applyAlignment="1">
      <alignment horizontal="left"/>
    </xf>
    <xf numFmtId="172" fontId="52" fillId="5" borderId="4" xfId="0" applyNumberFormat="1" applyFont="1" applyFill="1" applyBorder="1" applyAlignment="1">
      <alignment horizontal="left"/>
    </xf>
    <xf numFmtId="172" fontId="62" fillId="0" borderId="18" xfId="0" applyNumberFormat="1" applyFont="1" applyBorder="1" applyAlignment="1">
      <alignment horizontal="left" vertical="center" wrapText="1"/>
    </xf>
    <xf numFmtId="4" fontId="52" fillId="0" borderId="24" xfId="0" applyNumberFormat="1" applyFont="1" applyBorder="1" applyAlignment="1">
      <alignment horizontal="right" vertical="center" wrapText="1"/>
    </xf>
    <xf numFmtId="4" fontId="52" fillId="19" borderId="33" xfId="0" applyNumberFormat="1" applyFont="1" applyFill="1" applyBorder="1" applyAlignment="1">
      <alignment horizontal="right" wrapText="1"/>
    </xf>
    <xf numFmtId="172" fontId="64" fillId="3" borderId="0" xfId="0" applyNumberFormat="1" applyFont="1" applyFill="1" applyAlignment="1">
      <alignment horizontal="left" vertical="center"/>
    </xf>
    <xf numFmtId="172" fontId="65" fillId="3" borderId="0" xfId="0" applyNumberFormat="1" applyFont="1" applyFill="1"/>
    <xf numFmtId="0" fontId="55" fillId="0" borderId="12" xfId="0" applyFont="1" applyBorder="1" applyAlignment="1"/>
    <xf numFmtId="0" fontId="55" fillId="14" borderId="2" xfId="0" applyFont="1" applyFill="1" applyBorder="1" applyAlignment="1">
      <alignment vertical="center"/>
    </xf>
    <xf numFmtId="0" fontId="55" fillId="14" borderId="3" xfId="0" applyFont="1" applyFill="1" applyBorder="1" applyAlignment="1">
      <alignment horizontal="center" vertical="center"/>
    </xf>
    <xf numFmtId="0" fontId="55" fillId="14" borderId="3" xfId="0" applyFont="1" applyFill="1" applyBorder="1" applyAlignment="1">
      <alignment horizontal="center" vertical="center" wrapText="1"/>
    </xf>
    <xf numFmtId="0" fontId="55" fillId="14" borderId="4" xfId="0" applyFont="1" applyFill="1" applyBorder="1" applyAlignment="1">
      <alignment horizontal="center" vertical="center" wrapText="1"/>
    </xf>
    <xf numFmtId="0" fontId="55" fillId="0" borderId="5" xfId="0" applyFont="1" applyBorder="1"/>
    <xf numFmtId="0" fontId="46" fillId="0" borderId="9" xfId="0" applyFont="1" applyBorder="1" applyAlignment="1">
      <alignment horizontal="center"/>
    </xf>
    <xf numFmtId="165" fontId="46" fillId="0" borderId="9" xfId="18" applyFont="1" applyBorder="1" applyAlignment="1">
      <alignment horizontal="center"/>
    </xf>
    <xf numFmtId="175" fontId="46" fillId="0" borderId="9" xfId="18" applyNumberFormat="1" applyFont="1" applyBorder="1" applyAlignment="1">
      <alignment horizontal="center"/>
    </xf>
    <xf numFmtId="165" fontId="46" fillId="0" borderId="6" xfId="18" applyFont="1" applyBorder="1" applyAlignment="1">
      <alignment horizontal="center"/>
    </xf>
    <xf numFmtId="0" fontId="46" fillId="0" borderId="5" xfId="0" applyFont="1" applyBorder="1" applyAlignment="1">
      <alignment vertical="center" wrapText="1"/>
    </xf>
    <xf numFmtId="0" fontId="46" fillId="0" borderId="9" xfId="0" applyFont="1" applyBorder="1" applyAlignment="1">
      <alignment horizontal="left" vertical="center"/>
    </xf>
    <xf numFmtId="0" fontId="46" fillId="0" borderId="9" xfId="0" applyFont="1" applyBorder="1" applyAlignment="1">
      <alignment horizontal="center" vertical="center"/>
    </xf>
    <xf numFmtId="165" fontId="46" fillId="0" borderId="9" xfId="18" applyFont="1" applyBorder="1" applyAlignment="1">
      <alignment horizontal="center" vertical="center"/>
    </xf>
    <xf numFmtId="175" fontId="46" fillId="0" borderId="9" xfId="18" applyNumberFormat="1" applyFont="1" applyBorder="1" applyAlignment="1">
      <alignment horizontal="center" vertical="center"/>
    </xf>
    <xf numFmtId="165" fontId="46" fillId="0" borderId="6" xfId="18" applyFont="1" applyBorder="1" applyAlignment="1">
      <alignment horizontal="center" vertical="center"/>
    </xf>
    <xf numFmtId="0" fontId="55" fillId="6" borderId="7" xfId="0" applyFont="1" applyFill="1" applyBorder="1" applyAlignment="1">
      <alignment vertical="center"/>
    </xf>
    <xf numFmtId="0" fontId="46" fillId="6" borderId="12" xfId="0" applyFont="1" applyFill="1" applyBorder="1" applyAlignment="1">
      <alignment horizontal="center" vertical="center"/>
    </xf>
    <xf numFmtId="165" fontId="55" fillId="6" borderId="12" xfId="0" applyNumberFormat="1" applyFont="1" applyFill="1" applyBorder="1" applyAlignment="1">
      <alignment horizontal="center" vertical="center"/>
    </xf>
    <xf numFmtId="175" fontId="55" fillId="6" borderId="12" xfId="0" applyNumberFormat="1" applyFont="1" applyFill="1" applyBorder="1" applyAlignment="1">
      <alignment horizontal="center" vertical="center"/>
    </xf>
    <xf numFmtId="165" fontId="55" fillId="6" borderId="8" xfId="0" applyNumberFormat="1" applyFont="1" applyFill="1" applyBorder="1" applyAlignment="1">
      <alignment horizontal="center" vertical="center"/>
    </xf>
    <xf numFmtId="0" fontId="46" fillId="0" borderId="0" xfId="0" applyFont="1"/>
    <xf numFmtId="0" fontId="46" fillId="0" borderId="0" xfId="0" applyFont="1" applyAlignment="1">
      <alignment horizontal="center"/>
    </xf>
    <xf numFmtId="0" fontId="55" fillId="0" borderId="0" xfId="0" applyFont="1" applyAlignment="1"/>
    <xf numFmtId="0" fontId="55" fillId="0" borderId="0" xfId="0" applyFont="1" applyAlignment="1">
      <alignment horizontal="center"/>
    </xf>
    <xf numFmtId="0" fontId="46" fillId="0" borderId="10" xfId="0" applyFont="1" applyBorder="1"/>
    <xf numFmtId="165" fontId="46" fillId="0" borderId="0" xfId="18" applyFont="1" applyBorder="1" applyAlignment="1">
      <alignment horizontal="center"/>
    </xf>
    <xf numFmtId="165" fontId="46" fillId="0" borderId="11" xfId="18" applyFont="1" applyBorder="1" applyAlignment="1">
      <alignment horizontal="center"/>
    </xf>
    <xf numFmtId="0" fontId="55" fillId="6" borderId="2" xfId="0" applyFont="1" applyFill="1" applyBorder="1"/>
    <xf numFmtId="165" fontId="55" fillId="6" borderId="3" xfId="18" applyFont="1" applyFill="1" applyBorder="1" applyAlignment="1">
      <alignment horizontal="center"/>
    </xf>
    <xf numFmtId="165" fontId="55" fillId="6" borderId="4" xfId="18" applyFont="1" applyFill="1" applyBorder="1" applyAlignment="1">
      <alignment horizontal="center"/>
    </xf>
    <xf numFmtId="0" fontId="35" fillId="0" borderId="1" xfId="0" applyFont="1" applyBorder="1"/>
    <xf numFmtId="0" fontId="15" fillId="0" borderId="0" xfId="0" applyFont="1"/>
    <xf numFmtId="0" fontId="35" fillId="0" borderId="1" xfId="0" applyFont="1" applyBorder="1" applyAlignment="1">
      <alignment horizontal="center" vertical="center"/>
    </xf>
    <xf numFmtId="0" fontId="35" fillId="0" borderId="1" xfId="0" applyFont="1" applyBorder="1" applyAlignment="1">
      <alignment vertical="center"/>
    </xf>
    <xf numFmtId="0" fontId="15" fillId="0" borderId="1" xfId="0" applyFont="1" applyBorder="1" applyAlignment="1">
      <alignment horizontal="left" vertical="center"/>
    </xf>
    <xf numFmtId="176" fontId="15" fillId="0" borderId="1" xfId="0" applyNumberFormat="1" applyFont="1" applyBorder="1" applyAlignment="1">
      <alignment horizontal="right" vertical="center"/>
    </xf>
    <xf numFmtId="0" fontId="35" fillId="0" borderId="0" xfId="0" applyFont="1" applyAlignment="1">
      <alignment vertical="center"/>
    </xf>
    <xf numFmtId="0" fontId="15" fillId="0" borderId="0" xfId="0" applyFont="1" applyFill="1" applyAlignment="1">
      <alignment vertical="center"/>
    </xf>
    <xf numFmtId="0" fontId="35" fillId="0" borderId="0" xfId="0" applyFont="1" applyBorder="1"/>
    <xf numFmtId="0" fontId="35" fillId="0" borderId="0" xfId="0" applyFont="1" applyBorder="1" applyAlignment="1">
      <alignment vertical="center"/>
    </xf>
    <xf numFmtId="0" fontId="35" fillId="0" borderId="0" xfId="0" applyFont="1" applyBorder="1" applyAlignment="1">
      <alignment horizontal="center" vertical="center"/>
    </xf>
    <xf numFmtId="0" fontId="19" fillId="0" borderId="0" xfId="0" applyFont="1" applyFill="1"/>
    <xf numFmtId="0" fontId="19" fillId="9" borderId="15" xfId="0" applyFont="1" applyFill="1" applyBorder="1" applyAlignment="1">
      <alignment horizontal="left" vertical="center"/>
    </xf>
    <xf numFmtId="0" fontId="15" fillId="0" borderId="15" xfId="0" applyFont="1" applyBorder="1" applyAlignment="1">
      <alignment horizontal="left" vertical="center"/>
    </xf>
    <xf numFmtId="176" fontId="15" fillId="0" borderId="15" xfId="0" applyNumberFormat="1" applyFont="1" applyBorder="1" applyAlignment="1">
      <alignment horizontal="right" vertical="center"/>
    </xf>
    <xf numFmtId="176" fontId="8" fillId="6" borderId="1" xfId="0" applyNumberFormat="1" applyFont="1" applyFill="1" applyBorder="1" applyAlignment="1">
      <alignment horizontal="right" vertical="center"/>
    </xf>
    <xf numFmtId="4" fontId="15" fillId="0" borderId="0" xfId="0" applyNumberFormat="1" applyFont="1"/>
    <xf numFmtId="165" fontId="15" fillId="0" borderId="0" xfId="0" applyNumberFormat="1" applyFont="1"/>
    <xf numFmtId="176" fontId="35" fillId="0" borderId="0" xfId="0" applyNumberFormat="1" applyFont="1"/>
    <xf numFmtId="165" fontId="15" fillId="0" borderId="0" xfId="0" applyNumberFormat="1" applyFont="1" applyAlignment="1">
      <alignment horizontal="left" vertical="center"/>
    </xf>
    <xf numFmtId="0" fontId="15" fillId="0" borderId="0" xfId="0" applyFont="1" applyAlignment="1">
      <alignment horizontal="left" vertical="center"/>
    </xf>
    <xf numFmtId="165" fontId="35" fillId="0" borderId="0" xfId="0" applyNumberFormat="1" applyFont="1" applyAlignment="1">
      <alignment vertical="center"/>
    </xf>
    <xf numFmtId="0" fontId="15" fillId="0" borderId="0" xfId="0" applyFont="1" applyAlignment="1">
      <alignment horizontal="center" vertical="center"/>
    </xf>
    <xf numFmtId="0" fontId="49" fillId="0" borderId="0" xfId="0" applyFont="1"/>
    <xf numFmtId="0" fontId="49" fillId="6" borderId="1" xfId="0" applyFont="1" applyFill="1" applyBorder="1" applyAlignment="1">
      <alignment horizontal="center"/>
    </xf>
    <xf numFmtId="0" fontId="35" fillId="7" borderId="1" xfId="0" applyFont="1" applyFill="1" applyBorder="1"/>
    <xf numFmtId="3" fontId="49" fillId="7" borderId="1" xfId="0" applyNumberFormat="1" applyFont="1" applyFill="1" applyBorder="1"/>
    <xf numFmtId="4" fontId="15" fillId="3" borderId="1" xfId="0" applyNumberFormat="1" applyFont="1" applyFill="1" applyBorder="1"/>
    <xf numFmtId="0" fontId="15" fillId="7" borderId="1" xfId="0" applyFont="1" applyFill="1" applyBorder="1"/>
    <xf numFmtId="3" fontId="8" fillId="7" borderId="1" xfId="0" applyNumberFormat="1" applyFont="1" applyFill="1" applyBorder="1"/>
    <xf numFmtId="3" fontId="49" fillId="6" borderId="1" xfId="0" applyNumberFormat="1" applyFont="1" applyFill="1" applyBorder="1" applyAlignment="1">
      <alignment horizontal="center"/>
    </xf>
    <xf numFmtId="178" fontId="49" fillId="0" borderId="9" xfId="0" applyNumberFormat="1" applyFont="1" applyBorder="1" applyAlignment="1"/>
    <xf numFmtId="1" fontId="35" fillId="0" borderId="0" xfId="0" applyNumberFormat="1" applyFont="1"/>
    <xf numFmtId="0" fontId="49" fillId="14" borderId="1" xfId="0" applyFont="1" applyFill="1" applyBorder="1" applyAlignment="1">
      <alignment horizontal="center" vertical="center" wrapText="1"/>
    </xf>
    <xf numFmtId="4" fontId="15" fillId="0" borderId="1" xfId="0" applyNumberFormat="1" applyFont="1" applyBorder="1" applyAlignment="1">
      <alignment horizontal="right" vertical="center"/>
    </xf>
    <xf numFmtId="4" fontId="8" fillId="6" borderId="1" xfId="0" applyNumberFormat="1" applyFont="1" applyFill="1" applyBorder="1" applyAlignment="1">
      <alignment horizontal="right" vertical="center"/>
    </xf>
    <xf numFmtId="0" fontId="66" fillId="0" borderId="0" xfId="0" applyFont="1" applyBorder="1" applyAlignment="1">
      <alignment horizontal="left" vertical="center"/>
    </xf>
    <xf numFmtId="0" fontId="16" fillId="0" borderId="0" xfId="0" applyFont="1" applyBorder="1" applyAlignment="1">
      <alignment horizontal="left" vertical="center"/>
    </xf>
    <xf numFmtId="3" fontId="15" fillId="0" borderId="1" xfId="20" applyNumberFormat="1" applyFont="1" applyFill="1" applyBorder="1" applyAlignment="1">
      <alignment horizontal="center" vertical="center"/>
    </xf>
    <xf numFmtId="4" fontId="15" fillId="0" borderId="1" xfId="0" applyNumberFormat="1" applyFont="1" applyBorder="1" applyAlignment="1">
      <alignment horizontal="right"/>
    </xf>
    <xf numFmtId="3" fontId="8" fillId="6" borderId="1" xfId="0" applyNumberFormat="1" applyFont="1" applyFill="1" applyBorder="1"/>
    <xf numFmtId="3" fontId="8" fillId="6" borderId="1" xfId="0" applyNumberFormat="1" applyFont="1" applyFill="1" applyBorder="1" applyAlignment="1"/>
    <xf numFmtId="4" fontId="8" fillId="6" borderId="1" xfId="0" applyNumberFormat="1" applyFont="1" applyFill="1" applyBorder="1"/>
    <xf numFmtId="0" fontId="43" fillId="0" borderId="0" xfId="0" applyFont="1"/>
    <xf numFmtId="4" fontId="35" fillId="0" borderId="0" xfId="0" applyNumberFormat="1" applyFont="1"/>
    <xf numFmtId="176" fontId="15" fillId="0" borderId="1" xfId="20" applyNumberFormat="1" applyFont="1" applyBorder="1" applyAlignment="1">
      <alignment horizontal="right" vertical="center"/>
    </xf>
    <xf numFmtId="176" fontId="15" fillId="0" borderId="15" xfId="20" applyNumberFormat="1" applyFont="1" applyBorder="1" applyAlignment="1">
      <alignment horizontal="right" vertical="center"/>
    </xf>
    <xf numFmtId="3" fontId="15" fillId="0" borderId="1" xfId="20" applyNumberFormat="1" applyFont="1" applyFill="1" applyBorder="1" applyAlignment="1">
      <alignment vertical="center"/>
    </xf>
    <xf numFmtId="0" fontId="8" fillId="14" borderId="1" xfId="0" applyFont="1" applyFill="1" applyBorder="1" applyAlignment="1">
      <alignment horizontal="center" vertical="center"/>
    </xf>
    <xf numFmtId="165" fontId="15" fillId="0" borderId="1" xfId="0" applyNumberFormat="1" applyFont="1" applyBorder="1" applyAlignment="1">
      <alignment horizontal="right" vertical="center"/>
    </xf>
    <xf numFmtId="165" fontId="8" fillId="6" borderId="1" xfId="0" applyNumberFormat="1" applyFont="1" applyFill="1" applyBorder="1" applyAlignment="1">
      <alignment horizontal="center" vertical="center"/>
    </xf>
    <xf numFmtId="0" fontId="43" fillId="0" borderId="1" xfId="0" applyFont="1" applyFill="1" applyBorder="1" applyAlignment="1">
      <alignment horizontal="center" vertical="center" wrapText="1"/>
    </xf>
    <xf numFmtId="179" fontId="15" fillId="0" borderId="1" xfId="20" applyNumberFormat="1" applyFont="1" applyFill="1" applyBorder="1" applyAlignment="1">
      <alignment horizontal="center" vertical="center"/>
    </xf>
    <xf numFmtId="0" fontId="35" fillId="0" borderId="1" xfId="0" applyFont="1" applyFill="1" applyBorder="1" applyAlignment="1">
      <alignment horizontal="left" vertical="center"/>
    </xf>
    <xf numFmtId="179" fontId="35" fillId="0" borderId="1" xfId="20" applyNumberFormat="1" applyFont="1" applyFill="1" applyBorder="1" applyAlignment="1">
      <alignment horizontal="center" vertical="center"/>
    </xf>
    <xf numFmtId="179" fontId="8" fillId="6" borderId="1" xfId="0" applyNumberFormat="1" applyFont="1" applyFill="1" applyBorder="1" applyAlignment="1">
      <alignment horizontal="center" vertical="center"/>
    </xf>
    <xf numFmtId="0" fontId="45" fillId="0" borderId="0" xfId="0" applyFont="1"/>
    <xf numFmtId="165" fontId="45" fillId="0" borderId="0" xfId="0" applyNumberFormat="1" applyFont="1"/>
    <xf numFmtId="0" fontId="35" fillId="25" borderId="1" xfId="0" applyFont="1" applyFill="1" applyBorder="1" applyAlignment="1">
      <alignment horizontal="center" vertical="center"/>
    </xf>
    <xf numFmtId="179" fontId="35" fillId="25" borderId="1" xfId="0" applyNumberFormat="1" applyFont="1" applyFill="1" applyBorder="1" applyAlignment="1">
      <alignment horizontal="right" vertical="center"/>
    </xf>
    <xf numFmtId="0" fontId="15" fillId="6" borderId="1" xfId="0" applyFont="1" applyFill="1" applyBorder="1" applyAlignment="1">
      <alignment horizontal="center" vertical="center"/>
    </xf>
    <xf numFmtId="179" fontId="8" fillId="6" borderId="1" xfId="0" applyNumberFormat="1" applyFont="1" applyFill="1" applyBorder="1" applyAlignment="1">
      <alignment horizontal="right" vertical="center"/>
    </xf>
    <xf numFmtId="0" fontId="45" fillId="0" borderId="0" xfId="0" applyFont="1" applyBorder="1"/>
    <xf numFmtId="0" fontId="68" fillId="0" borderId="0" xfId="0" applyFont="1" applyBorder="1" applyAlignment="1">
      <alignment vertical="center"/>
    </xf>
    <xf numFmtId="0" fontId="17" fillId="0" borderId="35" xfId="0" applyFont="1" applyBorder="1" applyAlignment="1">
      <alignment vertical="center"/>
    </xf>
    <xf numFmtId="0" fontId="16" fillId="0" borderId="35" xfId="0" applyFont="1" applyBorder="1" applyAlignment="1">
      <alignment vertical="center"/>
    </xf>
    <xf numFmtId="0" fontId="35" fillId="0" borderId="1" xfId="0" applyFont="1" applyFill="1" applyBorder="1" applyAlignment="1">
      <alignment horizontal="center" vertical="center" wrapText="1"/>
    </xf>
    <xf numFmtId="176" fontId="15" fillId="0" borderId="1" xfId="20" applyNumberFormat="1" applyFont="1" applyFill="1" applyBorder="1" applyAlignment="1">
      <alignment horizontal="right" vertical="center"/>
    </xf>
    <xf numFmtId="0" fontId="69" fillId="0" borderId="9" xfId="0" applyFont="1" applyBorder="1" applyAlignment="1">
      <alignment vertical="center"/>
    </xf>
    <xf numFmtId="165" fontId="35" fillId="0" borderId="0" xfId="0" applyNumberFormat="1" applyFont="1"/>
    <xf numFmtId="0" fontId="15" fillId="25" borderId="1" xfId="0" applyFont="1" applyFill="1" applyBorder="1" applyAlignment="1">
      <alignment horizontal="center" vertical="center"/>
    </xf>
    <xf numFmtId="4" fontId="15" fillId="25" borderId="1" xfId="0" applyNumberFormat="1" applyFont="1" applyFill="1" applyBorder="1" applyAlignment="1">
      <alignment horizontal="right" vertical="center"/>
    </xf>
    <xf numFmtId="0" fontId="70" fillId="0" borderId="0" xfId="0" applyFont="1" applyBorder="1" applyAlignment="1">
      <alignment vertical="center"/>
    </xf>
    <xf numFmtId="0" fontId="47" fillId="14" borderId="1" xfId="0" applyFont="1" applyFill="1" applyBorder="1" applyAlignment="1">
      <alignment horizontal="center" vertical="center" wrapText="1"/>
    </xf>
    <xf numFmtId="4" fontId="47" fillId="7" borderId="1" xfId="0" applyNumberFormat="1" applyFont="1" applyFill="1" applyBorder="1" applyAlignment="1">
      <alignment horizontal="right" vertical="center"/>
    </xf>
    <xf numFmtId="0" fontId="44" fillId="0" borderId="14" xfId="0" applyFont="1" applyBorder="1" applyAlignment="1">
      <alignment horizontal="left" vertical="center"/>
    </xf>
    <xf numFmtId="0" fontId="44" fillId="0" borderId="14" xfId="0" applyFont="1" applyBorder="1" applyAlignment="1">
      <alignment horizontal="center" vertical="center"/>
    </xf>
    <xf numFmtId="4" fontId="44" fillId="0" borderId="14" xfId="0" applyNumberFormat="1" applyFont="1" applyBorder="1" applyAlignment="1">
      <alignment horizontal="right" vertical="center"/>
    </xf>
    <xf numFmtId="4" fontId="44" fillId="0" borderId="14" xfId="0" applyNumberFormat="1" applyFont="1" applyFill="1" applyBorder="1" applyAlignment="1">
      <alignment horizontal="right" vertical="center"/>
    </xf>
    <xf numFmtId="4" fontId="44" fillId="0" borderId="1" xfId="20" applyNumberFormat="1" applyFont="1" applyBorder="1" applyAlignment="1">
      <alignment horizontal="right" vertical="center"/>
    </xf>
    <xf numFmtId="4" fontId="67" fillId="3" borderId="0" xfId="0" applyNumberFormat="1" applyFont="1" applyFill="1"/>
    <xf numFmtId="0" fontId="44" fillId="0" borderId="1" xfId="0" applyFont="1" applyBorder="1" applyAlignment="1">
      <alignment horizontal="left" vertical="center"/>
    </xf>
    <xf numFmtId="0" fontId="44" fillId="0" borderId="1" xfId="0" applyFont="1" applyBorder="1" applyAlignment="1">
      <alignment horizontal="center" vertical="center"/>
    </xf>
    <xf numFmtId="4" fontId="44" fillId="0" borderId="1" xfId="0" applyNumberFormat="1" applyFont="1" applyBorder="1" applyAlignment="1">
      <alignment horizontal="right" vertical="center"/>
    </xf>
    <xf numFmtId="4" fontId="44" fillId="0" borderId="1" xfId="0" applyNumberFormat="1" applyFont="1" applyFill="1" applyBorder="1" applyAlignment="1">
      <alignment horizontal="right" vertical="center"/>
    </xf>
    <xf numFmtId="4" fontId="44" fillId="3" borderId="0" xfId="0" applyNumberFormat="1" applyFont="1" applyFill="1"/>
    <xf numFmtId="1" fontId="44" fillId="0" borderId="1" xfId="0" applyNumberFormat="1" applyFont="1" applyBorder="1" applyAlignment="1">
      <alignment horizontal="center" vertical="center"/>
    </xf>
    <xf numFmtId="4" fontId="47" fillId="7" borderId="1" xfId="20" applyNumberFormat="1" applyFont="1" applyFill="1" applyBorder="1" applyAlignment="1">
      <alignment horizontal="right" vertical="center"/>
    </xf>
    <xf numFmtId="0" fontId="44" fillId="3" borderId="0" xfId="0" applyFont="1" applyFill="1" applyAlignment="1">
      <alignment horizontal="center"/>
    </xf>
    <xf numFmtId="3" fontId="44" fillId="0" borderId="1" xfId="0" applyNumberFormat="1" applyFont="1" applyBorder="1" applyAlignment="1">
      <alignment horizontal="right" vertical="center"/>
    </xf>
    <xf numFmtId="0" fontId="47" fillId="14" borderId="2" xfId="0" applyFont="1" applyFill="1" applyBorder="1" applyAlignment="1">
      <alignment horizontal="center" vertical="center"/>
    </xf>
    <xf numFmtId="0" fontId="47" fillId="14" borderId="4" xfId="0" applyFont="1" applyFill="1" applyBorder="1" applyAlignment="1">
      <alignment horizontal="center" vertical="center"/>
    </xf>
    <xf numFmtId="0" fontId="47" fillId="14" borderId="1" xfId="0" applyFont="1" applyFill="1" applyBorder="1" applyAlignment="1">
      <alignment horizontal="center" vertical="center"/>
    </xf>
    <xf numFmtId="0" fontId="44" fillId="6" borderId="1" xfId="0" applyFont="1" applyFill="1" applyBorder="1" applyAlignment="1">
      <alignment wrapText="1"/>
    </xf>
    <xf numFmtId="169" fontId="44" fillId="0" borderId="1" xfId="0" applyNumberFormat="1" applyFont="1" applyFill="1" applyBorder="1" applyAlignment="1">
      <alignment horizontal="center"/>
    </xf>
    <xf numFmtId="180" fontId="44" fillId="0" borderId="1" xfId="0" applyNumberFormat="1" applyFont="1" applyFill="1" applyBorder="1" applyAlignment="1">
      <alignment horizontal="center"/>
    </xf>
    <xf numFmtId="4" fontId="47" fillId="6" borderId="1" xfId="0" applyNumberFormat="1" applyFont="1" applyFill="1" applyBorder="1" applyAlignment="1">
      <alignment horizontal="right" vertical="center"/>
    </xf>
    <xf numFmtId="165" fontId="44" fillId="6" borderId="1" xfId="20" applyFont="1" applyFill="1" applyBorder="1" applyAlignment="1">
      <alignment vertical="center" wrapText="1"/>
    </xf>
    <xf numFmtId="3" fontId="44" fillId="0" borderId="1" xfId="0" applyNumberFormat="1" applyFont="1" applyBorder="1" applyAlignment="1">
      <alignment horizontal="center"/>
    </xf>
    <xf numFmtId="0" fontId="44" fillId="0" borderId="1" xfId="0" applyFont="1" applyBorder="1" applyAlignment="1">
      <alignment horizontal="center"/>
    </xf>
    <xf numFmtId="0" fontId="71" fillId="3" borderId="0" xfId="0" applyFont="1" applyFill="1" applyBorder="1" applyAlignment="1">
      <alignment horizontal="left" vertical="center"/>
    </xf>
    <xf numFmtId="0" fontId="72" fillId="3" borderId="0" xfId="0" applyFont="1" applyFill="1" applyBorder="1" applyAlignment="1">
      <alignment horizontal="left" vertical="center"/>
    </xf>
    <xf numFmtId="165" fontId="44" fillId="3" borderId="0" xfId="20" applyFont="1" applyFill="1"/>
    <xf numFmtId="0" fontId="44" fillId="0" borderId="1" xfId="9" applyFont="1" applyFill="1" applyBorder="1" applyAlignment="1">
      <alignment vertical="center" wrapText="1"/>
    </xf>
    <xf numFmtId="3" fontId="44" fillId="0" borderId="1" xfId="20" applyNumberFormat="1" applyFont="1" applyFill="1" applyBorder="1" applyAlignment="1">
      <alignment horizontal="center" vertical="center"/>
    </xf>
    <xf numFmtId="4" fontId="44" fillId="0" borderId="1" xfId="20" applyNumberFormat="1" applyFont="1" applyFill="1" applyBorder="1" applyAlignment="1">
      <alignment horizontal="center" vertical="center"/>
    </xf>
    <xf numFmtId="4" fontId="44" fillId="0" borderId="1" xfId="0" applyNumberFormat="1" applyFont="1" applyBorder="1" applyAlignment="1">
      <alignment horizontal="center" vertical="center"/>
    </xf>
    <xf numFmtId="0" fontId="44" fillId="6" borderId="1" xfId="0" applyFont="1" applyFill="1" applyBorder="1" applyAlignment="1">
      <alignment vertical="center" wrapText="1"/>
    </xf>
    <xf numFmtId="169" fontId="44" fillId="0" borderId="1" xfId="0" applyNumberFormat="1" applyFont="1" applyBorder="1" applyAlignment="1">
      <alignment horizontal="center" vertical="center"/>
    </xf>
    <xf numFmtId="0" fontId="47" fillId="6" borderId="1" xfId="9" applyFont="1" applyFill="1" applyBorder="1" applyAlignment="1">
      <alignment vertical="center"/>
    </xf>
    <xf numFmtId="0" fontId="47" fillId="6" borderId="1" xfId="0" applyFont="1" applyFill="1" applyBorder="1"/>
    <xf numFmtId="4" fontId="47" fillId="6" borderId="1" xfId="0" applyNumberFormat="1" applyFont="1" applyFill="1" applyBorder="1"/>
    <xf numFmtId="4" fontId="47" fillId="6" borderId="1" xfId="0" applyNumberFormat="1" applyFont="1" applyFill="1" applyBorder="1" applyAlignment="1">
      <alignment horizontal="center"/>
    </xf>
    <xf numFmtId="0" fontId="73" fillId="3" borderId="0" xfId="0" applyFont="1" applyFill="1" applyBorder="1" applyAlignment="1">
      <alignment horizontal="left" vertical="center"/>
    </xf>
    <xf numFmtId="165" fontId="44" fillId="0" borderId="1" xfId="0" applyNumberFormat="1" applyFont="1" applyBorder="1" applyAlignment="1">
      <alignment horizontal="right" vertical="center"/>
    </xf>
    <xf numFmtId="176" fontId="44" fillId="0" borderId="1" xfId="0" applyNumberFormat="1" applyFont="1" applyBorder="1" applyAlignment="1">
      <alignment horizontal="right" vertical="center"/>
    </xf>
    <xf numFmtId="0" fontId="47" fillId="6" borderId="1" xfId="0" applyFont="1" applyFill="1" applyBorder="1" applyAlignment="1">
      <alignment horizontal="center" vertical="center"/>
    </xf>
    <xf numFmtId="165" fontId="47" fillId="6" borderId="1" xfId="0" applyNumberFormat="1" applyFont="1" applyFill="1" applyBorder="1" applyAlignment="1">
      <alignment horizontal="right" vertical="center"/>
    </xf>
    <xf numFmtId="176" fontId="47" fillId="6" borderId="1" xfId="0" applyNumberFormat="1" applyFont="1" applyFill="1" applyBorder="1" applyAlignment="1">
      <alignment horizontal="right" vertical="center"/>
    </xf>
    <xf numFmtId="0" fontId="44" fillId="0" borderId="1" xfId="0" applyFont="1" applyFill="1" applyBorder="1" applyAlignment="1">
      <alignment horizontal="left" vertical="center"/>
    </xf>
    <xf numFmtId="165" fontId="44" fillId="0" borderId="1" xfId="20" applyFont="1" applyFill="1" applyBorder="1" applyAlignment="1">
      <alignment horizontal="right" vertical="center"/>
    </xf>
    <xf numFmtId="176" fontId="44" fillId="0" borderId="1" xfId="20" applyNumberFormat="1" applyFont="1" applyFill="1" applyBorder="1" applyAlignment="1">
      <alignment horizontal="right" vertical="center"/>
    </xf>
    <xf numFmtId="165" fontId="47" fillId="6" borderId="1" xfId="0" applyNumberFormat="1" applyFont="1" applyFill="1" applyBorder="1" applyAlignment="1">
      <alignment horizontal="center" vertical="center"/>
    </xf>
    <xf numFmtId="176" fontId="44" fillId="0" borderId="0" xfId="0" applyNumberFormat="1" applyFont="1"/>
    <xf numFmtId="0" fontId="47" fillId="0" borderId="12" xfId="0" applyFont="1" applyBorder="1" applyAlignment="1"/>
    <xf numFmtId="0" fontId="44" fillId="0" borderId="0" xfId="0" applyFont="1" applyBorder="1" applyAlignment="1">
      <alignment horizontal="center"/>
    </xf>
    <xf numFmtId="0" fontId="44" fillId="25" borderId="1" xfId="0" applyFont="1" applyFill="1" applyBorder="1" applyAlignment="1">
      <alignment horizontal="center" vertical="center"/>
    </xf>
    <xf numFmtId="3" fontId="44" fillId="25" borderId="1" xfId="0" applyNumberFormat="1" applyFont="1" applyFill="1" applyBorder="1" applyAlignment="1">
      <alignment horizontal="center" vertical="center"/>
    </xf>
    <xf numFmtId="4" fontId="44" fillId="25" borderId="1" xfId="0" applyNumberFormat="1" applyFont="1" applyFill="1" applyBorder="1" applyAlignment="1">
      <alignment horizontal="center" vertical="center"/>
    </xf>
    <xf numFmtId="0" fontId="44" fillId="6" borderId="1" xfId="0" applyFont="1" applyFill="1" applyBorder="1" applyAlignment="1">
      <alignment horizontal="center" vertical="center"/>
    </xf>
    <xf numFmtId="3" fontId="47" fillId="6" borderId="1" xfId="0" applyNumberFormat="1" applyFont="1" applyFill="1" applyBorder="1" applyAlignment="1">
      <alignment horizontal="center" vertical="center"/>
    </xf>
    <xf numFmtId="4" fontId="47" fillId="6" borderId="1" xfId="0" applyNumberFormat="1" applyFont="1" applyFill="1" applyBorder="1" applyAlignment="1">
      <alignment horizontal="center" vertical="center"/>
    </xf>
    <xf numFmtId="0" fontId="73" fillId="0" borderId="0" xfId="0" applyFont="1" applyBorder="1" applyAlignment="1">
      <alignment vertical="center"/>
    </xf>
    <xf numFmtId="181" fontId="46" fillId="0" borderId="0" xfId="0" applyNumberFormat="1" applyFont="1" applyAlignment="1">
      <alignment vertical="center"/>
    </xf>
    <xf numFmtId="0" fontId="46" fillId="0" borderId="1" xfId="0" applyFont="1" applyBorder="1" applyAlignment="1">
      <alignment vertical="center" wrapText="1"/>
    </xf>
    <xf numFmtId="168" fontId="46" fillId="0" borderId="1" xfId="0" applyNumberFormat="1" applyFont="1" applyBorder="1" applyAlignment="1">
      <alignment vertical="center"/>
    </xf>
    <xf numFmtId="9" fontId="46" fillId="0" borderId="1" xfId="1" applyFont="1" applyBorder="1" applyAlignment="1">
      <alignment horizontal="center" vertical="center"/>
    </xf>
    <xf numFmtId="0" fontId="35" fillId="3" borderId="0" xfId="0" applyFont="1" applyFill="1"/>
    <xf numFmtId="0" fontId="46" fillId="3" borderId="0" xfId="0" applyFont="1" applyFill="1" applyAlignment="1">
      <alignment vertical="center"/>
    </xf>
    <xf numFmtId="0" fontId="46" fillId="3" borderId="0" xfId="0" applyFont="1" applyFill="1"/>
    <xf numFmtId="0" fontId="46" fillId="0" borderId="39" xfId="0" applyFont="1" applyBorder="1" applyAlignment="1">
      <alignment vertical="center" wrapText="1"/>
    </xf>
    <xf numFmtId="168" fontId="46" fillId="0" borderId="39" xfId="0" applyNumberFormat="1" applyFont="1" applyBorder="1" applyAlignment="1">
      <alignment vertical="center"/>
    </xf>
    <xf numFmtId="9" fontId="46" fillId="0" borderId="39" xfId="1" applyFont="1" applyBorder="1" applyAlignment="1">
      <alignment horizontal="center" vertical="center"/>
    </xf>
    <xf numFmtId="0" fontId="46" fillId="0" borderId="0" xfId="0" applyFont="1" applyAlignment="1">
      <alignment vertical="center"/>
    </xf>
    <xf numFmtId="0" fontId="55" fillId="11" borderId="1" xfId="0" applyFont="1" applyFill="1" applyBorder="1" applyAlignment="1">
      <alignment horizontal="center" vertical="center"/>
    </xf>
    <xf numFmtId="0" fontId="55" fillId="3" borderId="1" xfId="0" applyFont="1" applyFill="1" applyBorder="1" applyAlignment="1">
      <alignment horizontal="left" vertical="center"/>
    </xf>
    <xf numFmtId="165" fontId="46" fillId="0" borderId="1" xfId="18" applyFont="1" applyBorder="1" applyAlignment="1">
      <alignment horizontal="center"/>
    </xf>
    <xf numFmtId="165" fontId="46" fillId="0" borderId="1" xfId="18" applyFont="1" applyBorder="1"/>
    <xf numFmtId="0" fontId="46" fillId="0" borderId="1" xfId="0" applyFont="1" applyBorder="1"/>
    <xf numFmtId="0" fontId="55" fillId="6" borderId="1" xfId="0" applyFont="1" applyFill="1" applyBorder="1"/>
    <xf numFmtId="165" fontId="55" fillId="6" borderId="1" xfId="18" applyFont="1" applyFill="1" applyBorder="1" applyAlignment="1">
      <alignment horizontal="center"/>
    </xf>
    <xf numFmtId="165" fontId="55" fillId="6" borderId="1" xfId="18" applyFont="1" applyFill="1" applyBorder="1"/>
    <xf numFmtId="181" fontId="46" fillId="14" borderId="0" xfId="0" applyNumberFormat="1" applyFont="1" applyFill="1"/>
    <xf numFmtId="0" fontId="76" fillId="14" borderId="1" xfId="0" applyFont="1" applyFill="1" applyBorder="1" applyAlignment="1">
      <alignment horizontal="center" vertical="center"/>
    </xf>
    <xf numFmtId="177" fontId="43" fillId="0" borderId="1" xfId="0" applyNumberFormat="1" applyFont="1" applyBorder="1"/>
    <xf numFmtId="177" fontId="43" fillId="0" borderId="1" xfId="19" applyNumberFormat="1" applyFont="1" applyBorder="1" applyAlignment="1">
      <alignment horizontal="center"/>
    </xf>
    <xf numFmtId="177" fontId="76" fillId="0" borderId="1" xfId="19" applyNumberFormat="1" applyFont="1" applyBorder="1" applyAlignment="1">
      <alignment horizontal="center"/>
    </xf>
    <xf numFmtId="177" fontId="17" fillId="3" borderId="1" xfId="19" applyNumberFormat="1" applyFont="1" applyFill="1" applyBorder="1" applyAlignment="1">
      <alignment horizontal="center"/>
    </xf>
    <xf numFmtId="177" fontId="76" fillId="6" borderId="1" xfId="19" applyNumberFormat="1" applyFont="1" applyFill="1" applyBorder="1" applyAlignment="1">
      <alignment horizontal="center"/>
    </xf>
    <xf numFmtId="177" fontId="76" fillId="0" borderId="1" xfId="0" applyNumberFormat="1" applyFont="1" applyBorder="1"/>
    <xf numFmtId="177" fontId="43" fillId="0" borderId="1" xfId="0" applyNumberFormat="1" applyFont="1" applyFill="1" applyBorder="1" applyAlignment="1">
      <alignment vertical="center" wrapText="1"/>
    </xf>
    <xf numFmtId="177" fontId="43" fillId="0" borderId="1" xfId="19" applyNumberFormat="1" applyFont="1" applyBorder="1" applyAlignment="1">
      <alignment horizontal="center" vertical="center"/>
    </xf>
    <xf numFmtId="177" fontId="76" fillId="6" borderId="1" xfId="0" applyNumberFormat="1" applyFont="1" applyFill="1" applyBorder="1" applyAlignment="1">
      <alignment horizontal="center"/>
    </xf>
    <xf numFmtId="0" fontId="76" fillId="14" borderId="1" xfId="0" applyFont="1" applyFill="1" applyBorder="1" applyAlignment="1">
      <alignment horizontal="center" vertical="center" wrapText="1"/>
    </xf>
    <xf numFmtId="0" fontId="12" fillId="7" borderId="1" xfId="0" applyFont="1" applyFill="1" applyBorder="1" applyAlignment="1">
      <alignment vertical="center"/>
    </xf>
    <xf numFmtId="4" fontId="12" fillId="7" borderId="1" xfId="0" applyNumberFormat="1" applyFont="1" applyFill="1" applyBorder="1" applyAlignment="1">
      <alignment horizontal="right" vertical="center"/>
    </xf>
    <xf numFmtId="4" fontId="12" fillId="7" borderId="1" xfId="0" applyNumberFormat="1" applyFont="1" applyFill="1" applyBorder="1" applyAlignment="1">
      <alignment horizontal="right" vertical="center" indent="1"/>
    </xf>
    <xf numFmtId="0" fontId="17" fillId="0" borderId="14" xfId="0" applyFont="1" applyBorder="1" applyAlignment="1">
      <alignment horizontal="left" vertical="center"/>
    </xf>
    <xf numFmtId="0" fontId="17" fillId="0" borderId="14" xfId="0" applyFont="1" applyBorder="1" applyAlignment="1">
      <alignment horizontal="center" vertical="center"/>
    </xf>
    <xf numFmtId="4" fontId="17" fillId="0" borderId="14" xfId="0" applyNumberFormat="1" applyFont="1" applyBorder="1" applyAlignment="1">
      <alignment horizontal="right" vertical="center"/>
    </xf>
    <xf numFmtId="4" fontId="17" fillId="0" borderId="1" xfId="20" applyNumberFormat="1" applyFont="1" applyBorder="1" applyAlignment="1">
      <alignment horizontal="right" vertical="center"/>
    </xf>
    <xf numFmtId="0" fontId="17" fillId="0" borderId="1" xfId="0" applyFont="1" applyBorder="1" applyAlignment="1">
      <alignment horizontal="left" vertical="center"/>
    </xf>
    <xf numFmtId="4" fontId="17" fillId="0" borderId="1" xfId="0" applyNumberFormat="1" applyFont="1" applyBorder="1" applyAlignment="1">
      <alignment horizontal="right" vertical="center"/>
    </xf>
    <xf numFmtId="177" fontId="17" fillId="0" borderId="1" xfId="0" applyNumberFormat="1" applyFont="1" applyBorder="1" applyAlignment="1">
      <alignment horizontal="left" vertical="center"/>
    </xf>
    <xf numFmtId="4" fontId="12" fillId="7" borderId="1" xfId="20" applyNumberFormat="1" applyFont="1" applyFill="1" applyBorder="1" applyAlignment="1">
      <alignment horizontal="right" vertical="center"/>
    </xf>
    <xf numFmtId="0" fontId="12" fillId="6" borderId="1" xfId="0" applyFont="1" applyFill="1" applyBorder="1" applyAlignment="1">
      <alignment vertical="center"/>
    </xf>
    <xf numFmtId="4" fontId="12" fillId="6" borderId="1" xfId="0" applyNumberFormat="1" applyFont="1" applyFill="1" applyBorder="1" applyAlignment="1">
      <alignment horizontal="right" vertical="center"/>
    </xf>
    <xf numFmtId="0" fontId="78" fillId="0" borderId="0" xfId="0" applyFont="1" applyBorder="1"/>
    <xf numFmtId="2" fontId="78" fillId="0" borderId="0" xfId="0" applyNumberFormat="1" applyFont="1" applyBorder="1"/>
    <xf numFmtId="165" fontId="77" fillId="0" borderId="0" xfId="20" applyFont="1" applyBorder="1"/>
    <xf numFmtId="173" fontId="78" fillId="0" borderId="0" xfId="20" applyNumberFormat="1" applyFont="1" applyBorder="1" applyAlignment="1">
      <alignment horizontal="center" vertical="center"/>
    </xf>
    <xf numFmtId="0" fontId="44" fillId="16" borderId="1" xfId="10" applyFont="1" applyFill="1" applyBorder="1" applyAlignment="1">
      <alignment horizontal="center"/>
    </xf>
    <xf numFmtId="0" fontId="44" fillId="16" borderId="1" xfId="10" applyFont="1" applyFill="1" applyBorder="1"/>
    <xf numFmtId="0" fontId="44" fillId="0" borderId="1" xfId="10" applyFont="1" applyBorder="1" applyAlignment="1">
      <alignment horizontal="center"/>
    </xf>
    <xf numFmtId="4" fontId="44" fillId="0" borderId="1" xfId="10" applyNumberFormat="1" applyFont="1" applyBorder="1"/>
    <xf numFmtId="0" fontId="46" fillId="0" borderId="0" xfId="10" applyFont="1"/>
    <xf numFmtId="0" fontId="49" fillId="14" borderId="15" xfId="0" applyFont="1" applyFill="1" applyBorder="1" applyAlignment="1">
      <alignment horizontal="center"/>
    </xf>
    <xf numFmtId="4" fontId="35" fillId="0" borderId="1" xfId="0" applyNumberFormat="1" applyFont="1" applyBorder="1"/>
    <xf numFmtId="171" fontId="35" fillId="0" borderId="1" xfId="0" applyNumberFormat="1" applyFont="1" applyBorder="1" applyAlignment="1">
      <alignment horizontal="center" vertical="center"/>
    </xf>
    <xf numFmtId="0" fontId="45" fillId="0" borderId="1" xfId="0" applyFont="1" applyBorder="1"/>
    <xf numFmtId="4" fontId="45" fillId="0" borderId="1" xfId="0" applyNumberFormat="1" applyFont="1" applyBorder="1"/>
    <xf numFmtId="4" fontId="49" fillId="6" borderId="1" xfId="0" applyNumberFormat="1" applyFont="1" applyFill="1" applyBorder="1"/>
    <xf numFmtId="0" fontId="72" fillId="0" borderId="0" xfId="21" applyFont="1" applyBorder="1" applyAlignment="1">
      <alignment vertical="center"/>
    </xf>
    <xf numFmtId="0" fontId="72" fillId="0" borderId="0" xfId="21" applyFont="1" applyBorder="1" applyAlignment="1">
      <alignment horizontal="center" vertical="center"/>
    </xf>
    <xf numFmtId="3" fontId="72" fillId="0" borderId="0" xfId="21" applyNumberFormat="1" applyFont="1" applyBorder="1" applyAlignment="1">
      <alignment vertical="center"/>
    </xf>
    <xf numFmtId="1" fontId="72" fillId="0" borderId="0" xfId="21" applyNumberFormat="1" applyFont="1" applyBorder="1" applyAlignment="1">
      <alignment vertical="center"/>
    </xf>
    <xf numFmtId="4" fontId="79" fillId="0" borderId="0" xfId="21" applyNumberFormat="1" applyFont="1" applyBorder="1" applyAlignment="1">
      <alignment vertical="center"/>
    </xf>
    <xf numFmtId="4" fontId="79" fillId="0" borderId="0" xfId="21" applyNumberFormat="1" applyFont="1" applyBorder="1" applyAlignment="1">
      <alignment horizontal="center" vertical="center"/>
    </xf>
    <xf numFmtId="4" fontId="72" fillId="0" borderId="0" xfId="21" applyNumberFormat="1" applyFont="1" applyBorder="1" applyAlignment="1">
      <alignment vertical="center"/>
    </xf>
    <xf numFmtId="0" fontId="79" fillId="0" borderId="0" xfId="21" applyFont="1" applyBorder="1" applyAlignment="1">
      <alignment vertical="center"/>
    </xf>
    <xf numFmtId="0" fontId="79" fillId="0" borderId="0" xfId="21" applyFont="1" applyBorder="1" applyAlignment="1">
      <alignment horizontal="center" vertical="center"/>
    </xf>
    <xf numFmtId="3" fontId="79" fillId="0" borderId="0" xfId="21" applyNumberFormat="1" applyFont="1" applyBorder="1" applyAlignment="1">
      <alignment vertical="center"/>
    </xf>
    <xf numFmtId="4" fontId="79" fillId="0" borderId="0" xfId="21" applyNumberFormat="1" applyFont="1" applyFill="1" applyBorder="1" applyAlignment="1">
      <alignment vertical="center"/>
    </xf>
    <xf numFmtId="1" fontId="79" fillId="0" borderId="0" xfId="21" applyNumberFormat="1" applyFont="1" applyBorder="1" applyAlignment="1">
      <alignment vertical="center"/>
    </xf>
    <xf numFmtId="3" fontId="79" fillId="14" borderId="1" xfId="21" applyNumberFormat="1" applyFont="1" applyFill="1" applyBorder="1" applyAlignment="1">
      <alignment horizontal="center" vertical="center"/>
    </xf>
    <xf numFmtId="3" fontId="79" fillId="15" borderId="1" xfId="21" applyNumberFormat="1" applyFont="1" applyFill="1" applyBorder="1" applyAlignment="1">
      <alignment horizontal="right" vertical="center"/>
    </xf>
    <xf numFmtId="3" fontId="79" fillId="7" borderId="1" xfId="21" applyNumberFormat="1" applyFont="1" applyFill="1" applyBorder="1" applyAlignment="1">
      <alignment horizontal="right" vertical="center"/>
    </xf>
    <xf numFmtId="3" fontId="72" fillId="7" borderId="1" xfId="21" applyNumberFormat="1" applyFont="1" applyFill="1" applyBorder="1" applyAlignment="1">
      <alignment horizontal="right" vertical="center"/>
    </xf>
    <xf numFmtId="2" fontId="72" fillId="0" borderId="0" xfId="21" applyNumberFormat="1" applyFont="1" applyBorder="1" applyAlignment="1">
      <alignment vertical="center"/>
    </xf>
    <xf numFmtId="0" fontId="72" fillId="0" borderId="1" xfId="21" applyFont="1" applyBorder="1" applyAlignment="1">
      <alignment horizontal="right" vertical="center"/>
    </xf>
    <xf numFmtId="3" fontId="72" fillId="0" borderId="1" xfId="21" applyNumberFormat="1" applyFont="1" applyBorder="1" applyAlignment="1">
      <alignment horizontal="right" vertical="center"/>
    </xf>
    <xf numFmtId="3" fontId="72" fillId="0" borderId="1" xfId="21" applyNumberFormat="1" applyFont="1" applyFill="1" applyBorder="1" applyAlignment="1">
      <alignment horizontal="right" vertical="center"/>
    </xf>
    <xf numFmtId="3" fontId="72" fillId="3" borderId="1" xfId="21" applyNumberFormat="1" applyFont="1" applyFill="1" applyBorder="1" applyAlignment="1">
      <alignment horizontal="right" vertical="center"/>
    </xf>
    <xf numFmtId="3" fontId="72" fillId="0" borderId="1" xfId="20" applyNumberFormat="1" applyFont="1" applyBorder="1" applyAlignment="1">
      <alignment horizontal="right" vertical="center"/>
    </xf>
    <xf numFmtId="3" fontId="72" fillId="0" borderId="1" xfId="20" applyNumberFormat="1" applyFont="1" applyFill="1" applyBorder="1" applyAlignment="1">
      <alignment horizontal="right" vertical="center"/>
    </xf>
    <xf numFmtId="3" fontId="72" fillId="15" borderId="1" xfId="21" applyNumberFormat="1" applyFont="1" applyFill="1" applyBorder="1" applyAlignment="1">
      <alignment horizontal="right" vertical="center"/>
    </xf>
    <xf numFmtId="3" fontId="79" fillId="0" borderId="1" xfId="21" applyNumberFormat="1" applyFont="1" applyBorder="1" applyAlignment="1">
      <alignment horizontal="right" vertical="center"/>
    </xf>
    <xf numFmtId="0" fontId="72" fillId="0" borderId="15" xfId="21" applyFont="1" applyBorder="1" applyAlignment="1">
      <alignment horizontal="right" vertical="center"/>
    </xf>
    <xf numFmtId="3" fontId="79" fillId="15" borderId="4" xfId="21" applyNumberFormat="1" applyFont="1" applyFill="1" applyBorder="1" applyAlignment="1">
      <alignment horizontal="right" vertical="center"/>
    </xf>
    <xf numFmtId="0" fontId="72" fillId="0" borderId="14" xfId="21" applyFont="1" applyBorder="1" applyAlignment="1">
      <alignment vertical="center"/>
    </xf>
    <xf numFmtId="0" fontId="79" fillId="0" borderId="14" xfId="21" applyFont="1" applyBorder="1" applyAlignment="1">
      <alignment horizontal="left" vertical="center"/>
    </xf>
    <xf numFmtId="9" fontId="79" fillId="0" borderId="14" xfId="21" applyNumberFormat="1" applyFont="1" applyBorder="1" applyAlignment="1">
      <alignment horizontal="center" vertical="center"/>
    </xf>
    <xf numFmtId="182" fontId="72" fillId="0" borderId="1" xfId="21" applyNumberFormat="1" applyFont="1" applyBorder="1" applyAlignment="1">
      <alignment horizontal="right" vertical="center"/>
    </xf>
    <xf numFmtId="0" fontId="79" fillId="0" borderId="1" xfId="21" applyFont="1" applyBorder="1" applyAlignment="1">
      <alignment vertical="center"/>
    </xf>
    <xf numFmtId="3" fontId="79" fillId="12" borderId="1" xfId="21" applyNumberFormat="1" applyFont="1" applyFill="1" applyBorder="1" applyAlignment="1">
      <alignment horizontal="right" vertical="center"/>
    </xf>
    <xf numFmtId="3" fontId="79" fillId="0" borderId="5" xfId="21" applyNumberFormat="1" applyFont="1" applyBorder="1" applyAlignment="1">
      <alignment vertical="center"/>
    </xf>
    <xf numFmtId="3" fontId="79" fillId="0" borderId="9" xfId="21" applyNumberFormat="1" applyFont="1" applyBorder="1" applyAlignment="1">
      <alignment vertical="center"/>
    </xf>
    <xf numFmtId="3" fontId="79" fillId="0" borderId="6" xfId="21" applyNumberFormat="1" applyFont="1" applyBorder="1" applyAlignment="1">
      <alignment vertical="center"/>
    </xf>
    <xf numFmtId="0" fontId="72" fillId="0" borderId="1" xfId="21" applyFont="1" applyBorder="1" applyAlignment="1">
      <alignment vertical="center"/>
    </xf>
    <xf numFmtId="4" fontId="79" fillId="12" borderId="1" xfId="21" applyNumberFormat="1" applyFont="1" applyFill="1" applyBorder="1" applyAlignment="1">
      <alignment horizontal="right" vertical="center"/>
    </xf>
    <xf numFmtId="3" fontId="79" fillId="0" borderId="10" xfId="21" applyNumberFormat="1" applyFont="1" applyBorder="1" applyAlignment="1">
      <alignment vertical="center"/>
    </xf>
    <xf numFmtId="3" fontId="79" fillId="0" borderId="11" xfId="21" applyNumberFormat="1" applyFont="1" applyBorder="1" applyAlignment="1">
      <alignment vertical="center"/>
    </xf>
    <xf numFmtId="3" fontId="72" fillId="0" borderId="1" xfId="21" applyNumberFormat="1" applyFont="1" applyBorder="1" applyAlignment="1">
      <alignment horizontal="center" vertical="center"/>
    </xf>
    <xf numFmtId="3" fontId="79" fillId="0" borderId="1" xfId="21" applyNumberFormat="1" applyFont="1" applyBorder="1" applyAlignment="1">
      <alignment horizontal="center" vertical="center"/>
    </xf>
    <xf numFmtId="0" fontId="80" fillId="10" borderId="46" xfId="0" applyNumberFormat="1" applyFont="1" applyFill="1" applyBorder="1" applyAlignment="1">
      <alignment horizontal="center" vertical="center" wrapText="1"/>
    </xf>
    <xf numFmtId="0" fontId="81" fillId="0" borderId="46" xfId="0" applyFont="1" applyBorder="1"/>
    <xf numFmtId="0" fontId="81" fillId="0" borderId="46" xfId="0" applyFont="1" applyBorder="1" applyAlignment="1">
      <alignment horizontal="center"/>
    </xf>
    <xf numFmtId="9" fontId="81" fillId="0" borderId="46" xfId="0" applyNumberFormat="1" applyFont="1" applyBorder="1" applyAlignment="1">
      <alignment horizontal="center"/>
    </xf>
    <xf numFmtId="2" fontId="81" fillId="0" borderId="46" xfId="0" applyNumberFormat="1" applyFont="1" applyBorder="1" applyAlignment="1">
      <alignment horizontal="center"/>
    </xf>
    <xf numFmtId="9" fontId="81" fillId="0" borderId="46" xfId="1" applyFont="1" applyBorder="1" applyAlignment="1">
      <alignment horizontal="center"/>
    </xf>
    <xf numFmtId="0" fontId="81" fillId="9" borderId="46" xfId="0" applyFont="1" applyFill="1" applyBorder="1"/>
    <xf numFmtId="0" fontId="81" fillId="9" borderId="46" xfId="0" applyFont="1" applyFill="1" applyBorder="1" applyAlignment="1">
      <alignment horizontal="center"/>
    </xf>
    <xf numFmtId="9" fontId="81" fillId="9" borderId="46" xfId="0" applyNumberFormat="1" applyFont="1" applyFill="1" applyBorder="1" applyAlignment="1">
      <alignment horizontal="center"/>
    </xf>
    <xf numFmtId="2" fontId="81" fillId="9" borderId="46" xfId="0" applyNumberFormat="1" applyFont="1" applyFill="1" applyBorder="1" applyAlignment="1">
      <alignment horizontal="center"/>
    </xf>
    <xf numFmtId="9" fontId="81" fillId="9" borderId="46" xfId="1" applyFont="1" applyFill="1" applyBorder="1" applyAlignment="1">
      <alignment horizontal="center"/>
    </xf>
    <xf numFmtId="0" fontId="81" fillId="0" borderId="46" xfId="0" applyFont="1" applyFill="1" applyBorder="1"/>
    <xf numFmtId="0" fontId="82" fillId="0" borderId="47" xfId="0" applyFont="1" applyFill="1" applyBorder="1"/>
    <xf numFmtId="0" fontId="81" fillId="0" borderId="0" xfId="0" applyFont="1" applyBorder="1" applyAlignment="1">
      <alignment horizontal="center"/>
    </xf>
    <xf numFmtId="9" fontId="81" fillId="0" borderId="0" xfId="0" applyNumberFormat="1" applyFont="1" applyBorder="1" applyAlignment="1">
      <alignment horizontal="center"/>
    </xf>
    <xf numFmtId="2" fontId="81" fillId="0" borderId="0" xfId="0" applyNumberFormat="1" applyFont="1" applyBorder="1" applyAlignment="1">
      <alignment horizontal="center"/>
    </xf>
    <xf numFmtId="9" fontId="81" fillId="0" borderId="0" xfId="1" applyFont="1" applyBorder="1" applyAlignment="1">
      <alignment horizontal="center"/>
    </xf>
    <xf numFmtId="0" fontId="80" fillId="0" borderId="51" xfId="0" applyFont="1" applyBorder="1" applyAlignment="1">
      <alignment horizontal="left" vertical="center" wrapText="1"/>
    </xf>
    <xf numFmtId="0" fontId="81" fillId="0" borderId="52" xfId="0" applyFont="1" applyBorder="1" applyAlignment="1">
      <alignment horizontal="left" vertical="center" wrapText="1"/>
    </xf>
    <xf numFmtId="0" fontId="81" fillId="0" borderId="53" xfId="0" applyFont="1" applyBorder="1" applyAlignment="1">
      <alignment horizontal="left" vertical="center" wrapText="1"/>
    </xf>
    <xf numFmtId="3" fontId="79" fillId="0" borderId="1" xfId="21" applyNumberFormat="1" applyFont="1" applyFill="1" applyBorder="1" applyAlignment="1">
      <alignment horizontal="right" vertical="center"/>
    </xf>
    <xf numFmtId="0" fontId="79" fillId="0" borderId="1" xfId="21" applyFont="1" applyBorder="1" applyAlignment="1">
      <alignment horizontal="left" vertical="center"/>
    </xf>
    <xf numFmtId="9" fontId="79" fillId="0" borderId="1" xfId="21" applyNumberFormat="1" applyFont="1" applyBorder="1" applyAlignment="1">
      <alignment horizontal="center" vertical="center"/>
    </xf>
    <xf numFmtId="0" fontId="79" fillId="14" borderId="1" xfId="21" applyFont="1" applyFill="1" applyBorder="1" applyAlignment="1">
      <alignment horizontal="center" vertical="center"/>
    </xf>
    <xf numFmtId="0" fontId="72" fillId="0" borderId="2" xfId="21" applyFont="1" applyBorder="1" applyAlignment="1">
      <alignment vertical="center"/>
    </xf>
    <xf numFmtId="0" fontId="79" fillId="0" borderId="2" xfId="21" applyFont="1" applyBorder="1" applyAlignment="1">
      <alignment vertical="center"/>
    </xf>
    <xf numFmtId="0" fontId="49" fillId="0" borderId="2" xfId="0" applyFont="1" applyBorder="1" applyAlignment="1">
      <alignment vertical="center"/>
    </xf>
    <xf numFmtId="0" fontId="35" fillId="0" borderId="3" xfId="0" applyFont="1" applyBorder="1" applyAlignment="1">
      <alignment vertical="center"/>
    </xf>
    <xf numFmtId="0" fontId="35" fillId="0" borderId="4" xfId="0" applyFont="1" applyBorder="1" applyAlignment="1">
      <alignment vertical="center"/>
    </xf>
    <xf numFmtId="3" fontId="49" fillId="15" borderId="1" xfId="0" applyNumberFormat="1" applyFont="1" applyFill="1" applyBorder="1" applyAlignment="1">
      <alignment horizontal="right" vertical="center"/>
    </xf>
    <xf numFmtId="2" fontId="35" fillId="15" borderId="1" xfId="0" applyNumberFormat="1" applyFont="1" applyFill="1" applyBorder="1" applyAlignment="1">
      <alignment horizontal="center" vertical="center"/>
    </xf>
    <xf numFmtId="4" fontId="35" fillId="0" borderId="1" xfId="0" applyNumberFormat="1" applyFont="1" applyBorder="1" applyAlignment="1">
      <alignment horizontal="left" vertical="center"/>
    </xf>
    <xf numFmtId="3" fontId="35" fillId="0" borderId="1" xfId="0" applyNumberFormat="1" applyFont="1" applyBorder="1" applyAlignment="1">
      <alignment horizontal="right" vertical="center"/>
    </xf>
    <xf numFmtId="0" fontId="35" fillId="0" borderId="1" xfId="0" applyFont="1" applyBorder="1" applyAlignment="1">
      <alignment horizontal="left" vertical="center"/>
    </xf>
    <xf numFmtId="3" fontId="35" fillId="0" borderId="1" xfId="0" applyNumberFormat="1" applyFont="1" applyBorder="1" applyAlignment="1">
      <alignment horizontal="left" vertical="center"/>
    </xf>
    <xf numFmtId="4" fontId="49" fillId="15" borderId="1" xfId="0" applyNumberFormat="1" applyFont="1" applyFill="1" applyBorder="1" applyAlignment="1">
      <alignment horizontal="left" vertical="center"/>
    </xf>
    <xf numFmtId="0" fontId="35" fillId="15" borderId="1" xfId="0" applyFont="1" applyFill="1" applyBorder="1" applyAlignment="1">
      <alignment horizontal="center" vertical="center"/>
    </xf>
    <xf numFmtId="3" fontId="35" fillId="15" borderId="1" xfId="0" applyNumberFormat="1" applyFont="1" applyFill="1" applyBorder="1" applyAlignment="1">
      <alignment horizontal="right" vertical="center"/>
    </xf>
    <xf numFmtId="0" fontId="49" fillId="15" borderId="1" xfId="0" applyFont="1" applyFill="1" applyBorder="1" applyAlignment="1">
      <alignment vertical="center"/>
    </xf>
    <xf numFmtId="3" fontId="49" fillId="15" borderId="1" xfId="0" applyNumberFormat="1" applyFont="1" applyFill="1" applyBorder="1" applyAlignment="1">
      <alignment vertical="center"/>
    </xf>
    <xf numFmtId="3" fontId="49" fillId="0" borderId="1" xfId="0" applyNumberFormat="1" applyFont="1" applyBorder="1" applyAlignment="1">
      <alignment horizontal="right" vertical="center"/>
    </xf>
    <xf numFmtId="3" fontId="35" fillId="0" borderId="0" xfId="0" applyNumberFormat="1" applyFont="1" applyAlignment="1">
      <alignment vertical="center"/>
    </xf>
    <xf numFmtId="2" fontId="35" fillId="0" borderId="1" xfId="0" applyNumberFormat="1" applyFont="1" applyBorder="1" applyAlignment="1">
      <alignment horizontal="center" vertical="center"/>
    </xf>
    <xf numFmtId="4" fontId="35" fillId="15" borderId="1" xfId="0" applyNumberFormat="1" applyFont="1" applyFill="1" applyBorder="1" applyAlignment="1">
      <alignment horizontal="right" vertical="center"/>
    </xf>
    <xf numFmtId="0" fontId="49" fillId="15" borderId="1" xfId="0" applyFont="1" applyFill="1" applyBorder="1" applyAlignment="1">
      <alignment horizontal="left" vertical="center"/>
    </xf>
    <xf numFmtId="0" fontId="49" fillId="6" borderId="1" xfId="0" applyFont="1" applyFill="1" applyBorder="1" applyAlignment="1">
      <alignment horizontal="left" vertical="center"/>
    </xf>
    <xf numFmtId="0" fontId="35" fillId="6" borderId="1" xfId="0" applyFont="1" applyFill="1" applyBorder="1" applyAlignment="1">
      <alignment horizontal="left" vertical="center"/>
    </xf>
    <xf numFmtId="3" fontId="35" fillId="6" borderId="1" xfId="0" applyNumberFormat="1" applyFont="1" applyFill="1" applyBorder="1" applyAlignment="1">
      <alignment horizontal="right" vertical="center"/>
    </xf>
    <xf numFmtId="3" fontId="49" fillId="6" borderId="1" xfId="0" applyNumberFormat="1" applyFont="1" applyFill="1" applyBorder="1" applyAlignment="1">
      <alignment horizontal="right" vertical="center"/>
    </xf>
    <xf numFmtId="0" fontId="35" fillId="6" borderId="1" xfId="0" applyFont="1" applyFill="1" applyBorder="1" applyAlignment="1">
      <alignment horizontal="center" vertical="center"/>
    </xf>
    <xf numFmtId="0" fontId="45" fillId="0" borderId="0" xfId="0" applyFont="1" applyAlignment="1">
      <alignment vertical="center"/>
    </xf>
    <xf numFmtId="0" fontId="44" fillId="0" borderId="0" xfId="0" applyFont="1" applyAlignment="1">
      <alignment vertical="center"/>
    </xf>
    <xf numFmtId="4" fontId="44" fillId="0" borderId="0" xfId="0" applyNumberFormat="1" applyFont="1" applyAlignment="1">
      <alignment vertical="center"/>
    </xf>
    <xf numFmtId="0" fontId="17" fillId="0" borderId="1" xfId="0" applyFont="1" applyBorder="1" applyAlignment="1">
      <alignment vertical="center" wrapText="1"/>
    </xf>
    <xf numFmtId="0" fontId="17" fillId="0" borderId="1" xfId="0" applyFont="1" applyBorder="1" applyAlignment="1">
      <alignment horizontal="left" vertical="center" wrapText="1"/>
    </xf>
    <xf numFmtId="0" fontId="15" fillId="0" borderId="1" xfId="0" applyFont="1" applyBorder="1" applyAlignment="1">
      <alignment horizontal="center" vertical="center"/>
    </xf>
    <xf numFmtId="0" fontId="93" fillId="0" borderId="56" xfId="22" applyFont="1"/>
    <xf numFmtId="9" fontId="89" fillId="16" borderId="74" xfId="14" applyFont="1" applyFill="1" applyBorder="1" applyAlignment="1">
      <alignment horizontal="center" vertical="center"/>
    </xf>
    <xf numFmtId="9" fontId="89" fillId="24" borderId="74" xfId="14" applyFont="1" applyFill="1" applyBorder="1" applyAlignment="1">
      <alignment horizontal="center" vertical="center"/>
    </xf>
    <xf numFmtId="9" fontId="89" fillId="24" borderId="62" xfId="14" applyFont="1" applyFill="1" applyBorder="1" applyAlignment="1">
      <alignment horizontal="center" vertical="center"/>
    </xf>
    <xf numFmtId="0" fontId="88" fillId="0" borderId="0" xfId="0" applyFont="1"/>
    <xf numFmtId="0" fontId="88" fillId="0" borderId="0" xfId="0" applyFont="1" applyAlignment="1">
      <alignment horizontal="center"/>
    </xf>
    <xf numFmtId="0" fontId="89" fillId="0" borderId="0" xfId="0" applyFont="1"/>
    <xf numFmtId="0" fontId="91" fillId="36" borderId="0" xfId="0" applyFont="1" applyFill="1" applyAlignment="1">
      <alignment horizontal="center"/>
    </xf>
    <xf numFmtId="0" fontId="89" fillId="0" borderId="0" xfId="0" applyFont="1" applyAlignment="1">
      <alignment horizontal="center"/>
    </xf>
    <xf numFmtId="0" fontId="92" fillId="36" borderId="69" xfId="0" applyFont="1" applyFill="1" applyBorder="1" applyAlignment="1">
      <alignment horizontal="center" vertical="center" wrapText="1"/>
    </xf>
    <xf numFmtId="0" fontId="89" fillId="16" borderId="75" xfId="0" applyFont="1" applyFill="1" applyBorder="1" applyAlignment="1">
      <alignment horizontal="center" vertical="center"/>
    </xf>
    <xf numFmtId="0" fontId="89" fillId="16" borderId="74" xfId="0" applyFont="1" applyFill="1" applyBorder="1" applyAlignment="1">
      <alignment horizontal="center" vertical="center"/>
    </xf>
    <xf numFmtId="0" fontId="89" fillId="16" borderId="67" xfId="0" applyFont="1" applyFill="1" applyBorder="1" applyAlignment="1">
      <alignment horizontal="center" vertical="center"/>
    </xf>
    <xf numFmtId="0" fontId="89" fillId="16" borderId="62" xfId="0" applyFont="1" applyFill="1" applyBorder="1" applyAlignment="1">
      <alignment horizontal="center" vertical="center"/>
    </xf>
    <xf numFmtId="0" fontId="88" fillId="0" borderId="0" xfId="0" applyFont="1" applyAlignment="1">
      <alignment horizontal="center" vertical="center"/>
    </xf>
    <xf numFmtId="0" fontId="94" fillId="36" borderId="79" xfId="0" applyFont="1" applyFill="1" applyBorder="1" applyAlignment="1">
      <alignment horizontal="center"/>
    </xf>
    <xf numFmtId="0" fontId="89" fillId="24" borderId="75" xfId="0" applyFont="1" applyFill="1" applyBorder="1" applyAlignment="1">
      <alignment horizontal="center" vertical="center"/>
    </xf>
    <xf numFmtId="0" fontId="89" fillId="24" borderId="74" xfId="0" applyFont="1" applyFill="1" applyBorder="1" applyAlignment="1">
      <alignment horizontal="center" vertical="center"/>
    </xf>
    <xf numFmtId="0" fontId="94" fillId="36" borderId="69" xfId="0" applyFont="1" applyFill="1" applyBorder="1" applyAlignment="1">
      <alignment horizontal="center"/>
    </xf>
    <xf numFmtId="0" fontId="95" fillId="36" borderId="69" xfId="0" applyFont="1" applyFill="1" applyBorder="1" applyAlignment="1">
      <alignment horizontal="center" vertical="center"/>
    </xf>
    <xf numFmtId="0" fontId="95" fillId="36" borderId="69" xfId="0" applyFont="1" applyFill="1" applyBorder="1" applyAlignment="1">
      <alignment horizontal="center" vertical="center" wrapText="1"/>
    </xf>
    <xf numFmtId="0" fontId="88" fillId="16" borderId="74" xfId="0" applyFont="1" applyFill="1" applyBorder="1" applyAlignment="1">
      <alignment horizontal="center" vertical="center"/>
    </xf>
    <xf numFmtId="0" fontId="20" fillId="0" borderId="0" xfId="0" applyFont="1" applyAlignment="1">
      <alignment horizontal="center" vertical="center"/>
    </xf>
    <xf numFmtId="0" fontId="20" fillId="0" borderId="0" xfId="0" applyFont="1" applyAlignment="1"/>
    <xf numFmtId="0" fontId="88" fillId="0" borderId="0" xfId="0" applyFont="1" applyFill="1"/>
    <xf numFmtId="0" fontId="88" fillId="0" borderId="0" xfId="0" applyFont="1" applyFill="1" applyAlignment="1">
      <alignment horizontal="center"/>
    </xf>
    <xf numFmtId="0" fontId="88" fillId="0" borderId="0" xfId="0" applyFont="1" applyAlignment="1">
      <alignment vertical="center"/>
    </xf>
    <xf numFmtId="0" fontId="88" fillId="15" borderId="71" xfId="0" applyFont="1" applyFill="1" applyBorder="1" applyAlignment="1">
      <alignment horizontal="center" vertical="center"/>
    </xf>
    <xf numFmtId="0" fontId="88" fillId="15" borderId="70" xfId="0" applyFont="1" applyFill="1" applyBorder="1" applyAlignment="1">
      <alignment horizontal="center" vertical="center"/>
    </xf>
    <xf numFmtId="0" fontId="88" fillId="15" borderId="72" xfId="0" applyFont="1" applyFill="1" applyBorder="1" applyAlignment="1">
      <alignment horizontal="center" vertical="center"/>
    </xf>
    <xf numFmtId="0" fontId="88" fillId="0" borderId="71" xfId="0" applyFont="1" applyBorder="1"/>
    <xf numFmtId="1" fontId="88" fillId="0" borderId="70" xfId="0" applyNumberFormat="1" applyFont="1" applyBorder="1" applyAlignment="1">
      <alignment horizontal="center"/>
    </xf>
    <xf numFmtId="0" fontId="88" fillId="15" borderId="71" xfId="0" applyFont="1" applyFill="1" applyBorder="1"/>
    <xf numFmtId="1" fontId="88" fillId="15" borderId="70" xfId="0" applyNumberFormat="1" applyFont="1" applyFill="1" applyBorder="1" applyAlignment="1">
      <alignment horizontal="center"/>
    </xf>
    <xf numFmtId="1" fontId="88" fillId="15" borderId="72" xfId="0" applyNumberFormat="1" applyFont="1" applyFill="1" applyBorder="1" applyAlignment="1">
      <alignment horizontal="center"/>
    </xf>
    <xf numFmtId="0" fontId="92" fillId="27" borderId="70" xfId="0" applyFont="1" applyFill="1" applyBorder="1" applyAlignment="1">
      <alignment horizontal="center"/>
    </xf>
    <xf numFmtId="0" fontId="96" fillId="15" borderId="70" xfId="0" applyFont="1" applyFill="1" applyBorder="1" applyAlignment="1">
      <alignment horizontal="center" vertical="center"/>
    </xf>
    <xf numFmtId="167" fontId="88" fillId="0" borderId="70" xfId="0" applyNumberFormat="1" applyFont="1" applyBorder="1" applyAlignment="1">
      <alignment horizontal="center"/>
    </xf>
    <xf numFmtId="0" fontId="88" fillId="0" borderId="70" xfId="0" applyFont="1" applyBorder="1" applyAlignment="1">
      <alignment horizontal="center"/>
    </xf>
    <xf numFmtId="0" fontId="88" fillId="0" borderId="72" xfId="0" applyFont="1" applyBorder="1" applyAlignment="1">
      <alignment horizontal="center"/>
    </xf>
    <xf numFmtId="167" fontId="88" fillId="15" borderId="70" xfId="0" applyNumberFormat="1" applyFont="1" applyFill="1" applyBorder="1" applyAlignment="1">
      <alignment horizontal="center"/>
    </xf>
    <xf numFmtId="0" fontId="88" fillId="15" borderId="71" xfId="0" applyFont="1" applyFill="1" applyBorder="1" applyAlignment="1">
      <alignment horizontal="center"/>
    </xf>
    <xf numFmtId="1" fontId="97" fillId="0" borderId="70" xfId="0" applyNumberFormat="1" applyFont="1" applyBorder="1" applyAlignment="1">
      <alignment horizontal="center"/>
    </xf>
    <xf numFmtId="0" fontId="88" fillId="15" borderId="70" xfId="0" applyFont="1" applyFill="1" applyBorder="1" applyAlignment="1">
      <alignment horizontal="center"/>
    </xf>
    <xf numFmtId="0" fontId="92" fillId="27" borderId="71" xfId="0" applyFont="1" applyFill="1" applyBorder="1" applyAlignment="1">
      <alignment horizontal="center" vertical="center"/>
    </xf>
    <xf numFmtId="0" fontId="96" fillId="0" borderId="71" xfId="0" applyFont="1" applyFill="1" applyBorder="1" applyAlignment="1">
      <alignment horizontal="center"/>
    </xf>
    <xf numFmtId="0" fontId="88" fillId="0" borderId="71" xfId="0" applyFont="1" applyBorder="1" applyAlignment="1">
      <alignment horizontal="center"/>
    </xf>
    <xf numFmtId="0" fontId="88" fillId="15" borderId="70" xfId="0" applyFont="1" applyFill="1" applyBorder="1" applyAlignment="1">
      <alignment horizontal="center" vertical="center" wrapText="1"/>
    </xf>
    <xf numFmtId="0" fontId="88" fillId="15" borderId="72" xfId="0" applyFont="1" applyFill="1" applyBorder="1" applyAlignment="1">
      <alignment horizontal="center" vertical="center" wrapText="1"/>
    </xf>
    <xf numFmtId="0" fontId="88" fillId="0" borderId="0" xfId="0" applyFont="1" applyAlignment="1">
      <alignment horizontal="center" vertical="center" wrapText="1"/>
    </xf>
    <xf numFmtId="167" fontId="88" fillId="0" borderId="71" xfId="0" applyNumberFormat="1" applyFont="1" applyBorder="1" applyAlignment="1">
      <alignment horizontal="center"/>
    </xf>
    <xf numFmtId="167" fontId="88" fillId="3" borderId="70" xfId="0" applyNumberFormat="1" applyFont="1" applyFill="1" applyBorder="1" applyAlignment="1">
      <alignment horizontal="center"/>
    </xf>
    <xf numFmtId="1" fontId="88" fillId="3" borderId="70" xfId="0" applyNumberFormat="1" applyFont="1" applyFill="1" applyBorder="1" applyAlignment="1">
      <alignment horizontal="center"/>
    </xf>
    <xf numFmtId="2" fontId="96" fillId="0" borderId="70" xfId="0" applyNumberFormat="1" applyFont="1" applyBorder="1" applyAlignment="1">
      <alignment horizontal="center"/>
    </xf>
    <xf numFmtId="1" fontId="88" fillId="23" borderId="70" xfId="0" applyNumberFormat="1" applyFont="1" applyFill="1" applyBorder="1" applyAlignment="1">
      <alignment horizontal="center"/>
    </xf>
    <xf numFmtId="0" fontId="88" fillId="15" borderId="72" xfId="0" applyFont="1" applyFill="1" applyBorder="1" applyAlignment="1">
      <alignment horizontal="center"/>
    </xf>
    <xf numFmtId="0" fontId="88" fillId="15" borderId="70" xfId="0" applyFont="1" applyFill="1" applyBorder="1"/>
    <xf numFmtId="1" fontId="88" fillId="0" borderId="70" xfId="0" applyNumberFormat="1" applyFont="1" applyBorder="1" applyAlignment="1">
      <alignment horizontal="center" vertical="center"/>
    </xf>
    <xf numFmtId="167" fontId="88" fillId="0" borderId="70" xfId="0" applyNumberFormat="1" applyFont="1" applyFill="1" applyBorder="1" applyAlignment="1">
      <alignment horizontal="center"/>
    </xf>
    <xf numFmtId="1" fontId="88" fillId="0" borderId="70" xfId="0" applyNumberFormat="1" applyFont="1" applyFill="1" applyBorder="1" applyAlignment="1">
      <alignment horizontal="center" vertical="center"/>
    </xf>
    <xf numFmtId="1" fontId="88" fillId="0" borderId="72" xfId="0" applyNumberFormat="1" applyFont="1" applyFill="1" applyBorder="1" applyAlignment="1">
      <alignment horizontal="center" vertical="center"/>
    </xf>
    <xf numFmtId="0" fontId="88" fillId="15" borderId="86" xfId="0" applyFont="1" applyFill="1" applyBorder="1"/>
    <xf numFmtId="0" fontId="98" fillId="37" borderId="8" xfId="0" applyFont="1" applyFill="1" applyBorder="1" applyAlignment="1">
      <alignment vertical="center"/>
    </xf>
    <xf numFmtId="0" fontId="98" fillId="37" borderId="0" xfId="0" applyFont="1" applyFill="1" applyBorder="1" applyAlignment="1">
      <alignment vertical="center"/>
    </xf>
    <xf numFmtId="0" fontId="98" fillId="0" borderId="0" xfId="0" applyFont="1" applyAlignment="1">
      <alignment vertical="center"/>
    </xf>
    <xf numFmtId="0" fontId="98" fillId="0" borderId="0" xfId="0" applyFont="1" applyAlignment="1">
      <alignment horizontal="center" vertical="center"/>
    </xf>
    <xf numFmtId="0" fontId="98" fillId="37" borderId="7" xfId="0" applyFont="1" applyFill="1" applyBorder="1" applyAlignment="1">
      <alignment vertical="center"/>
    </xf>
    <xf numFmtId="0" fontId="98" fillId="0" borderId="5" xfId="0" applyFont="1" applyBorder="1" applyAlignment="1">
      <alignment horizontal="center" vertical="center"/>
    </xf>
    <xf numFmtId="0" fontId="98" fillId="0" borderId="9" xfId="0" applyFont="1" applyBorder="1" applyAlignment="1">
      <alignment horizontal="center" vertical="center"/>
    </xf>
    <xf numFmtId="0" fontId="98" fillId="0" borderId="9" xfId="0" applyFont="1" applyBorder="1" applyAlignment="1">
      <alignment horizontal="left" vertical="center"/>
    </xf>
    <xf numFmtId="0" fontId="98" fillId="0" borderId="6" xfId="0" applyFont="1" applyBorder="1" applyAlignment="1">
      <alignment horizontal="left" vertical="center"/>
    </xf>
    <xf numFmtId="0" fontId="98" fillId="0" borderId="1" xfId="0" applyFont="1" applyFill="1" applyBorder="1" applyAlignment="1">
      <alignment horizontal="center" vertical="center"/>
    </xf>
    <xf numFmtId="0" fontId="98" fillId="0" borderId="10" xfId="0" applyFont="1" applyBorder="1" applyAlignment="1">
      <alignment horizontal="center" vertical="center"/>
    </xf>
    <xf numFmtId="0" fontId="98" fillId="0" borderId="0" xfId="0" applyFont="1" applyBorder="1" applyAlignment="1">
      <alignment horizontal="center" vertical="center"/>
    </xf>
    <xf numFmtId="0" fontId="98" fillId="0" borderId="0" xfId="0" applyFont="1" applyBorder="1" applyAlignment="1">
      <alignment horizontal="left" vertical="center"/>
    </xf>
    <xf numFmtId="0" fontId="98" fillId="0" borderId="11" xfId="0" applyFont="1" applyBorder="1" applyAlignment="1">
      <alignment horizontal="left" vertical="center"/>
    </xf>
    <xf numFmtId="0" fontId="98" fillId="0" borderId="7" xfId="0" applyFont="1" applyBorder="1" applyAlignment="1">
      <alignment horizontal="center" vertical="center"/>
    </xf>
    <xf numFmtId="0" fontId="98" fillId="0" borderId="12" xfId="0" applyFont="1" applyBorder="1" applyAlignment="1">
      <alignment horizontal="center" vertical="center"/>
    </xf>
    <xf numFmtId="0" fontId="98" fillId="0" borderId="12" xfId="0" applyFont="1" applyBorder="1" applyAlignment="1">
      <alignment horizontal="left" vertical="center"/>
    </xf>
    <xf numFmtId="0" fontId="98" fillId="0" borderId="8" xfId="0" applyFont="1" applyBorder="1" applyAlignment="1">
      <alignment horizontal="left" vertical="center"/>
    </xf>
    <xf numFmtId="0" fontId="101" fillId="7" borderId="1" xfId="0" applyFont="1" applyFill="1" applyBorder="1" applyAlignment="1">
      <alignment horizontal="center" vertical="center"/>
    </xf>
    <xf numFmtId="0" fontId="99" fillId="0" borderId="0" xfId="0" applyFont="1" applyBorder="1" applyAlignment="1">
      <alignment vertical="center" wrapText="1"/>
    </xf>
    <xf numFmtId="0" fontId="102" fillId="38" borderId="2" xfId="0" applyFont="1" applyFill="1" applyBorder="1" applyAlignment="1">
      <alignment horizontal="center" vertical="center"/>
    </xf>
    <xf numFmtId="0" fontId="102" fillId="38" borderId="3" xfId="0" applyFont="1" applyFill="1" applyBorder="1" applyAlignment="1">
      <alignment horizontal="center" vertical="center"/>
    </xf>
    <xf numFmtId="0" fontId="102" fillId="38" borderId="3" xfId="0" applyFont="1" applyFill="1" applyBorder="1" applyAlignment="1">
      <alignment vertical="center"/>
    </xf>
    <xf numFmtId="0" fontId="103" fillId="38" borderId="3" xfId="0" applyFont="1" applyFill="1" applyBorder="1" applyAlignment="1">
      <alignment vertical="center"/>
    </xf>
    <xf numFmtId="0" fontId="104" fillId="38" borderId="3" xfId="0" applyFont="1" applyFill="1" applyBorder="1" applyAlignment="1">
      <alignment vertical="center"/>
    </xf>
    <xf numFmtId="0" fontId="103" fillId="38" borderId="4" xfId="0" applyFont="1" applyFill="1" applyBorder="1" applyAlignment="1">
      <alignment vertical="center"/>
    </xf>
    <xf numFmtId="0" fontId="98" fillId="0" borderId="0" xfId="0" applyFont="1" applyFill="1" applyAlignment="1">
      <alignment vertical="center"/>
    </xf>
    <xf numFmtId="0" fontId="103" fillId="0" borderId="0" xfId="0" applyFont="1" applyFill="1" applyBorder="1" applyAlignment="1">
      <alignment vertical="center"/>
    </xf>
    <xf numFmtId="0" fontId="104" fillId="0" borderId="0" xfId="0" applyFont="1" applyFill="1" applyAlignment="1">
      <alignment vertical="center"/>
    </xf>
    <xf numFmtId="0" fontId="98" fillId="0" borderId="0" xfId="0" applyFont="1" applyFill="1" applyBorder="1" applyAlignment="1">
      <alignment vertical="center"/>
    </xf>
    <xf numFmtId="0" fontId="102" fillId="0" borderId="5" xfId="0" applyFont="1" applyFill="1" applyBorder="1" applyAlignment="1">
      <alignment horizontal="center" vertical="center"/>
    </xf>
    <xf numFmtId="0" fontId="105" fillId="0" borderId="9" xfId="0" applyFont="1" applyFill="1" applyBorder="1" applyAlignment="1">
      <alignment horizontal="left" vertical="center"/>
    </xf>
    <xf numFmtId="0" fontId="103" fillId="0" borderId="9" xfId="0" applyFont="1" applyFill="1" applyBorder="1" applyAlignment="1">
      <alignment vertical="center"/>
    </xf>
    <xf numFmtId="0" fontId="104" fillId="0" borderId="9" xfId="0" applyFont="1" applyFill="1" applyBorder="1" applyAlignment="1">
      <alignment vertical="center"/>
    </xf>
    <xf numFmtId="0" fontId="98" fillId="0" borderId="6" xfId="0" applyFont="1" applyFill="1" applyBorder="1" applyAlignment="1">
      <alignment vertical="center"/>
    </xf>
    <xf numFmtId="0" fontId="98" fillId="0" borderId="0" xfId="0" applyFont="1" applyBorder="1" applyAlignment="1">
      <alignment vertical="center"/>
    </xf>
    <xf numFmtId="0" fontId="98" fillId="0" borderId="11" xfId="0" applyFont="1" applyBorder="1" applyAlignment="1">
      <alignment vertical="center"/>
    </xf>
    <xf numFmtId="0" fontId="101" fillId="0" borderId="0" xfId="0" applyFont="1" applyAlignment="1">
      <alignment vertical="center"/>
    </xf>
    <xf numFmtId="0" fontId="104" fillId="0" borderId="0" xfId="0" applyFont="1" applyFill="1" applyBorder="1" applyAlignment="1">
      <alignment vertical="center"/>
    </xf>
    <xf numFmtId="0" fontId="98" fillId="0" borderId="1" xfId="0" applyFont="1" applyBorder="1" applyAlignment="1">
      <alignment vertical="center"/>
    </xf>
    <xf numFmtId="0" fontId="98" fillId="0" borderId="1" xfId="0" applyFont="1" applyBorder="1" applyAlignment="1">
      <alignment horizontal="center" vertical="center"/>
    </xf>
    <xf numFmtId="0" fontId="105" fillId="0" borderId="1" xfId="0" applyFont="1" applyBorder="1" applyAlignment="1">
      <alignment horizontal="center" vertical="center"/>
    </xf>
    <xf numFmtId="0" fontId="86" fillId="0" borderId="1" xfId="0" applyFont="1" applyFill="1" applyBorder="1" applyAlignment="1">
      <alignment vertical="center"/>
    </xf>
    <xf numFmtId="0" fontId="98" fillId="7" borderId="1" xfId="0" applyFont="1" applyFill="1" applyBorder="1" applyAlignment="1">
      <alignment vertical="center"/>
    </xf>
    <xf numFmtId="0" fontId="98" fillId="7" borderId="1" xfId="0" applyFont="1" applyFill="1" applyBorder="1" applyAlignment="1">
      <alignment horizontal="center" vertical="center"/>
    </xf>
    <xf numFmtId="0" fontId="98" fillId="7" borderId="1" xfId="0" applyFont="1" applyFill="1" applyBorder="1" applyAlignment="1">
      <alignment horizontal="center" vertical="center" wrapText="1"/>
    </xf>
    <xf numFmtId="0" fontId="105" fillId="0" borderId="14" xfId="0" applyFont="1" applyBorder="1" applyAlignment="1">
      <alignment horizontal="center" vertical="center"/>
    </xf>
    <xf numFmtId="0" fontId="17" fillId="0" borderId="1" xfId="0" applyFont="1" applyBorder="1" applyAlignment="1">
      <alignment vertical="center"/>
    </xf>
    <xf numFmtId="0" fontId="17" fillId="0" borderId="1" xfId="0" applyFont="1" applyFill="1" applyBorder="1" applyAlignment="1">
      <alignment horizontal="center" vertical="center"/>
    </xf>
    <xf numFmtId="0" fontId="101" fillId="0" borderId="1" xfId="0" applyFont="1" applyBorder="1" applyAlignment="1">
      <alignment vertical="center"/>
    </xf>
    <xf numFmtId="0" fontId="107" fillId="0" borderId="0" xfId="0" applyFont="1" applyFill="1" applyBorder="1" applyAlignment="1">
      <alignment vertical="center"/>
    </xf>
    <xf numFmtId="0" fontId="105" fillId="0" borderId="1" xfId="0" applyFont="1" applyFill="1" applyBorder="1" applyAlignment="1">
      <alignment horizontal="center" vertical="center"/>
    </xf>
    <xf numFmtId="0" fontId="108" fillId="0" borderId="10" xfId="0" applyFont="1" applyBorder="1" applyAlignment="1">
      <alignment horizontal="right" vertical="center"/>
    </xf>
    <xf numFmtId="0" fontId="106" fillId="0" borderId="1" xfId="0" applyFont="1" applyBorder="1" applyAlignment="1">
      <alignment horizontal="center" vertical="center"/>
    </xf>
    <xf numFmtId="0" fontId="106" fillId="0" borderId="1" xfId="0" applyFont="1" applyFill="1" applyBorder="1" applyAlignment="1">
      <alignment horizontal="center" vertical="center"/>
    </xf>
    <xf numFmtId="0" fontId="98" fillId="0" borderId="0" xfId="0" applyFont="1" applyFill="1" applyBorder="1" applyAlignment="1">
      <alignment horizontal="center" vertical="center" wrapText="1"/>
    </xf>
    <xf numFmtId="0" fontId="98" fillId="0" borderId="0" xfId="0" applyFont="1" applyFill="1" applyBorder="1" applyAlignment="1">
      <alignment horizontal="center" vertical="center"/>
    </xf>
    <xf numFmtId="0" fontId="108" fillId="0" borderId="7" xfId="0" applyFont="1" applyBorder="1" applyAlignment="1">
      <alignment horizontal="right" vertical="center"/>
    </xf>
    <xf numFmtId="0" fontId="108" fillId="0" borderId="12" xfId="0" applyFont="1" applyBorder="1" applyAlignment="1">
      <alignment horizontal="right" vertical="center"/>
    </xf>
    <xf numFmtId="0" fontId="15" fillId="0" borderId="12" xfId="0" applyFont="1" applyBorder="1" applyAlignment="1">
      <alignment vertical="center"/>
    </xf>
    <xf numFmtId="0" fontId="17" fillId="0" borderId="12" xfId="0" applyFont="1" applyBorder="1" applyAlignment="1">
      <alignment vertical="center"/>
    </xf>
    <xf numFmtId="0" fontId="17" fillId="0" borderId="12" xfId="0" applyFont="1" applyBorder="1" applyAlignment="1">
      <alignment horizontal="center" vertical="center"/>
    </xf>
    <xf numFmtId="0" fontId="98" fillId="0" borderId="12" xfId="0" applyFont="1" applyBorder="1" applyAlignment="1">
      <alignment vertical="center"/>
    </xf>
    <xf numFmtId="0" fontId="98" fillId="0" borderId="8" xfId="0" applyFont="1" applyBorder="1" applyAlignment="1">
      <alignment vertical="center"/>
    </xf>
    <xf numFmtId="0" fontId="108" fillId="0" borderId="5" xfId="0" applyFont="1" applyFill="1" applyBorder="1" applyAlignment="1">
      <alignment horizontal="right" vertical="center"/>
    </xf>
    <xf numFmtId="0" fontId="98" fillId="0" borderId="9" xfId="0" applyFont="1" applyFill="1" applyBorder="1" applyAlignment="1">
      <alignment vertical="center"/>
    </xf>
    <xf numFmtId="0" fontId="98" fillId="0" borderId="9" xfId="0" applyFont="1" applyFill="1" applyBorder="1" applyAlignment="1">
      <alignment horizontal="center" vertical="center"/>
    </xf>
    <xf numFmtId="0" fontId="98" fillId="0" borderId="9" xfId="0" applyFont="1" applyFill="1" applyBorder="1" applyAlignment="1">
      <alignment horizontal="center" vertical="center" wrapText="1"/>
    </xf>
    <xf numFmtId="0" fontId="108" fillId="0" borderId="10" xfId="0" applyFont="1" applyFill="1" applyBorder="1" applyAlignment="1">
      <alignment horizontal="right" vertical="center"/>
    </xf>
    <xf numFmtId="0" fontId="98" fillId="0" borderId="11" xfId="0" applyFont="1" applyFill="1" applyBorder="1" applyAlignment="1">
      <alignment vertical="center"/>
    </xf>
    <xf numFmtId="0" fontId="106" fillId="0" borderId="1" xfId="0" applyFont="1" applyBorder="1" applyAlignment="1">
      <alignment vertical="center" wrapText="1"/>
    </xf>
    <xf numFmtId="0" fontId="105" fillId="0" borderId="0" xfId="0" applyFont="1" applyBorder="1" applyAlignment="1">
      <alignment horizontal="center" vertical="center"/>
    </xf>
    <xf numFmtId="0" fontId="108" fillId="0" borderId="0" xfId="0" applyFont="1" applyFill="1" applyBorder="1" applyAlignment="1">
      <alignment vertical="center"/>
    </xf>
    <xf numFmtId="0" fontId="108" fillId="0" borderId="0" xfId="0" applyFont="1" applyFill="1" applyBorder="1" applyAlignment="1">
      <alignment horizontal="center" vertical="center" wrapText="1"/>
    </xf>
    <xf numFmtId="0" fontId="108" fillId="0" borderId="0" xfId="0" applyFont="1" applyFill="1" applyBorder="1" applyAlignment="1">
      <alignment horizontal="center" vertical="center"/>
    </xf>
    <xf numFmtId="0" fontId="108" fillId="0" borderId="0" xfId="0" applyFont="1" applyFill="1" applyBorder="1" applyAlignment="1">
      <alignment horizontal="justify" vertical="center" wrapText="1"/>
    </xf>
    <xf numFmtId="0" fontId="108" fillId="0" borderId="0" xfId="0" applyFont="1" applyFill="1" applyBorder="1" applyAlignment="1">
      <alignment vertical="center" wrapText="1"/>
    </xf>
    <xf numFmtId="0" fontId="108" fillId="0" borderId="7" xfId="0" applyFont="1" applyFill="1" applyBorder="1" applyAlignment="1">
      <alignment horizontal="right" vertical="center"/>
    </xf>
    <xf numFmtId="0" fontId="108" fillId="0" borderId="12" xfId="0" applyFont="1" applyFill="1" applyBorder="1" applyAlignment="1">
      <alignment horizontal="right" vertical="center"/>
    </xf>
    <xf numFmtId="0" fontId="106" fillId="0" borderId="12" xfId="0" applyFont="1" applyBorder="1" applyAlignment="1">
      <alignment horizontal="left" vertical="center" wrapText="1"/>
    </xf>
    <xf numFmtId="0" fontId="108" fillId="0" borderId="12" xfId="0" applyFont="1" applyBorder="1" applyAlignment="1">
      <alignment vertical="center" wrapText="1"/>
    </xf>
    <xf numFmtId="0" fontId="108" fillId="0" borderId="12" xfId="0" applyFont="1" applyBorder="1" applyAlignment="1">
      <alignment vertical="center"/>
    </xf>
    <xf numFmtId="0" fontId="108" fillId="0" borderId="12" xfId="0" applyFont="1" applyFill="1" applyBorder="1" applyAlignment="1">
      <alignment horizontal="center" vertical="center" wrapText="1"/>
    </xf>
    <xf numFmtId="0" fontId="108" fillId="0" borderId="12" xfId="0" applyFont="1" applyFill="1" applyBorder="1" applyAlignment="1">
      <alignment horizontal="center" vertical="center"/>
    </xf>
    <xf numFmtId="0" fontId="98" fillId="0" borderId="8" xfId="0" applyFont="1" applyFill="1" applyBorder="1" applyAlignment="1">
      <alignment vertical="center"/>
    </xf>
    <xf numFmtId="0" fontId="98" fillId="38" borderId="4" xfId="0" applyFont="1" applyFill="1" applyBorder="1" applyAlignment="1">
      <alignment vertical="center"/>
    </xf>
    <xf numFmtId="0" fontId="102" fillId="0" borderId="0" xfId="0" applyFont="1" applyFill="1" applyBorder="1" applyAlignment="1">
      <alignment horizontal="center" vertical="center"/>
    </xf>
    <xf numFmtId="0" fontId="102" fillId="0" borderId="0" xfId="0" applyFont="1" applyFill="1" applyBorder="1" applyAlignment="1">
      <alignment vertical="center"/>
    </xf>
    <xf numFmtId="0" fontId="98" fillId="11" borderId="1" xfId="0" applyFont="1" applyFill="1" applyBorder="1" applyAlignment="1">
      <alignment vertical="center"/>
    </xf>
    <xf numFmtId="0" fontId="98" fillId="41" borderId="1" xfId="0" applyFont="1" applyFill="1" applyBorder="1" applyAlignment="1">
      <alignment vertical="center"/>
    </xf>
    <xf numFmtId="0" fontId="109" fillId="0" borderId="0" xfId="0" applyFont="1" applyFill="1" applyBorder="1" applyAlignment="1">
      <alignment vertical="center"/>
    </xf>
    <xf numFmtId="0" fontId="98" fillId="40" borderId="1" xfId="0" applyFont="1" applyFill="1" applyBorder="1" applyAlignment="1">
      <alignment vertical="center"/>
    </xf>
    <xf numFmtId="0" fontId="98" fillId="30" borderId="1" xfId="0" applyFont="1" applyFill="1" applyBorder="1" applyAlignment="1">
      <alignment vertical="center"/>
    </xf>
    <xf numFmtId="0" fontId="98" fillId="0" borderId="0" xfId="0" applyFont="1" applyAlignment="1">
      <alignment horizontal="right" vertical="center"/>
    </xf>
    <xf numFmtId="0" fontId="98" fillId="4" borderId="1" xfId="0" applyFont="1" applyFill="1" applyBorder="1" applyAlignment="1">
      <alignment horizontal="center" vertical="center"/>
    </xf>
    <xf numFmtId="0" fontId="110" fillId="3" borderId="1" xfId="0" applyFont="1" applyFill="1" applyBorder="1" applyAlignment="1">
      <alignment horizontal="center" vertical="center" wrapText="1"/>
    </xf>
    <xf numFmtId="0" fontId="110" fillId="0" borderId="0" xfId="0" applyFont="1" applyFill="1" applyBorder="1" applyAlignment="1">
      <alignment vertical="center" wrapText="1"/>
    </xf>
    <xf numFmtId="0" fontId="110" fillId="0" borderId="1" xfId="0" applyFont="1" applyFill="1" applyBorder="1" applyAlignment="1">
      <alignment horizontal="left" vertical="center" wrapText="1"/>
    </xf>
    <xf numFmtId="0" fontId="98" fillId="0" borderId="2" xfId="0" applyFont="1" applyBorder="1" applyAlignment="1">
      <alignment horizontal="center" vertical="center"/>
    </xf>
    <xf numFmtId="0" fontId="110" fillId="3" borderId="1" xfId="0" applyFont="1" applyFill="1" applyBorder="1" applyAlignment="1">
      <alignment horizontal="left" vertical="center" wrapText="1"/>
    </xf>
    <xf numFmtId="0" fontId="112" fillId="3" borderId="2" xfId="0" applyFont="1" applyFill="1" applyBorder="1" applyAlignment="1">
      <alignment vertical="center" wrapText="1"/>
    </xf>
    <xf numFmtId="0" fontId="112" fillId="3" borderId="4" xfId="0" applyFont="1" applyFill="1" applyBorder="1" applyAlignment="1">
      <alignment vertical="center" wrapText="1"/>
    </xf>
    <xf numFmtId="0" fontId="110" fillId="3" borderId="2" xfId="0" applyFont="1" applyFill="1" applyBorder="1" applyAlignment="1">
      <alignment vertical="center" wrapText="1"/>
    </xf>
    <xf numFmtId="0" fontId="110" fillId="3" borderId="4" xfId="0" applyFont="1" applyFill="1" applyBorder="1" applyAlignment="1">
      <alignment vertical="center" wrapText="1"/>
    </xf>
    <xf numFmtId="0" fontId="110" fillId="3" borderId="2" xfId="0" applyFont="1" applyFill="1" applyBorder="1" applyAlignment="1">
      <alignment horizontal="center" vertical="center" wrapText="1"/>
    </xf>
    <xf numFmtId="0" fontId="110" fillId="3" borderId="4" xfId="0" applyFont="1" applyFill="1" applyBorder="1" applyAlignment="1">
      <alignment horizontal="center" vertical="center" wrapText="1"/>
    </xf>
    <xf numFmtId="0" fontId="110" fillId="3" borderId="0" xfId="0" applyFont="1" applyFill="1" applyBorder="1" applyAlignment="1">
      <alignment horizontal="center" vertical="center" wrapText="1"/>
    </xf>
    <xf numFmtId="0" fontId="110" fillId="3" borderId="0" xfId="0" applyFont="1" applyFill="1" applyBorder="1" applyAlignment="1">
      <alignment vertical="center" wrapText="1"/>
    </xf>
    <xf numFmtId="0" fontId="110" fillId="3" borderId="0" xfId="0" applyFont="1" applyFill="1" applyBorder="1" applyAlignment="1">
      <alignment horizontal="left" vertical="center" wrapText="1"/>
    </xf>
    <xf numFmtId="0" fontId="102" fillId="0" borderId="10" xfId="0" applyFont="1" applyFill="1" applyBorder="1" applyAlignment="1">
      <alignment horizontal="center" vertical="center"/>
    </xf>
    <xf numFmtId="0" fontId="44" fillId="7" borderId="1" xfId="0" applyFont="1" applyFill="1" applyBorder="1" applyAlignment="1">
      <alignment horizontal="center" vertical="center"/>
    </xf>
    <xf numFmtId="0" fontId="44" fillId="7" borderId="1" xfId="0" applyFont="1" applyFill="1" applyBorder="1" applyAlignment="1">
      <alignment vertical="center" wrapText="1"/>
    </xf>
    <xf numFmtId="0" fontId="113" fillId="39" borderId="1" xfId="0" applyFont="1" applyFill="1" applyBorder="1" applyAlignment="1">
      <alignment horizontal="center" vertical="center" wrapText="1"/>
    </xf>
    <xf numFmtId="0" fontId="110" fillId="0" borderId="1" xfId="0" applyFont="1" applyFill="1" applyBorder="1" applyAlignment="1">
      <alignment horizontal="center" vertical="center" wrapText="1"/>
    </xf>
    <xf numFmtId="0" fontId="110" fillId="3" borderId="1" xfId="0" applyFont="1" applyFill="1" applyBorder="1" applyAlignment="1">
      <alignment vertical="center"/>
    </xf>
    <xf numFmtId="0" fontId="113" fillId="12" borderId="1" xfId="0" applyFont="1" applyFill="1" applyBorder="1" applyAlignment="1">
      <alignment horizontal="center" vertical="center" wrapText="1"/>
    </xf>
    <xf numFmtId="0" fontId="98" fillId="0" borderId="1" xfId="0" applyFont="1" applyFill="1" applyBorder="1" applyAlignment="1">
      <alignment vertical="center"/>
    </xf>
    <xf numFmtId="0" fontId="110" fillId="3" borderId="0" xfId="0" applyFont="1" applyFill="1" applyBorder="1" applyAlignment="1">
      <alignment vertical="center"/>
    </xf>
    <xf numFmtId="0" fontId="113" fillId="6" borderId="1" xfId="0" applyFont="1" applyFill="1" applyBorder="1" applyAlignment="1">
      <alignment horizontal="center" vertical="center" wrapText="1"/>
    </xf>
    <xf numFmtId="0" fontId="98" fillId="0" borderId="3" xfId="0" applyFont="1" applyBorder="1" applyAlignment="1">
      <alignment horizontal="center" vertical="center"/>
    </xf>
    <xf numFmtId="0" fontId="98" fillId="0" borderId="12" xfId="0" applyFont="1" applyFill="1" applyBorder="1" applyAlignment="1">
      <alignment horizontal="center" vertical="center"/>
    </xf>
    <xf numFmtId="0" fontId="110" fillId="3" borderId="12" xfId="0" applyFont="1" applyFill="1" applyBorder="1" applyAlignment="1">
      <alignment horizontal="center" vertical="center" wrapText="1"/>
    </xf>
    <xf numFmtId="0" fontId="98" fillId="0" borderId="12" xfId="0" applyFont="1" applyFill="1" applyBorder="1" applyAlignment="1">
      <alignment vertical="center"/>
    </xf>
    <xf numFmtId="0" fontId="110" fillId="0" borderId="12" xfId="0" applyFont="1" applyFill="1" applyBorder="1" applyAlignment="1">
      <alignment horizontal="center" vertical="center" wrapText="1"/>
    </xf>
    <xf numFmtId="0" fontId="98" fillId="0" borderId="6" xfId="0" applyFont="1" applyBorder="1" applyAlignment="1">
      <alignment vertical="center"/>
    </xf>
    <xf numFmtId="0" fontId="44" fillId="7" borderId="15" xfId="0" applyFont="1" applyFill="1" applyBorder="1" applyAlignment="1">
      <alignment horizontal="center" vertical="center"/>
    </xf>
    <xf numFmtId="0" fontId="106" fillId="0" borderId="12" xfId="0" applyFont="1" applyBorder="1" applyAlignment="1">
      <alignment vertical="center"/>
    </xf>
    <xf numFmtId="0" fontId="109" fillId="0" borderId="9" xfId="0" applyFont="1" applyBorder="1" applyAlignment="1"/>
    <xf numFmtId="0" fontId="108" fillId="0" borderId="9" xfId="0" applyFont="1" applyBorder="1" applyAlignment="1"/>
    <xf numFmtId="0" fontId="101" fillId="0" borderId="9" xfId="0" applyFont="1" applyBorder="1" applyAlignment="1"/>
    <xf numFmtId="0" fontId="98" fillId="0" borderId="9" xfId="0" applyFont="1" applyBorder="1" applyAlignment="1"/>
    <xf numFmtId="0" fontId="108" fillId="0" borderId="0" xfId="0" applyFont="1" applyBorder="1" applyAlignment="1">
      <alignment horizontal="right" vertical="center"/>
    </xf>
    <xf numFmtId="0" fontId="106" fillId="7" borderId="1" xfId="0" applyFont="1" applyFill="1" applyBorder="1" applyAlignment="1">
      <alignment horizontal="center" vertical="center" wrapText="1"/>
    </xf>
    <xf numFmtId="0" fontId="106" fillId="4" borderId="1" xfId="0" applyFont="1" applyFill="1" applyBorder="1" applyAlignment="1">
      <alignment horizontal="center" vertical="center" wrapText="1"/>
    </xf>
    <xf numFmtId="0" fontId="108" fillId="0" borderId="0" xfId="0" applyFont="1" applyFill="1" applyBorder="1" applyAlignment="1">
      <alignment horizontal="right" vertical="center"/>
    </xf>
    <xf numFmtId="0" fontId="98" fillId="0" borderId="0" xfId="0" applyFont="1" applyFill="1" applyBorder="1" applyAlignment="1">
      <alignment vertical="center" wrapText="1"/>
    </xf>
    <xf numFmtId="0" fontId="0" fillId="0" borderId="0" xfId="0" applyFill="1" applyBorder="1"/>
    <xf numFmtId="0" fontId="98" fillId="0" borderId="9" xfId="0" applyFont="1" applyBorder="1" applyAlignment="1">
      <alignment vertical="center"/>
    </xf>
    <xf numFmtId="0" fontId="98" fillId="0" borderId="10" xfId="0" applyFont="1" applyBorder="1" applyAlignment="1">
      <alignment horizontal="right" vertical="center"/>
    </xf>
    <xf numFmtId="0" fontId="98" fillId="0" borderId="0" xfId="0" applyFont="1" applyBorder="1" applyAlignment="1">
      <alignment horizontal="right" vertical="center"/>
    </xf>
    <xf numFmtId="0" fontId="98" fillId="0" borderId="7" xfId="0" applyFont="1" applyFill="1" applyBorder="1" applyAlignment="1">
      <alignment horizontal="center" vertical="center"/>
    </xf>
    <xf numFmtId="0" fontId="98" fillId="0" borderId="12" xfId="0" applyFont="1" applyFill="1" applyBorder="1" applyAlignment="1">
      <alignment horizontal="center" vertical="center" wrapText="1"/>
    </xf>
    <xf numFmtId="0" fontId="98" fillId="37" borderId="11" xfId="0" applyFont="1" applyFill="1" applyBorder="1" applyAlignment="1">
      <alignment vertical="center"/>
    </xf>
    <xf numFmtId="0" fontId="98" fillId="37" borderId="10" xfId="0" applyFont="1" applyFill="1" applyBorder="1" applyAlignment="1">
      <alignment vertical="center"/>
    </xf>
    <xf numFmtId="0" fontId="20" fillId="0" borderId="0" xfId="0" applyFont="1"/>
    <xf numFmtId="0" fontId="20" fillId="0" borderId="0" xfId="0" applyFont="1" applyAlignment="1">
      <alignment horizontal="center"/>
    </xf>
    <xf numFmtId="0" fontId="20" fillId="3" borderId="0" xfId="0" applyFont="1" applyFill="1" applyAlignment="1">
      <alignment horizontal="center" vertical="center"/>
    </xf>
    <xf numFmtId="0" fontId="43" fillId="3" borderId="0" xfId="0" applyFont="1" applyFill="1" applyBorder="1" applyAlignment="1">
      <alignment horizontal="center" vertical="center"/>
    </xf>
    <xf numFmtId="0" fontId="20" fillId="0" borderId="0" xfId="0" applyFont="1" applyAlignment="1">
      <alignment vertical="center"/>
    </xf>
    <xf numFmtId="0" fontId="20" fillId="3" borderId="0" xfId="0" applyFont="1" applyFill="1" applyAlignment="1"/>
    <xf numFmtId="0" fontId="76" fillId="5" borderId="58" xfId="0" applyFont="1" applyFill="1" applyBorder="1" applyAlignment="1">
      <alignment vertical="center"/>
    </xf>
    <xf numFmtId="0" fontId="76" fillId="5" borderId="58" xfId="0" applyFont="1" applyFill="1" applyBorder="1" applyAlignment="1">
      <alignment horizontal="center" vertical="center"/>
    </xf>
    <xf numFmtId="0" fontId="76" fillId="5" borderId="58" xfId="0" applyFont="1" applyFill="1" applyBorder="1" applyAlignment="1">
      <alignment horizontal="center" vertical="center" wrapText="1"/>
    </xf>
    <xf numFmtId="0" fontId="76" fillId="3" borderId="58" xfId="0" applyFont="1" applyFill="1" applyBorder="1" applyAlignment="1">
      <alignment horizontal="center" vertical="center" wrapText="1"/>
    </xf>
    <xf numFmtId="0" fontId="43" fillId="0" borderId="58" xfId="0" applyFont="1" applyBorder="1" applyAlignment="1">
      <alignment horizontal="center" vertical="center"/>
    </xf>
    <xf numFmtId="0" fontId="43" fillId="0" borderId="58" xfId="0" applyFont="1" applyBorder="1" applyAlignment="1"/>
    <xf numFmtId="0" fontId="43" fillId="9" borderId="58" xfId="0" applyFont="1" applyFill="1" applyBorder="1" applyAlignment="1">
      <alignment horizontal="center"/>
    </xf>
    <xf numFmtId="0" fontId="43" fillId="0" borderId="59" xfId="0" applyFont="1" applyBorder="1" applyAlignment="1">
      <alignment vertical="center"/>
    </xf>
    <xf numFmtId="0" fontId="43" fillId="0" borderId="58" xfId="0" applyFont="1" applyBorder="1" applyAlignment="1">
      <alignment horizontal="center"/>
    </xf>
    <xf numFmtId="0" fontId="43" fillId="0" borderId="61" xfId="0" applyFont="1" applyBorder="1" applyAlignment="1">
      <alignment vertical="center"/>
    </xf>
    <xf numFmtId="0" fontId="20" fillId="0" borderId="58" xfId="0" applyFont="1" applyBorder="1" applyAlignment="1">
      <alignment horizontal="center"/>
    </xf>
    <xf numFmtId="0" fontId="43" fillId="0" borderId="60" xfId="0" applyFont="1" applyBorder="1" applyAlignment="1">
      <alignment vertical="center"/>
    </xf>
    <xf numFmtId="0" fontId="20" fillId="0" borderId="0" xfId="0" quotePrefix="1" applyFont="1" applyAlignment="1"/>
    <xf numFmtId="0" fontId="20" fillId="0" borderId="0" xfId="0" quotePrefix="1" applyFont="1" applyAlignment="1">
      <alignment horizontal="center"/>
    </xf>
    <xf numFmtId="0" fontId="86" fillId="0" borderId="0" xfId="0" applyFont="1" applyAlignment="1">
      <alignment vertical="center"/>
    </xf>
    <xf numFmtId="0" fontId="0" fillId="0" borderId="0" xfId="0" applyAlignment="1">
      <alignment wrapText="1"/>
    </xf>
    <xf numFmtId="0" fontId="0" fillId="3" borderId="0" xfId="0" applyFill="1" applyAlignment="1">
      <alignment horizontal="center" vertical="center"/>
    </xf>
    <xf numFmtId="0" fontId="87" fillId="32" borderId="1" xfId="0" applyFont="1" applyFill="1" applyBorder="1" applyAlignment="1">
      <alignment vertical="center"/>
    </xf>
    <xf numFmtId="0" fontId="87" fillId="8" borderId="1" xfId="0" applyFont="1" applyFill="1" applyBorder="1" applyAlignment="1">
      <alignment horizontal="center" vertical="center"/>
    </xf>
    <xf numFmtId="0" fontId="87" fillId="33" borderId="1" xfId="0" applyFont="1" applyFill="1" applyBorder="1" applyAlignment="1">
      <alignment horizontal="center" vertical="center"/>
    </xf>
    <xf numFmtId="0" fontId="87" fillId="8" borderId="1" xfId="0" applyFont="1" applyFill="1" applyBorder="1" applyAlignment="1">
      <alignment vertical="center"/>
    </xf>
    <xf numFmtId="0" fontId="87" fillId="0" borderId="1" xfId="0" applyFont="1" applyBorder="1" applyAlignment="1">
      <alignment vertical="center"/>
    </xf>
    <xf numFmtId="0" fontId="87" fillId="0" borderId="1" xfId="0" applyFont="1" applyBorder="1" applyAlignment="1">
      <alignment horizontal="center" vertical="center"/>
    </xf>
    <xf numFmtId="0" fontId="87" fillId="34" borderId="1" xfId="0" applyFont="1" applyFill="1" applyBorder="1" applyAlignment="1">
      <alignment vertical="center"/>
    </xf>
    <xf numFmtId="0" fontId="87" fillId="34" borderId="1" xfId="0" applyFont="1" applyFill="1" applyBorder="1" applyAlignment="1">
      <alignment horizontal="center" vertical="center"/>
    </xf>
    <xf numFmtId="0" fontId="87" fillId="32" borderId="1" xfId="0" applyFont="1" applyFill="1" applyBorder="1" applyAlignment="1">
      <alignment horizontal="center" vertical="center" wrapText="1"/>
    </xf>
    <xf numFmtId="0" fontId="87" fillId="8" borderId="1" xfId="0" applyFont="1" applyFill="1" applyBorder="1" applyAlignment="1">
      <alignment horizontal="center" vertical="center" wrapText="1"/>
    </xf>
    <xf numFmtId="0" fontId="87" fillId="33" borderId="1" xfId="0" applyFont="1" applyFill="1" applyBorder="1" applyAlignment="1">
      <alignment horizontal="center" vertical="center" wrapText="1"/>
    </xf>
    <xf numFmtId="0" fontId="87" fillId="35" borderId="1" xfId="0" applyFont="1" applyFill="1" applyBorder="1" applyAlignment="1">
      <alignment horizontal="center" vertical="center" wrapText="1"/>
    </xf>
    <xf numFmtId="0" fontId="86" fillId="0" borderId="0" xfId="0" applyFont="1" applyBorder="1" applyAlignment="1">
      <alignment vertical="center"/>
    </xf>
    <xf numFmtId="1" fontId="88" fillId="0" borderId="86" xfId="0" applyNumberFormat="1" applyFont="1" applyFill="1" applyBorder="1" applyAlignment="1">
      <alignment horizontal="center"/>
    </xf>
    <xf numFmtId="0" fontId="94" fillId="0" borderId="0" xfId="0" applyFont="1" applyFill="1" applyBorder="1" applyAlignment="1">
      <alignment horizontal="center"/>
    </xf>
    <xf numFmtId="0" fontId="89" fillId="0" borderId="0" xfId="0" applyFont="1" applyFill="1" applyBorder="1" applyAlignment="1">
      <alignment horizontal="center" vertical="center"/>
    </xf>
    <xf numFmtId="9" fontId="89" fillId="0" borderId="0" xfId="0" applyNumberFormat="1" applyFont="1" applyFill="1" applyBorder="1" applyAlignment="1">
      <alignment horizontal="center"/>
    </xf>
    <xf numFmtId="9" fontId="89" fillId="0" borderId="0" xfId="14" applyFont="1" applyFill="1" applyBorder="1" applyAlignment="1">
      <alignment horizontal="center" vertical="center"/>
    </xf>
    <xf numFmtId="0" fontId="89" fillId="0" borderId="0" xfId="0" applyFont="1" applyFill="1"/>
    <xf numFmtId="0" fontId="114" fillId="0" borderId="0" xfId="0" applyFont="1"/>
    <xf numFmtId="0" fontId="88" fillId="16" borderId="74" xfId="0" applyFont="1" applyFill="1" applyBorder="1" applyAlignment="1">
      <alignment horizontal="center" vertical="center"/>
    </xf>
    <xf numFmtId="0" fontId="44" fillId="0" borderId="0" xfId="0" applyFont="1"/>
    <xf numFmtId="0" fontId="5" fillId="0" borderId="0" xfId="0" applyFont="1" applyAlignment="1">
      <alignment horizontal="center"/>
    </xf>
    <xf numFmtId="1" fontId="0" fillId="0" borderId="0" xfId="0" applyNumberFormat="1" applyAlignment="1">
      <alignment horizontal="center"/>
    </xf>
    <xf numFmtId="0" fontId="95" fillId="0" borderId="0" xfId="0" applyFont="1"/>
    <xf numFmtId="0" fontId="118" fillId="0" borderId="0" xfId="0" applyFont="1"/>
    <xf numFmtId="0" fontId="33" fillId="0" borderId="0" xfId="0" applyFont="1" applyAlignment="1"/>
    <xf numFmtId="0" fontId="119" fillId="0" borderId="0" xfId="0" applyFont="1" applyAlignment="1"/>
    <xf numFmtId="0" fontId="120" fillId="0" borderId="0" xfId="0" applyFont="1"/>
    <xf numFmtId="0" fontId="121" fillId="0" borderId="0" xfId="21" applyFont="1" applyBorder="1" applyAlignment="1">
      <alignment vertical="center"/>
    </xf>
    <xf numFmtId="0" fontId="105" fillId="8" borderId="1" xfId="0" applyFont="1" applyFill="1" applyBorder="1" applyAlignment="1">
      <alignment horizontal="center" vertical="center"/>
    </xf>
    <xf numFmtId="0" fontId="106" fillId="8" borderId="1" xfId="0" applyFont="1" applyFill="1" applyBorder="1" applyAlignment="1">
      <alignment horizontal="center" vertical="center"/>
    </xf>
    <xf numFmtId="0" fontId="5" fillId="0" borderId="0" xfId="0" applyFont="1" applyAlignment="1"/>
    <xf numFmtId="0" fontId="21" fillId="0" borderId="0" xfId="0" applyFont="1" applyAlignment="1" applyProtection="1">
      <alignment vertical="center"/>
      <protection locked="0"/>
    </xf>
    <xf numFmtId="0" fontId="5" fillId="0" borderId="0" xfId="0" applyFont="1" applyAlignment="1" applyProtection="1">
      <alignment vertical="center"/>
      <protection locked="0"/>
    </xf>
    <xf numFmtId="0" fontId="5" fillId="0" borderId="10" xfId="0" applyFont="1" applyBorder="1" applyAlignment="1" applyProtection="1">
      <alignment vertical="center"/>
      <protection locked="0"/>
    </xf>
    <xf numFmtId="0" fontId="5" fillId="2" borderId="10" xfId="0" applyFont="1" applyFill="1" applyBorder="1" applyAlignment="1" applyProtection="1">
      <alignment vertical="center"/>
      <protection locked="0"/>
    </xf>
    <xf numFmtId="0" fontId="6" fillId="2" borderId="0" xfId="0" applyFont="1" applyFill="1" applyBorder="1" applyAlignment="1" applyProtection="1">
      <alignment horizontal="left" vertical="center"/>
      <protection locked="0"/>
    </xf>
    <xf numFmtId="0" fontId="7" fillId="2" borderId="0" xfId="0" applyFont="1" applyFill="1" applyBorder="1" applyAlignment="1" applyProtection="1">
      <alignment horizontal="left" vertical="center"/>
      <protection locked="0"/>
    </xf>
    <xf numFmtId="0" fontId="26" fillId="2" borderId="0" xfId="0" applyFont="1" applyFill="1" applyBorder="1" applyAlignment="1" applyProtection="1">
      <alignment horizontal="left" vertical="center"/>
      <protection locked="0"/>
    </xf>
    <xf numFmtId="0" fontId="15" fillId="2" borderId="0" xfId="0" applyFont="1" applyFill="1" applyBorder="1" applyAlignment="1" applyProtection="1">
      <alignment vertical="center"/>
      <protection locked="0"/>
    </xf>
    <xf numFmtId="0" fontId="15" fillId="0" borderId="0" xfId="0" applyFont="1" applyBorder="1" applyAlignment="1" applyProtection="1">
      <alignment horizontal="center" vertical="center"/>
      <protection locked="0"/>
    </xf>
    <xf numFmtId="3" fontId="26" fillId="2" borderId="0" xfId="0" applyNumberFormat="1" applyFont="1" applyFill="1" applyBorder="1" applyAlignment="1" applyProtection="1">
      <alignment horizontal="left" vertical="center"/>
      <protection locked="0"/>
    </xf>
    <xf numFmtId="0" fontId="26" fillId="2" borderId="11" xfId="0" applyFont="1" applyFill="1" applyBorder="1" applyAlignment="1" applyProtection="1">
      <alignment horizontal="left" vertical="center"/>
      <protection locked="0"/>
    </xf>
    <xf numFmtId="0" fontId="5" fillId="2" borderId="0" xfId="0" applyFont="1" applyFill="1" applyAlignment="1" applyProtection="1">
      <alignment vertical="center"/>
      <protection locked="0"/>
    </xf>
    <xf numFmtId="0" fontId="4" fillId="3" borderId="0" xfId="0" applyFont="1" applyFill="1" applyBorder="1" applyAlignment="1" applyProtection="1">
      <alignment vertical="center"/>
      <protection locked="0"/>
    </xf>
    <xf numFmtId="0" fontId="5" fillId="2" borderId="0" xfId="0" applyFont="1" applyFill="1" applyBorder="1" applyAlignment="1" applyProtection="1">
      <alignment vertical="center"/>
      <protection locked="0"/>
    </xf>
    <xf numFmtId="0" fontId="15" fillId="0" borderId="0" xfId="0" applyFont="1" applyBorder="1" applyAlignment="1" applyProtection="1">
      <alignment horizontal="right" vertical="center"/>
      <protection locked="0"/>
    </xf>
    <xf numFmtId="0" fontId="26" fillId="0" borderId="11" xfId="0" applyFont="1" applyFill="1" applyBorder="1" applyAlignment="1" applyProtection="1">
      <alignment horizontal="left" vertical="center"/>
      <protection locked="0"/>
    </xf>
    <xf numFmtId="0" fontId="5" fillId="2" borderId="10" xfId="0" applyFont="1" applyFill="1" applyBorder="1" applyAlignment="1" applyProtection="1">
      <alignment vertical="center" wrapText="1"/>
      <protection locked="0"/>
    </xf>
    <xf numFmtId="0" fontId="26" fillId="0" borderId="11" xfId="0" applyFont="1" applyFill="1" applyBorder="1" applyAlignment="1" applyProtection="1">
      <alignment horizontal="left" vertical="center" wrapText="1"/>
      <protection locked="0"/>
    </xf>
    <xf numFmtId="0" fontId="5" fillId="2" borderId="0" xfId="0" applyFont="1" applyFill="1" applyAlignment="1" applyProtection="1">
      <alignment vertical="center" wrapText="1"/>
      <protection locked="0"/>
    </xf>
    <xf numFmtId="0" fontId="17" fillId="0" borderId="11" xfId="0" applyFont="1" applyFill="1" applyBorder="1" applyAlignment="1" applyProtection="1">
      <alignment horizontal="left" vertical="center"/>
      <protection locked="0"/>
    </xf>
    <xf numFmtId="3" fontId="15" fillId="2" borderId="0" xfId="0" applyNumberFormat="1" applyFont="1" applyFill="1" applyBorder="1" applyAlignment="1" applyProtection="1">
      <alignment vertical="center"/>
      <protection locked="0"/>
    </xf>
    <xf numFmtId="0" fontId="17" fillId="0" borderId="11" xfId="0" applyFont="1" applyFill="1" applyBorder="1" applyAlignment="1" applyProtection="1">
      <alignment vertical="center" wrapText="1"/>
      <protection locked="0"/>
    </xf>
    <xf numFmtId="0" fontId="5" fillId="2" borderId="0" xfId="0" applyFont="1" applyFill="1" applyBorder="1" applyAlignment="1" applyProtection="1">
      <alignment horizontal="left" vertical="center"/>
      <protection locked="0"/>
    </xf>
    <xf numFmtId="0" fontId="17" fillId="0" borderId="11" xfId="0" applyFont="1" applyFill="1" applyBorder="1" applyAlignment="1" applyProtection="1">
      <alignment horizontal="center" vertical="center" wrapText="1"/>
      <protection locked="0"/>
    </xf>
    <xf numFmtId="0" fontId="17" fillId="0" borderId="11" xfId="0" applyFont="1" applyFill="1" applyBorder="1" applyAlignment="1" applyProtection="1">
      <alignment vertical="center"/>
      <protection locked="0"/>
    </xf>
    <xf numFmtId="0" fontId="5" fillId="0" borderId="0" xfId="0" applyFont="1" applyBorder="1" applyProtection="1">
      <protection locked="0"/>
    </xf>
    <xf numFmtId="0" fontId="5" fillId="3" borderId="0" xfId="0" applyFont="1" applyFill="1" applyBorder="1" applyAlignment="1" applyProtection="1">
      <alignment vertical="center" wrapText="1"/>
      <protection locked="0"/>
    </xf>
    <xf numFmtId="0" fontId="15" fillId="2" borderId="0" xfId="0" applyFont="1" applyFill="1" applyBorder="1" applyAlignment="1" applyProtection="1">
      <alignment horizontal="left" vertical="center"/>
      <protection locked="0"/>
    </xf>
    <xf numFmtId="0" fontId="5" fillId="3" borderId="0" xfId="0" applyFont="1" applyFill="1" applyBorder="1" applyAlignment="1" applyProtection="1">
      <alignment vertical="center"/>
      <protection locked="0"/>
    </xf>
    <xf numFmtId="0" fontId="15" fillId="0" borderId="11" xfId="0" applyFont="1" applyFill="1" applyBorder="1" applyAlignment="1" applyProtection="1">
      <alignment horizontal="left" vertical="center"/>
      <protection locked="0"/>
    </xf>
    <xf numFmtId="0" fontId="5" fillId="3" borderId="0" xfId="0" applyFont="1" applyFill="1" applyBorder="1" applyAlignment="1" applyProtection="1">
      <alignment horizontal="left" vertical="center" wrapText="1"/>
      <protection locked="0"/>
    </xf>
    <xf numFmtId="3" fontId="5" fillId="3" borderId="0" xfId="0" applyNumberFormat="1"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3" borderId="11" xfId="0" applyFont="1" applyFill="1" applyBorder="1" applyAlignment="1" applyProtection="1">
      <alignment horizontal="left"/>
      <protection locked="0"/>
    </xf>
    <xf numFmtId="0" fontId="5" fillId="3" borderId="11" xfId="0" applyFont="1" applyFill="1" applyBorder="1" applyAlignment="1" applyProtection="1">
      <protection locked="0"/>
    </xf>
    <xf numFmtId="0" fontId="4" fillId="0" borderId="0" xfId="0" applyFont="1" applyFill="1" applyBorder="1" applyAlignment="1" applyProtection="1">
      <alignment vertical="center"/>
      <protection locked="0"/>
    </xf>
    <xf numFmtId="0" fontId="5" fillId="0" borderId="0" xfId="0" applyFont="1" applyBorder="1" applyAlignment="1" applyProtection="1">
      <alignment vertical="center"/>
      <protection locked="0"/>
    </xf>
    <xf numFmtId="3" fontId="5" fillId="0" borderId="0" xfId="0" applyNumberFormat="1" applyFont="1" applyBorder="1" applyAlignment="1" applyProtection="1">
      <alignment vertical="center"/>
      <protection locked="0"/>
    </xf>
    <xf numFmtId="0" fontId="5" fillId="0" borderId="11" xfId="0" applyFont="1" applyFill="1" applyBorder="1" applyAlignment="1" applyProtection="1">
      <alignment vertical="center"/>
      <protection locked="0"/>
    </xf>
    <xf numFmtId="0" fontId="17" fillId="3" borderId="0" xfId="0" applyFont="1" applyFill="1" applyBorder="1" applyAlignment="1" applyProtection="1">
      <alignment horizontal="left" vertical="center" indent="2"/>
      <protection locked="0"/>
    </xf>
    <xf numFmtId="0" fontId="17" fillId="3" borderId="0" xfId="0" applyFont="1" applyFill="1" applyBorder="1" applyProtection="1">
      <protection locked="0"/>
    </xf>
    <xf numFmtId="0" fontId="5" fillId="3" borderId="0" xfId="0" applyFont="1" applyFill="1" applyBorder="1" applyProtection="1">
      <protection locked="0"/>
    </xf>
    <xf numFmtId="0" fontId="17" fillId="0" borderId="11" xfId="0" applyFont="1" applyFill="1" applyBorder="1" applyAlignment="1" applyProtection="1">
      <alignment horizontal="center" vertical="center"/>
      <protection locked="0"/>
    </xf>
    <xf numFmtId="0" fontId="17" fillId="3" borderId="0" xfId="0" applyFont="1" applyFill="1" applyBorder="1" applyAlignment="1" applyProtection="1">
      <alignment horizontal="left" indent="2"/>
      <protection locked="0"/>
    </xf>
    <xf numFmtId="0" fontId="17" fillId="3" borderId="0" xfId="0" applyFont="1" applyFill="1" applyBorder="1" applyAlignment="1" applyProtection="1">
      <alignment horizontal="left"/>
      <protection locked="0"/>
    </xf>
    <xf numFmtId="0" fontId="5" fillId="3" borderId="0" xfId="0" applyFont="1" applyFill="1" applyBorder="1" applyAlignment="1" applyProtection="1">
      <alignment horizontal="left"/>
      <protection locked="0"/>
    </xf>
    <xf numFmtId="0" fontId="17" fillId="3" borderId="11" xfId="0" applyFont="1" applyFill="1" applyBorder="1" applyAlignment="1" applyProtection="1">
      <alignment vertical="center"/>
      <protection locked="0"/>
    </xf>
    <xf numFmtId="0" fontId="5" fillId="3" borderId="11" xfId="0" applyFont="1" applyFill="1" applyBorder="1" applyAlignment="1" applyProtection="1">
      <alignment vertical="center"/>
      <protection locked="0"/>
    </xf>
    <xf numFmtId="0" fontId="10" fillId="0" borderId="0" xfId="0" applyFont="1" applyBorder="1" applyAlignment="1" applyProtection="1">
      <alignment vertical="center"/>
      <protection locked="0"/>
    </xf>
    <xf numFmtId="3" fontId="5" fillId="2" borderId="0" xfId="0" applyNumberFormat="1" applyFont="1" applyFill="1" applyBorder="1" applyAlignment="1" applyProtection="1">
      <alignment horizontal="left" vertical="center"/>
      <protection locked="0"/>
    </xf>
    <xf numFmtId="0" fontId="5" fillId="3" borderId="11" xfId="0" applyFont="1" applyFill="1" applyBorder="1" applyAlignment="1" applyProtection="1">
      <alignment horizontal="left" vertical="center"/>
      <protection locked="0"/>
    </xf>
    <xf numFmtId="0" fontId="17" fillId="3" borderId="0" xfId="0" applyFont="1" applyFill="1" applyBorder="1" applyAlignment="1" applyProtection="1">
      <alignment vertical="center"/>
      <protection locked="0"/>
    </xf>
    <xf numFmtId="0" fontId="5" fillId="3" borderId="13" xfId="0" applyFont="1" applyFill="1" applyBorder="1" applyAlignment="1" applyProtection="1">
      <alignment vertical="center"/>
      <protection locked="0"/>
    </xf>
    <xf numFmtId="0" fontId="12" fillId="3" borderId="0" xfId="0" applyFont="1" applyFill="1" applyBorder="1" applyAlignment="1" applyProtection="1">
      <alignment vertical="center"/>
      <protection locked="0"/>
    </xf>
    <xf numFmtId="0" fontId="40" fillId="3" borderId="13" xfId="0" applyFont="1" applyFill="1" applyBorder="1" applyAlignment="1" applyProtection="1">
      <alignment vertical="center"/>
      <protection locked="0"/>
    </xf>
    <xf numFmtId="0" fontId="41" fillId="3" borderId="0" xfId="0" applyFont="1" applyFill="1" applyBorder="1" applyAlignment="1" applyProtection="1">
      <alignment horizontal="left" vertical="center" indent="1"/>
      <protection locked="0"/>
    </xf>
    <xf numFmtId="0" fontId="41" fillId="3" borderId="0" xfId="0" applyFont="1" applyFill="1" applyBorder="1" applyAlignment="1" applyProtection="1">
      <alignment vertical="center"/>
      <protection locked="0"/>
    </xf>
    <xf numFmtId="0" fontId="5" fillId="0" borderId="11" xfId="0" applyFont="1" applyBorder="1" applyAlignment="1" applyProtection="1">
      <alignment vertical="center"/>
      <protection locked="0"/>
    </xf>
    <xf numFmtId="0" fontId="4" fillId="0" borderId="0" xfId="0" applyFont="1" applyBorder="1" applyAlignment="1" applyProtection="1">
      <alignment vertical="center"/>
      <protection locked="0"/>
    </xf>
    <xf numFmtId="0" fontId="5" fillId="3" borderId="3" xfId="0" applyFont="1" applyFill="1" applyBorder="1" applyAlignment="1" applyProtection="1">
      <alignment vertical="center"/>
      <protection locked="0"/>
    </xf>
    <xf numFmtId="0" fontId="21" fillId="3" borderId="11" xfId="0"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4" fillId="3" borderId="2" xfId="0" applyFont="1" applyFill="1" applyBorder="1" applyAlignment="1" applyProtection="1">
      <alignment vertical="center"/>
      <protection locked="0"/>
    </xf>
    <xf numFmtId="0" fontId="4" fillId="3" borderId="3" xfId="0" applyFont="1" applyFill="1" applyBorder="1" applyAlignment="1" applyProtection="1">
      <alignment vertical="center"/>
      <protection locked="0"/>
    </xf>
    <xf numFmtId="0" fontId="4" fillId="3" borderId="4" xfId="0" applyFont="1" applyFill="1" applyBorder="1" applyAlignment="1" applyProtection="1">
      <alignment vertical="center"/>
      <protection locked="0"/>
    </xf>
    <xf numFmtId="0" fontId="22" fillId="3" borderId="11" xfId="0" applyFont="1" applyFill="1" applyBorder="1" applyAlignment="1" applyProtection="1">
      <alignment vertical="center"/>
      <protection locked="0"/>
    </xf>
    <xf numFmtId="0" fontId="5" fillId="3" borderId="4" xfId="0" applyFont="1" applyFill="1" applyBorder="1" applyAlignment="1" applyProtection="1">
      <alignment vertical="center"/>
      <protection locked="0"/>
    </xf>
    <xf numFmtId="0" fontId="5" fillId="0" borderId="3" xfId="0" applyFont="1" applyBorder="1" applyAlignment="1" applyProtection="1">
      <alignment vertical="center"/>
      <protection locked="0"/>
    </xf>
    <xf numFmtId="0" fontId="38" fillId="3" borderId="11" xfId="0" applyFont="1" applyFill="1" applyBorder="1" applyAlignment="1" applyProtection="1">
      <alignment vertical="center"/>
      <protection locked="0"/>
    </xf>
    <xf numFmtId="3" fontId="5" fillId="3" borderId="0" xfId="0" applyNumberFormat="1" applyFont="1" applyFill="1" applyBorder="1" applyAlignment="1" applyProtection="1">
      <alignment vertical="center"/>
      <protection locked="0"/>
    </xf>
    <xf numFmtId="0" fontId="5" fillId="0" borderId="12" xfId="0" applyFont="1" applyBorder="1" applyAlignment="1" applyProtection="1">
      <alignment vertical="center"/>
      <protection locked="0"/>
    </xf>
    <xf numFmtId="0" fontId="15" fillId="3" borderId="0" xfId="0" applyFont="1" applyFill="1" applyBorder="1" applyAlignment="1" applyProtection="1">
      <alignment vertical="center"/>
      <protection locked="0"/>
    </xf>
    <xf numFmtId="0" fontId="8" fillId="3" borderId="0" xfId="4" applyFont="1" applyFill="1" applyBorder="1" applyAlignment="1" applyProtection="1">
      <alignment vertical="center"/>
      <protection locked="0"/>
    </xf>
    <xf numFmtId="0" fontId="31" fillId="3" borderId="11" xfId="0" applyFont="1" applyFill="1" applyBorder="1" applyAlignment="1" applyProtection="1">
      <alignment horizontal="center" vertical="center"/>
      <protection locked="0"/>
    </xf>
    <xf numFmtId="0" fontId="17" fillId="3" borderId="11" xfId="0" applyFont="1" applyFill="1" applyBorder="1" applyAlignment="1" applyProtection="1">
      <alignment horizontal="center" vertical="center" wrapText="1"/>
      <protection locked="0"/>
    </xf>
    <xf numFmtId="0" fontId="17" fillId="0" borderId="0" xfId="0" applyFont="1" applyBorder="1" applyAlignment="1" applyProtection="1">
      <alignment vertical="center"/>
      <protection locked="0"/>
    </xf>
    <xf numFmtId="0" fontId="5" fillId="3" borderId="11" xfId="0" applyFont="1" applyFill="1" applyBorder="1" applyAlignment="1" applyProtection="1">
      <alignment vertical="top" wrapText="1"/>
      <protection locked="0"/>
    </xf>
    <xf numFmtId="0" fontId="5" fillId="0" borderId="0" xfId="0" applyFont="1" applyBorder="1" applyAlignment="1" applyProtection="1">
      <alignment vertical="center" wrapText="1"/>
      <protection locked="0"/>
    </xf>
    <xf numFmtId="0" fontId="5" fillId="3" borderId="10" xfId="0" applyFont="1" applyFill="1" applyBorder="1" applyAlignment="1" applyProtection="1">
      <alignment vertical="center"/>
      <protection locked="0"/>
    </xf>
    <xf numFmtId="0" fontId="6" fillId="3" borderId="0" xfId="0" applyFont="1" applyFill="1" applyBorder="1" applyAlignment="1" applyProtection="1">
      <alignment horizontal="left" vertical="center"/>
      <protection locked="0"/>
    </xf>
    <xf numFmtId="0" fontId="7" fillId="3" borderId="0" xfId="0" applyFont="1" applyFill="1" applyBorder="1" applyAlignment="1" applyProtection="1">
      <alignment vertical="center" wrapText="1"/>
      <protection locked="0"/>
    </xf>
    <xf numFmtId="0" fontId="7" fillId="3" borderId="0" xfId="0" applyFont="1" applyFill="1" applyBorder="1" applyAlignment="1" applyProtection="1">
      <alignment horizontal="left" vertical="center" wrapText="1"/>
      <protection locked="0"/>
    </xf>
    <xf numFmtId="3" fontId="7" fillId="3" borderId="0" xfId="0" applyNumberFormat="1" applyFont="1" applyFill="1" applyBorder="1" applyAlignment="1" applyProtection="1">
      <alignment horizontal="left" vertical="center" wrapText="1"/>
      <protection locked="0"/>
    </xf>
    <xf numFmtId="0" fontId="7" fillId="3" borderId="0" xfId="0" applyFont="1" applyFill="1" applyBorder="1" applyAlignment="1" applyProtection="1">
      <alignment vertical="center"/>
      <protection locked="0"/>
    </xf>
    <xf numFmtId="0" fontId="7" fillId="3" borderId="11" xfId="0" applyFont="1" applyFill="1" applyBorder="1" applyAlignment="1" applyProtection="1">
      <alignment vertical="center"/>
      <protection locked="0"/>
    </xf>
    <xf numFmtId="0" fontId="4" fillId="3" borderId="0" xfId="0" applyFont="1" applyFill="1" applyBorder="1" applyAlignment="1" applyProtection="1">
      <alignment horizontal="left" vertical="center"/>
      <protection locked="0"/>
    </xf>
    <xf numFmtId="0" fontId="9" fillId="3" borderId="0" xfId="0" applyFont="1" applyFill="1" applyBorder="1" applyAlignment="1" applyProtection="1">
      <alignment vertical="center"/>
      <protection locked="0"/>
    </xf>
    <xf numFmtId="3" fontId="5" fillId="3" borderId="0" xfId="0" applyNumberFormat="1" applyFont="1" applyFill="1" applyBorder="1" applyAlignment="1" applyProtection="1">
      <alignment horizontal="left" vertical="center" wrapText="1"/>
      <protection locked="0"/>
    </xf>
    <xf numFmtId="0" fontId="17" fillId="3" borderId="11" xfId="0" applyFont="1" applyFill="1" applyBorder="1" applyAlignment="1" applyProtection="1">
      <alignment vertical="center" wrapText="1"/>
      <protection locked="0"/>
    </xf>
    <xf numFmtId="3" fontId="5" fillId="0" borderId="0" xfId="0" applyNumberFormat="1" applyFont="1" applyBorder="1" applyAlignment="1" applyProtection="1">
      <alignment vertical="center" wrapText="1"/>
      <protection locked="0"/>
    </xf>
    <xf numFmtId="0" fontId="5" fillId="3" borderId="11" xfId="0" applyFont="1" applyFill="1" applyBorder="1" applyAlignment="1" applyProtection="1">
      <alignment vertical="center" wrapText="1"/>
      <protection locked="0"/>
    </xf>
    <xf numFmtId="0" fontId="5" fillId="0" borderId="12" xfId="0" applyFont="1" applyBorder="1" applyAlignment="1" applyProtection="1">
      <alignment vertical="center" wrapText="1"/>
      <protection locked="0"/>
    </xf>
    <xf numFmtId="3" fontId="5" fillId="0" borderId="12" xfId="0" applyNumberFormat="1" applyFont="1" applyBorder="1" applyAlignment="1" applyProtection="1">
      <alignment vertical="center" wrapText="1"/>
      <protection locked="0"/>
    </xf>
    <xf numFmtId="0" fontId="17" fillId="3" borderId="11" xfId="0" applyFont="1" applyFill="1" applyBorder="1" applyAlignment="1" applyProtection="1">
      <alignment horizontal="left" vertical="center" wrapText="1"/>
      <protection locked="0"/>
    </xf>
    <xf numFmtId="0" fontId="36" fillId="0" borderId="0" xfId="0" applyFont="1" applyBorder="1" applyAlignment="1" applyProtection="1">
      <alignment vertical="center"/>
      <protection locked="0"/>
    </xf>
    <xf numFmtId="0" fontId="5" fillId="0" borderId="0" xfId="0" applyFont="1" applyBorder="1" applyAlignment="1" applyProtection="1">
      <alignment horizontal="left" vertical="center" wrapText="1"/>
      <protection locked="0"/>
    </xf>
    <xf numFmtId="3" fontId="5" fillId="0" borderId="0" xfId="0" applyNumberFormat="1" applyFont="1" applyBorder="1" applyAlignment="1" applyProtection="1">
      <alignment horizontal="left" vertical="center" wrapText="1"/>
      <protection locked="0"/>
    </xf>
    <xf numFmtId="0" fontId="29" fillId="3" borderId="11" xfId="0" applyFont="1" applyFill="1" applyBorder="1" applyAlignment="1" applyProtection="1">
      <alignment horizontal="center" vertical="center" wrapText="1"/>
      <protection locked="0"/>
    </xf>
    <xf numFmtId="0" fontId="15" fillId="0" borderId="10" xfId="0" applyFont="1" applyBorder="1" applyAlignment="1" applyProtection="1">
      <alignment vertical="center"/>
      <protection locked="0"/>
    </xf>
    <xf numFmtId="0" fontId="5" fillId="0" borderId="11" xfId="0" applyFont="1" applyBorder="1" applyAlignment="1" applyProtection="1">
      <alignment vertical="center" wrapText="1"/>
      <protection locked="0"/>
    </xf>
    <xf numFmtId="0" fontId="5" fillId="0" borderId="7" xfId="0" applyFont="1" applyBorder="1" applyAlignment="1" applyProtection="1">
      <alignment vertical="center"/>
      <protection locked="0"/>
    </xf>
    <xf numFmtId="0" fontId="5" fillId="0" borderId="0" xfId="0" applyFont="1" applyBorder="1" applyAlignment="1" applyProtection="1">
      <alignment horizontal="center" vertical="center"/>
      <protection locked="0"/>
    </xf>
    <xf numFmtId="0" fontId="15" fillId="0" borderId="0" xfId="0" applyFont="1" applyBorder="1" applyAlignment="1" applyProtection="1">
      <alignment vertical="center"/>
      <protection locked="0"/>
    </xf>
    <xf numFmtId="3" fontId="15" fillId="0" borderId="0" xfId="0" applyNumberFormat="1"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7" fillId="3" borderId="0" xfId="0" applyFont="1" applyFill="1" applyBorder="1" applyAlignment="1" applyProtection="1">
      <alignment horizontal="left" vertical="center"/>
      <protection locked="0"/>
    </xf>
    <xf numFmtId="3" fontId="17" fillId="0" borderId="0" xfId="0" applyNumberFormat="1" applyFont="1" applyBorder="1" applyAlignment="1" applyProtection="1">
      <alignment vertical="center"/>
      <protection locked="0"/>
    </xf>
    <xf numFmtId="3" fontId="5" fillId="0" borderId="0" xfId="0" applyNumberFormat="1" applyFont="1" applyBorder="1" applyAlignment="1" applyProtection="1">
      <alignment horizontal="center" vertical="center"/>
      <protection locked="0"/>
    </xf>
    <xf numFmtId="0" fontId="5" fillId="3" borderId="0" xfId="0" applyFont="1" applyFill="1" applyAlignment="1" applyProtection="1">
      <alignment vertical="center"/>
      <protection locked="0"/>
    </xf>
    <xf numFmtId="0" fontId="17" fillId="0" borderId="10" xfId="0" applyFont="1" applyBorder="1" applyAlignment="1" applyProtection="1">
      <alignment vertical="center"/>
      <protection locked="0"/>
    </xf>
    <xf numFmtId="0" fontId="32"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3" borderId="0" xfId="0" applyFont="1" applyFill="1" applyBorder="1" applyAlignment="1" applyProtection="1">
      <alignment horizontal="left" vertical="center" wrapText="1"/>
      <protection locked="0"/>
    </xf>
    <xf numFmtId="3" fontId="17" fillId="3" borderId="0" xfId="0" applyNumberFormat="1" applyFont="1" applyFill="1" applyBorder="1" applyAlignment="1" applyProtection="1">
      <alignment horizontal="left" vertical="center" wrapText="1"/>
      <protection locked="0"/>
    </xf>
    <xf numFmtId="0" fontId="17" fillId="0" borderId="0" xfId="0" applyFont="1" applyProtection="1">
      <protection locked="0"/>
    </xf>
    <xf numFmtId="3" fontId="5" fillId="0" borderId="0" xfId="0" applyNumberFormat="1" applyFont="1" applyFill="1" applyBorder="1" applyAlignment="1" applyProtection="1">
      <alignment vertical="center"/>
      <protection locked="0"/>
    </xf>
    <xf numFmtId="0" fontId="17" fillId="0" borderId="0" xfId="0" applyFont="1" applyFill="1" applyBorder="1" applyAlignment="1" applyProtection="1">
      <alignment vertical="center"/>
      <protection locked="0"/>
    </xf>
    <xf numFmtId="3" fontId="17" fillId="0" borderId="0" xfId="0" applyNumberFormat="1" applyFont="1" applyFill="1" applyBorder="1" applyAlignment="1" applyProtection="1">
      <alignment vertical="center"/>
      <protection locked="0"/>
    </xf>
    <xf numFmtId="0" fontId="12" fillId="3" borderId="0" xfId="0" applyFont="1" applyFill="1" applyBorder="1" applyAlignment="1" applyProtection="1">
      <alignment horizontal="left" vertical="center"/>
      <protection locked="0"/>
    </xf>
    <xf numFmtId="0" fontId="17" fillId="3" borderId="0" xfId="0" applyFont="1" applyFill="1" applyBorder="1" applyAlignment="1" applyProtection="1">
      <alignment horizontal="left" vertical="top"/>
      <protection locked="0"/>
    </xf>
    <xf numFmtId="0" fontId="37" fillId="3" borderId="0" xfId="0" applyFont="1" applyFill="1" applyBorder="1" applyAlignment="1" applyProtection="1">
      <alignment vertical="top" wrapText="1"/>
      <protection locked="0"/>
    </xf>
    <xf numFmtId="0" fontId="17" fillId="0" borderId="0" xfId="0" applyFont="1" applyFill="1" applyBorder="1" applyAlignment="1" applyProtection="1">
      <alignment horizontal="left" vertical="top"/>
      <protection locked="0"/>
    </xf>
    <xf numFmtId="0" fontId="37" fillId="0" borderId="0" xfId="0" applyFont="1" applyFill="1" applyBorder="1" applyAlignment="1" applyProtection="1">
      <alignment vertical="top" wrapText="1"/>
      <protection locked="0"/>
    </xf>
    <xf numFmtId="0" fontId="37" fillId="0" borderId="0" xfId="0" applyFont="1" applyFill="1" applyBorder="1" applyAlignment="1" applyProtection="1">
      <alignment horizontal="left" vertical="top" wrapText="1"/>
      <protection locked="0"/>
    </xf>
    <xf numFmtId="3" fontId="15" fillId="3" borderId="0" xfId="0" applyNumberFormat="1" applyFont="1" applyFill="1" applyBorder="1" applyAlignment="1" applyProtection="1">
      <alignment vertical="center"/>
      <protection locked="0"/>
    </xf>
    <xf numFmtId="0" fontId="4" fillId="3" borderId="0" xfId="0" applyFont="1" applyFill="1" applyBorder="1" applyAlignment="1" applyProtection="1">
      <alignment horizontal="center" vertical="center"/>
      <protection locked="0"/>
    </xf>
    <xf numFmtId="0" fontId="23" fillId="3" borderId="0" xfId="0" applyFont="1" applyFill="1" applyBorder="1" applyAlignment="1" applyProtection="1">
      <alignment vertical="center"/>
      <protection locked="0"/>
    </xf>
    <xf numFmtId="3" fontId="5" fillId="0" borderId="12" xfId="0" applyNumberFormat="1" applyFont="1" applyBorder="1" applyAlignment="1" applyProtection="1">
      <alignment vertical="center"/>
      <protection locked="0"/>
    </xf>
    <xf numFmtId="0" fontId="5" fillId="3" borderId="12" xfId="0" applyFont="1" applyFill="1" applyBorder="1" applyAlignment="1" applyProtection="1">
      <alignment vertical="center"/>
      <protection locked="0"/>
    </xf>
    <xf numFmtId="3" fontId="5" fillId="3" borderId="12" xfId="0" applyNumberFormat="1" applyFont="1" applyFill="1" applyBorder="1" applyAlignment="1" applyProtection="1">
      <alignment vertical="center"/>
      <protection locked="0"/>
    </xf>
    <xf numFmtId="0" fontId="5" fillId="0" borderId="8" xfId="0" applyFont="1" applyBorder="1" applyAlignment="1" applyProtection="1">
      <alignment vertical="center"/>
      <protection locked="0"/>
    </xf>
    <xf numFmtId="3" fontId="5" fillId="0" borderId="0" xfId="0" applyNumberFormat="1" applyFont="1" applyAlignment="1" applyProtection="1">
      <alignment vertical="center"/>
      <protection locked="0"/>
    </xf>
    <xf numFmtId="0" fontId="5" fillId="0" borderId="0" xfId="0" applyFont="1" applyAlignment="1">
      <alignment horizontal="center" vertical="center" wrapText="1"/>
    </xf>
    <xf numFmtId="0" fontId="20" fillId="0" borderId="10" xfId="0" applyFont="1" applyBorder="1" applyAlignment="1" applyProtection="1">
      <alignment vertical="center"/>
      <protection locked="0"/>
    </xf>
    <xf numFmtId="0" fontId="20" fillId="0" borderId="0" xfId="0" applyFont="1" applyAlignment="1" applyProtection="1">
      <alignment vertical="center"/>
      <protection locked="0"/>
    </xf>
    <xf numFmtId="0" fontId="35" fillId="3" borderId="11" xfId="0" applyFont="1" applyFill="1" applyBorder="1" applyAlignment="1" applyProtection="1">
      <alignment horizontal="center" vertical="center" wrapText="1"/>
      <protection locked="0"/>
    </xf>
    <xf numFmtId="0" fontId="5" fillId="0" borderId="0" xfId="0" applyFont="1" applyAlignment="1">
      <alignment vertical="center" wrapText="1"/>
    </xf>
    <xf numFmtId="0" fontId="5" fillId="9" borderId="0" xfId="0" applyFont="1" applyFill="1" applyAlignment="1">
      <alignment vertical="center"/>
    </xf>
    <xf numFmtId="0" fontId="5" fillId="11" borderId="0" xfId="0" applyFont="1" applyFill="1" applyAlignment="1">
      <alignment vertical="center"/>
    </xf>
    <xf numFmtId="0" fontId="5" fillId="0" borderId="0" xfId="0" applyFont="1" applyAlignment="1">
      <alignment horizontal="left"/>
    </xf>
    <xf numFmtId="0" fontId="5" fillId="17" borderId="0" xfId="0" applyFont="1" applyFill="1" applyAlignment="1">
      <alignment horizontal="left"/>
    </xf>
    <xf numFmtId="0" fontId="5" fillId="0" borderId="0" xfId="0" applyFont="1" applyFill="1" applyAlignment="1">
      <alignment vertical="center"/>
    </xf>
    <xf numFmtId="0" fontId="0" fillId="0" borderId="0" xfId="0" applyAlignment="1">
      <alignment horizontal="center" vertical="center" wrapText="1"/>
    </xf>
    <xf numFmtId="0" fontId="5" fillId="0" borderId="10" xfId="0" applyFont="1" applyBorder="1" applyAlignment="1" applyProtection="1">
      <alignment vertical="center" wrapText="1"/>
      <protection locked="0"/>
    </xf>
    <xf numFmtId="0" fontId="5" fillId="0" borderId="0" xfId="0" applyFont="1" applyAlignment="1" applyProtection="1">
      <alignment vertical="center" wrapText="1"/>
      <protection locked="0"/>
    </xf>
    <xf numFmtId="0" fontId="0" fillId="0" borderId="0" xfId="0" applyFont="1" applyAlignment="1">
      <alignment horizontal="center"/>
    </xf>
    <xf numFmtId="3" fontId="20" fillId="3" borderId="0" xfId="0" applyNumberFormat="1" applyFont="1" applyFill="1" applyBorder="1" applyAlignment="1" applyProtection="1">
      <alignment horizontal="left" vertical="center" wrapText="1"/>
      <protection locked="0"/>
    </xf>
    <xf numFmtId="0" fontId="17" fillId="3" borderId="4" xfId="0" applyFont="1" applyFill="1" applyBorder="1" applyAlignment="1" applyProtection="1">
      <alignment horizontal="center" vertical="center" wrapText="1"/>
      <protection locked="0"/>
    </xf>
    <xf numFmtId="0" fontId="30" fillId="2" borderId="0" xfId="0" applyFont="1" applyFill="1" applyBorder="1" applyAlignment="1" applyProtection="1">
      <alignment horizontal="left" vertical="center" wrapText="1"/>
      <protection locked="0"/>
    </xf>
    <xf numFmtId="0" fontId="43" fillId="3" borderId="5" xfId="0" applyFont="1" applyFill="1" applyBorder="1" applyAlignment="1" applyProtection="1">
      <alignment horizontal="center" vertical="center" wrapText="1"/>
      <protection locked="0"/>
    </xf>
    <xf numFmtId="0" fontId="43" fillId="3" borderId="10" xfId="0" applyFont="1" applyFill="1" applyBorder="1" applyAlignment="1" applyProtection="1">
      <alignment horizontal="center" vertical="center" wrapText="1"/>
      <protection locked="0"/>
    </xf>
    <xf numFmtId="0" fontId="43" fillId="3" borderId="7" xfId="0" applyFont="1" applyFill="1" applyBorder="1" applyAlignment="1" applyProtection="1">
      <alignment horizontal="center" vertical="center" wrapText="1"/>
      <protection locked="0"/>
    </xf>
    <xf numFmtId="0" fontId="27" fillId="42" borderId="2" xfId="0" applyFont="1" applyFill="1" applyBorder="1" applyAlignment="1" applyProtection="1">
      <alignment horizontal="left" vertical="center"/>
      <protection locked="0"/>
    </xf>
    <xf numFmtId="0" fontId="25" fillId="42" borderId="3" xfId="0" applyFont="1" applyFill="1" applyBorder="1" applyAlignment="1" applyProtection="1">
      <alignment horizontal="left" vertical="center"/>
      <protection locked="0"/>
    </xf>
    <xf numFmtId="3" fontId="25" fillId="42" borderId="3" xfId="0" applyNumberFormat="1" applyFont="1" applyFill="1" applyBorder="1" applyAlignment="1" applyProtection="1">
      <alignment horizontal="left" vertical="center"/>
      <protection locked="0"/>
    </xf>
    <xf numFmtId="0" fontId="25" fillId="42" borderId="4" xfId="0" applyFont="1" applyFill="1" applyBorder="1" applyAlignment="1" applyProtection="1">
      <alignment horizontal="left" vertical="center"/>
      <protection locked="0"/>
    </xf>
    <xf numFmtId="0" fontId="24" fillId="42" borderId="3" xfId="0" applyFont="1" applyFill="1" applyBorder="1" applyAlignment="1" applyProtection="1">
      <alignment horizontal="left" vertical="center"/>
      <protection locked="0"/>
    </xf>
    <xf numFmtId="0" fontId="17" fillId="3" borderId="0" xfId="0" applyFont="1" applyFill="1" applyBorder="1" applyAlignment="1" applyProtection="1">
      <alignment vertical="center" wrapText="1"/>
      <protection locked="0"/>
    </xf>
    <xf numFmtId="3" fontId="43" fillId="0" borderId="0" xfId="0" applyNumberFormat="1" applyFont="1" applyFill="1" applyBorder="1" applyAlignment="1" applyProtection="1">
      <alignment horizontal="center" vertical="center" wrapText="1"/>
      <protection locked="0"/>
    </xf>
    <xf numFmtId="0" fontId="27" fillId="43" borderId="2" xfId="0" applyFont="1" applyFill="1" applyBorder="1" applyAlignment="1" applyProtection="1">
      <alignment horizontal="left" vertical="center"/>
      <protection locked="0"/>
    </xf>
    <xf numFmtId="0" fontId="5" fillId="43" borderId="3" xfId="0" applyFont="1" applyFill="1" applyBorder="1" applyAlignment="1" applyProtection="1">
      <alignment vertical="center"/>
      <protection locked="0"/>
    </xf>
    <xf numFmtId="0" fontId="25" fillId="43" borderId="3" xfId="0" applyFont="1" applyFill="1" applyBorder="1" applyAlignment="1" applyProtection="1">
      <alignment horizontal="left" vertical="center"/>
      <protection locked="0"/>
    </xf>
    <xf numFmtId="3" fontId="25" fillId="43" borderId="3" xfId="0" applyNumberFormat="1" applyFont="1" applyFill="1" applyBorder="1" applyAlignment="1" applyProtection="1">
      <alignment horizontal="left" vertical="center"/>
      <protection locked="0"/>
    </xf>
    <xf numFmtId="0" fontId="25" fillId="43" borderId="4" xfId="0" applyFont="1" applyFill="1" applyBorder="1" applyAlignment="1" applyProtection="1">
      <alignment horizontal="left" vertical="center"/>
      <protection locked="0"/>
    </xf>
    <xf numFmtId="0" fontId="38" fillId="26" borderId="1" xfId="0" applyFont="1" applyFill="1" applyBorder="1" applyAlignment="1" applyProtection="1">
      <alignment horizontal="center" vertical="center"/>
      <protection locked="0"/>
    </xf>
    <xf numFmtId="0" fontId="17" fillId="0" borderId="0" xfId="0" applyFont="1" applyFill="1" applyBorder="1" applyAlignment="1" applyProtection="1">
      <alignment vertical="center" wrapText="1"/>
      <protection locked="0"/>
    </xf>
    <xf numFmtId="0" fontId="5" fillId="0" borderId="0" xfId="0" applyFont="1" applyFill="1" applyBorder="1" applyAlignment="1" applyProtection="1">
      <alignment horizontal="center" vertical="center"/>
      <protection locked="0"/>
    </xf>
    <xf numFmtId="0" fontId="27" fillId="43" borderId="2" xfId="0" applyFont="1" applyFill="1" applyBorder="1" applyAlignment="1" applyProtection="1">
      <alignment vertical="center"/>
      <protection locked="0"/>
    </xf>
    <xf numFmtId="0" fontId="27" fillId="43" borderId="3" xfId="0" applyFont="1" applyFill="1" applyBorder="1" applyAlignment="1" applyProtection="1">
      <alignment vertical="center"/>
      <protection locked="0"/>
    </xf>
    <xf numFmtId="0" fontId="7" fillId="43" borderId="3" xfId="0" applyFont="1" applyFill="1" applyBorder="1" applyAlignment="1" applyProtection="1">
      <alignment vertical="center"/>
      <protection locked="0"/>
    </xf>
    <xf numFmtId="3" fontId="7" fillId="43" borderId="3" xfId="0" applyNumberFormat="1" applyFont="1" applyFill="1" applyBorder="1" applyAlignment="1" applyProtection="1">
      <alignment vertical="center"/>
      <protection locked="0"/>
    </xf>
    <xf numFmtId="0" fontId="43" fillId="26" borderId="5" xfId="0" applyFont="1" applyFill="1" applyBorder="1" applyAlignment="1" applyProtection="1">
      <alignment horizontal="center" vertical="center" wrapText="1"/>
      <protection locked="0"/>
    </xf>
    <xf numFmtId="0" fontId="43" fillId="26" borderId="7" xfId="0" applyFont="1" applyFill="1" applyBorder="1" applyAlignment="1" applyProtection="1">
      <alignment horizontal="center" vertical="center" wrapText="1"/>
      <protection locked="0"/>
    </xf>
    <xf numFmtId="0" fontId="17" fillId="13" borderId="1" xfId="0" applyFont="1" applyFill="1" applyBorder="1" applyAlignment="1" applyProtection="1">
      <alignment horizontal="center" vertical="center"/>
      <protection locked="0"/>
    </xf>
    <xf numFmtId="0" fontId="33" fillId="0" borderId="1" xfId="0" applyFont="1" applyBorder="1" applyAlignment="1">
      <alignment horizontal="center" wrapText="1"/>
    </xf>
    <xf numFmtId="0" fontId="33" fillId="0" borderId="1" xfId="0" applyFont="1" applyBorder="1" applyAlignment="1">
      <alignment horizontal="center" vertical="center" wrapText="1"/>
    </xf>
    <xf numFmtId="0" fontId="19" fillId="3" borderId="0" xfId="0" applyFont="1" applyFill="1" applyBorder="1" applyAlignment="1" applyProtection="1">
      <alignment horizontal="left" vertical="center" indent="1"/>
      <protection locked="0"/>
    </xf>
    <xf numFmtId="0" fontId="27" fillId="43" borderId="3" xfId="0" applyFont="1" applyFill="1" applyBorder="1" applyAlignment="1" applyProtection="1">
      <alignment horizontal="left" vertical="center"/>
      <protection locked="0"/>
    </xf>
    <xf numFmtId="0" fontId="28" fillId="43" borderId="3" xfId="0" applyFont="1" applyFill="1" applyBorder="1" applyAlignment="1" applyProtection="1">
      <alignment vertical="center" wrapText="1"/>
      <protection locked="0"/>
    </xf>
    <xf numFmtId="0" fontId="28" fillId="43" borderId="3" xfId="0" applyFont="1" applyFill="1" applyBorder="1" applyAlignment="1" applyProtection="1">
      <alignment horizontal="left" vertical="center" wrapText="1"/>
      <protection locked="0"/>
    </xf>
    <xf numFmtId="3" fontId="28" fillId="43" borderId="3" xfId="0" applyNumberFormat="1" applyFont="1" applyFill="1" applyBorder="1" applyAlignment="1" applyProtection="1">
      <alignment horizontal="left" vertical="center" wrapText="1"/>
      <protection locked="0"/>
    </xf>
    <xf numFmtId="0" fontId="28" fillId="43" borderId="3" xfId="0" applyFont="1" applyFill="1" applyBorder="1" applyAlignment="1" applyProtection="1">
      <alignment vertical="center"/>
      <protection locked="0"/>
    </xf>
    <xf numFmtId="0" fontId="28" fillId="43" borderId="4" xfId="0" applyFont="1" applyFill="1" applyBorder="1" applyAlignment="1" applyProtection="1">
      <alignment vertical="center"/>
      <protection locked="0"/>
    </xf>
    <xf numFmtId="3" fontId="12" fillId="3" borderId="3" xfId="0" applyNumberFormat="1" applyFont="1" applyFill="1" applyBorder="1" applyAlignment="1" applyProtection="1">
      <alignment horizontal="center" vertical="center" wrapText="1"/>
      <protection locked="0"/>
    </xf>
    <xf numFmtId="0" fontId="43" fillId="26" borderId="10" xfId="0" applyFont="1" applyFill="1" applyBorder="1" applyAlignment="1" applyProtection="1">
      <alignment horizontal="center" vertical="center" wrapText="1"/>
      <protection locked="0"/>
    </xf>
    <xf numFmtId="9" fontId="17" fillId="12" borderId="1" xfId="1" applyFont="1" applyFill="1" applyBorder="1" applyAlignment="1" applyProtection="1">
      <alignment horizontal="center" vertical="center"/>
      <protection locked="0"/>
    </xf>
    <xf numFmtId="0" fontId="17" fillId="12" borderId="1" xfId="0" applyFont="1" applyFill="1" applyBorder="1" applyAlignment="1" applyProtection="1">
      <alignment vertical="center"/>
      <protection locked="0"/>
    </xf>
    <xf numFmtId="0" fontId="5" fillId="26" borderId="1" xfId="0"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vertical="center"/>
      <protection locked="0"/>
    </xf>
    <xf numFmtId="0" fontId="8" fillId="12" borderId="15" xfId="0" applyFont="1" applyFill="1" applyBorder="1" applyAlignment="1" applyProtection="1">
      <alignment horizontal="center" vertical="center" wrapText="1"/>
      <protection locked="0"/>
    </xf>
    <xf numFmtId="0" fontId="8" fillId="12" borderId="15" xfId="0" applyFont="1" applyFill="1" applyBorder="1" applyAlignment="1" applyProtection="1">
      <alignment horizontal="center" vertical="center"/>
      <protection locked="0"/>
    </xf>
    <xf numFmtId="0" fontId="8" fillId="12" borderId="1" xfId="0" applyFont="1" applyFill="1" applyBorder="1" applyAlignment="1" applyProtection="1">
      <alignment horizontal="center" vertical="center" wrapText="1"/>
      <protection locked="0"/>
    </xf>
    <xf numFmtId="183" fontId="8" fillId="12" borderId="1" xfId="24" applyNumberFormat="1" applyFont="1" applyFill="1" applyBorder="1" applyAlignment="1" applyProtection="1">
      <alignment horizontal="center" vertical="center" wrapText="1"/>
      <protection locked="0"/>
    </xf>
    <xf numFmtId="183" fontId="15" fillId="0" borderId="0" xfId="0" applyNumberFormat="1" applyFont="1" applyAlignment="1" applyProtection="1">
      <alignment vertical="center"/>
      <protection locked="0"/>
    </xf>
    <xf numFmtId="0" fontId="17" fillId="0" borderId="7" xfId="0" applyFont="1" applyBorder="1" applyAlignment="1" applyProtection="1">
      <alignment vertical="center" wrapText="1"/>
      <protection locked="0"/>
    </xf>
    <xf numFmtId="0" fontId="17" fillId="13" borderId="1" xfId="0" applyFont="1" applyFill="1" applyBorder="1" applyAlignment="1" applyProtection="1">
      <alignment horizontal="center" vertical="center" wrapText="1"/>
      <protection locked="0"/>
    </xf>
    <xf numFmtId="0" fontId="17" fillId="8" borderId="1" xfId="0" applyFont="1" applyFill="1" applyBorder="1" applyAlignment="1" applyProtection="1">
      <alignment horizontal="center" vertical="center"/>
      <protection locked="0"/>
    </xf>
    <xf numFmtId="183" fontId="17" fillId="13" borderId="1" xfId="0" applyNumberFormat="1" applyFont="1" applyFill="1" applyBorder="1" applyAlignment="1" applyProtection="1">
      <alignment horizontal="center" vertical="center" wrapText="1"/>
      <protection locked="0"/>
    </xf>
    <xf numFmtId="183" fontId="5" fillId="0" borderId="0" xfId="0" applyNumberFormat="1" applyFont="1" applyAlignment="1" applyProtection="1">
      <alignment vertical="center"/>
      <protection locked="0"/>
    </xf>
    <xf numFmtId="183" fontId="17" fillId="16" borderId="1" xfId="24" applyNumberFormat="1" applyFont="1" applyFill="1" applyBorder="1" applyAlignment="1" applyProtection="1">
      <alignment horizontal="center" vertical="center" wrapText="1"/>
      <protection locked="0"/>
    </xf>
    <xf numFmtId="0" fontId="17" fillId="13" borderId="15" xfId="0" applyFont="1" applyFill="1" applyBorder="1" applyAlignment="1" applyProtection="1">
      <alignment horizontal="center" vertical="center" wrapText="1"/>
      <protection locked="0"/>
    </xf>
    <xf numFmtId="0" fontId="17" fillId="13" borderId="15" xfId="0" applyFont="1" applyFill="1" applyBorder="1" applyAlignment="1" applyProtection="1">
      <alignment horizontal="center" vertical="center"/>
      <protection locked="0"/>
    </xf>
    <xf numFmtId="183" fontId="122" fillId="0" borderId="0" xfId="0" applyNumberFormat="1" applyFont="1" applyAlignment="1" applyProtection="1">
      <alignment vertical="center"/>
      <protection locked="0"/>
    </xf>
    <xf numFmtId="183" fontId="17" fillId="0" borderId="0" xfId="0" applyNumberFormat="1" applyFont="1" applyAlignment="1" applyProtection="1">
      <alignment vertical="center"/>
      <protection locked="0"/>
    </xf>
    <xf numFmtId="0" fontId="8" fillId="12" borderId="1" xfId="0" applyFont="1" applyFill="1" applyBorder="1" applyAlignment="1" applyProtection="1">
      <alignment horizontal="center" vertical="center"/>
      <protection locked="0"/>
    </xf>
    <xf numFmtId="0" fontId="21" fillId="0" borderId="1" xfId="0" applyFont="1" applyBorder="1" applyAlignment="1" applyProtection="1">
      <alignment vertical="center"/>
      <protection locked="0"/>
    </xf>
    <xf numFmtId="183" fontId="17" fillId="0" borderId="1" xfId="24"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vertical="center"/>
      <protection locked="0"/>
    </xf>
    <xf numFmtId="0" fontId="5" fillId="0" borderId="1" xfId="0" applyFont="1" applyFill="1" applyBorder="1" applyAlignment="1" applyProtection="1">
      <alignment vertical="center"/>
      <protection locked="0"/>
    </xf>
    <xf numFmtId="168" fontId="12" fillId="12" borderId="1" xfId="24" applyNumberFormat="1" applyFont="1" applyFill="1" applyBorder="1" applyAlignment="1" applyProtection="1">
      <alignment vertical="center" wrapText="1"/>
      <protection locked="0"/>
    </xf>
    <xf numFmtId="183" fontId="5" fillId="0" borderId="1" xfId="0" applyNumberFormat="1" applyFont="1" applyBorder="1" applyAlignment="1" applyProtection="1">
      <alignment vertical="center"/>
      <protection locked="0"/>
    </xf>
    <xf numFmtId="168" fontId="17" fillId="12" borderId="1" xfId="24" applyNumberFormat="1" applyFont="1" applyFill="1" applyBorder="1" applyAlignment="1" applyProtection="1">
      <alignment vertical="center" wrapText="1"/>
      <protection locked="0"/>
    </xf>
    <xf numFmtId="183" fontId="5" fillId="0" borderId="0" xfId="0" applyNumberFormat="1" applyFont="1" applyBorder="1" applyAlignment="1" applyProtection="1">
      <alignment vertical="center"/>
      <protection locked="0"/>
    </xf>
    <xf numFmtId="168" fontId="8" fillId="12" borderId="1" xfId="24" applyNumberFormat="1" applyFont="1" applyFill="1" applyBorder="1" applyAlignment="1" applyProtection="1">
      <alignment vertical="center" wrapText="1"/>
      <protection locked="0"/>
    </xf>
    <xf numFmtId="0" fontId="17" fillId="8" borderId="0" xfId="0" applyFont="1" applyFill="1" applyBorder="1" applyAlignment="1" applyProtection="1">
      <alignment horizontal="left" vertical="center"/>
      <protection locked="0"/>
    </xf>
    <xf numFmtId="0" fontId="17" fillId="8" borderId="0" xfId="0" applyFont="1" applyFill="1" applyBorder="1" applyAlignment="1" applyProtection="1">
      <alignment vertical="center"/>
      <protection locked="0"/>
    </xf>
    <xf numFmtId="0" fontId="21" fillId="8" borderId="0" xfId="0" applyFont="1" applyFill="1" applyAlignment="1" applyProtection="1">
      <alignment vertical="center"/>
      <protection locked="0"/>
    </xf>
    <xf numFmtId="0" fontId="33" fillId="0" borderId="1" xfId="0" applyFont="1" applyBorder="1" applyAlignment="1"/>
    <xf numFmtId="0" fontId="33" fillId="8" borderId="1" xfId="0" applyFont="1" applyFill="1" applyBorder="1" applyAlignment="1">
      <alignment horizontal="center" wrapText="1"/>
    </xf>
    <xf numFmtId="0" fontId="33" fillId="0" borderId="1" xfId="0" applyFont="1" applyBorder="1" applyAlignment="1">
      <alignment horizontal="left" vertical="center" wrapText="1"/>
    </xf>
    <xf numFmtId="0" fontId="33" fillId="0" borderId="0" xfId="0" applyFont="1" applyBorder="1" applyAlignment="1">
      <alignment wrapText="1"/>
    </xf>
    <xf numFmtId="0" fontId="33" fillId="0" borderId="5" xfId="0" applyFont="1" applyBorder="1" applyAlignment="1">
      <alignment wrapText="1"/>
    </xf>
    <xf numFmtId="0" fontId="34" fillId="0" borderId="9" xfId="0" applyFont="1" applyBorder="1" applyAlignment="1">
      <alignment wrapText="1"/>
    </xf>
    <xf numFmtId="4" fontId="34" fillId="0" borderId="9" xfId="0" applyNumberFormat="1" applyFont="1" applyBorder="1" applyAlignment="1">
      <alignment wrapText="1"/>
    </xf>
    <xf numFmtId="4" fontId="33" fillId="0" borderId="6" xfId="0" applyNumberFormat="1" applyFont="1" applyBorder="1" applyAlignment="1">
      <alignment wrapText="1"/>
    </xf>
    <xf numFmtId="0" fontId="33" fillId="0" borderId="10" xfId="0" applyFont="1" applyBorder="1"/>
    <xf numFmtId="0" fontId="34" fillId="0" borderId="0" xfId="0" applyFont="1" applyBorder="1" applyAlignment="1">
      <alignment wrapText="1"/>
    </xf>
    <xf numFmtId="4" fontId="34" fillId="0" borderId="0" xfId="0" applyNumberFormat="1" applyFont="1" applyBorder="1" applyAlignment="1">
      <alignment wrapText="1"/>
    </xf>
    <xf numFmtId="4" fontId="33" fillId="0" borderId="11" xfId="0" applyNumberFormat="1" applyFont="1" applyBorder="1" applyAlignment="1">
      <alignment wrapText="1"/>
    </xf>
    <xf numFmtId="0" fontId="33" fillId="0" borderId="10" xfId="0" applyFont="1" applyBorder="1" applyAlignment="1">
      <alignment wrapText="1"/>
    </xf>
    <xf numFmtId="2" fontId="78" fillId="0" borderId="10" xfId="0" applyNumberFormat="1" applyFont="1" applyBorder="1"/>
    <xf numFmtId="2" fontId="77" fillId="0" borderId="11" xfId="0" applyNumberFormat="1" applyFont="1" applyBorder="1"/>
    <xf numFmtId="0" fontId="33" fillId="0" borderId="7" xfId="0" applyFont="1" applyBorder="1" applyAlignment="1">
      <alignment wrapText="1"/>
    </xf>
    <xf numFmtId="0" fontId="34" fillId="0" borderId="12" xfId="0" applyFont="1" applyBorder="1" applyAlignment="1">
      <alignment wrapText="1"/>
    </xf>
    <xf numFmtId="4" fontId="34" fillId="0" borderId="12" xfId="0" applyNumberFormat="1" applyFont="1" applyBorder="1" applyAlignment="1">
      <alignment wrapText="1"/>
    </xf>
    <xf numFmtId="4" fontId="33" fillId="0" borderId="8" xfId="0" applyNumberFormat="1" applyFont="1" applyBorder="1" applyAlignment="1">
      <alignment wrapText="1"/>
    </xf>
    <xf numFmtId="0" fontId="117" fillId="0" borderId="0" xfId="0" applyFont="1" applyAlignment="1"/>
    <xf numFmtId="0" fontId="34" fillId="8" borderId="1" xfId="0" applyFont="1" applyFill="1" applyBorder="1" applyAlignment="1">
      <alignment horizontal="center" wrapText="1"/>
    </xf>
    <xf numFmtId="4" fontId="33" fillId="0" borderId="0" xfId="0" applyNumberFormat="1" applyFont="1" applyAlignment="1"/>
    <xf numFmtId="0" fontId="17" fillId="0" borderId="0" xfId="0" applyFont="1" applyFill="1" applyBorder="1" applyAlignment="1" applyProtection="1">
      <alignment horizontal="left" vertical="center"/>
      <protection locked="0"/>
    </xf>
    <xf numFmtId="0" fontId="15" fillId="3" borderId="0" xfId="0" applyFont="1" applyFill="1" applyBorder="1" applyAlignment="1" applyProtection="1">
      <alignment horizontal="left" vertical="center" indent="1"/>
      <protection locked="0"/>
    </xf>
    <xf numFmtId="0" fontId="0" fillId="0" borderId="1" xfId="0" applyBorder="1"/>
    <xf numFmtId="0" fontId="35" fillId="0" borderId="0" xfId="0" applyFont="1" applyAlignment="1"/>
    <xf numFmtId="0" fontId="35" fillId="0" borderId="1" xfId="0" applyFont="1" applyBorder="1" applyAlignment="1"/>
    <xf numFmtId="9" fontId="35" fillId="0" borderId="1" xfId="1" applyFont="1" applyBorder="1" applyAlignment="1"/>
    <xf numFmtId="0" fontId="4" fillId="0" borderId="1" xfId="0" applyFont="1" applyBorder="1"/>
    <xf numFmtId="0" fontId="49" fillId="0" borderId="0" xfId="0" applyFont="1" applyAlignment="1"/>
    <xf numFmtId="9" fontId="49" fillId="0" borderId="0" xfId="1" applyFont="1" applyAlignment="1"/>
    <xf numFmtId="0" fontId="15" fillId="3" borderId="0" xfId="0" applyFont="1" applyFill="1"/>
    <xf numFmtId="0" fontId="15" fillId="26" borderId="0" xfId="0" applyFont="1" applyFill="1"/>
    <xf numFmtId="167" fontId="14" fillId="3" borderId="1" xfId="0" applyNumberFormat="1" applyFont="1" applyFill="1" applyBorder="1"/>
    <xf numFmtId="0" fontId="8" fillId="3" borderId="1" xfId="0" applyFont="1" applyFill="1" applyBorder="1" applyAlignment="1">
      <alignment horizontal="center"/>
    </xf>
    <xf numFmtId="3" fontId="8" fillId="3" borderId="1" xfId="0" applyNumberFormat="1" applyFont="1" applyFill="1" applyBorder="1" applyAlignment="1">
      <alignment horizontal="center"/>
    </xf>
    <xf numFmtId="0" fontId="15" fillId="3" borderId="1" xfId="0" applyFont="1" applyFill="1" applyBorder="1"/>
    <xf numFmtId="0" fontId="15" fillId="0" borderId="1" xfId="0" applyFont="1" applyBorder="1"/>
    <xf numFmtId="1" fontId="15" fillId="0" borderId="1" xfId="0" applyNumberFormat="1" applyFont="1" applyBorder="1"/>
    <xf numFmtId="0" fontId="15" fillId="11" borderId="0" xfId="0" applyFont="1" applyFill="1"/>
    <xf numFmtId="0" fontId="12" fillId="3" borderId="1" xfId="0" applyFont="1" applyFill="1" applyBorder="1"/>
    <xf numFmtId="0" fontId="12" fillId="0" borderId="1" xfId="0" applyFont="1" applyBorder="1" applyAlignment="1" applyProtection="1">
      <alignment horizontal="center" vertical="center" wrapText="1"/>
      <protection locked="0"/>
    </xf>
    <xf numFmtId="0" fontId="34" fillId="26" borderId="1" xfId="0" applyFont="1" applyFill="1" applyBorder="1" applyAlignment="1">
      <alignment horizontal="center" vertical="center" wrapText="1"/>
    </xf>
    <xf numFmtId="0" fontId="24" fillId="43" borderId="2" xfId="0" applyFont="1" applyFill="1" applyBorder="1" applyAlignment="1" applyProtection="1">
      <alignment horizontal="left" vertical="center"/>
      <protection locked="0"/>
    </xf>
    <xf numFmtId="0" fontId="12" fillId="3" borderId="1" xfId="0" quotePrefix="1" applyFont="1" applyFill="1" applyBorder="1" applyAlignment="1" applyProtection="1">
      <alignment horizontal="right" vertical="center"/>
      <protection locked="0"/>
    </xf>
    <xf numFmtId="0" fontId="12" fillId="3" borderId="1" xfId="0" applyFont="1" applyFill="1" applyBorder="1" applyAlignment="1" applyProtection="1">
      <alignment horizontal="right" vertical="center"/>
      <protection locked="0"/>
    </xf>
    <xf numFmtId="0" fontId="5" fillId="0" borderId="0" xfId="0" applyFont="1" applyFill="1" applyAlignment="1" applyProtection="1">
      <alignment vertical="center"/>
      <protection locked="0"/>
    </xf>
    <xf numFmtId="0" fontId="4" fillId="3" borderId="1" xfId="0" applyFont="1" applyFill="1" applyBorder="1" applyAlignment="1" applyProtection="1">
      <alignment vertical="center"/>
      <protection locked="0"/>
    </xf>
    <xf numFmtId="3" fontId="17" fillId="26" borderId="1" xfId="6" applyNumberFormat="1" applyFont="1" applyFill="1" applyBorder="1" applyAlignment="1" applyProtection="1">
      <alignment horizontal="right" vertical="center" wrapText="1"/>
      <protection locked="0"/>
    </xf>
    <xf numFmtId="0" fontId="15" fillId="3" borderId="0" xfId="0" applyFont="1" applyFill="1" applyBorder="1" applyAlignment="1" applyProtection="1">
      <alignment horizontal="left" vertical="center"/>
      <protection locked="0"/>
    </xf>
    <xf numFmtId="0" fontId="12" fillId="2" borderId="0"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wrapText="1"/>
      <protection locked="0"/>
    </xf>
    <xf numFmtId="0" fontId="40" fillId="0" borderId="0" xfId="0" applyFont="1" applyAlignment="1" applyProtection="1">
      <alignment vertical="center"/>
      <protection locked="0"/>
    </xf>
    <xf numFmtId="0" fontId="40" fillId="0" borderId="0" xfId="0" applyFont="1" applyBorder="1" applyAlignment="1" applyProtection="1">
      <alignment vertical="center"/>
      <protection locked="0"/>
    </xf>
    <xf numFmtId="0" fontId="12" fillId="2" borderId="1" xfId="0" applyFont="1" applyFill="1" applyBorder="1" applyAlignment="1" applyProtection="1">
      <alignment horizontal="center" vertical="center" wrapText="1"/>
      <protection locked="0"/>
    </xf>
    <xf numFmtId="0" fontId="129" fillId="26" borderId="1" xfId="0" applyFont="1" applyFill="1" applyBorder="1" applyAlignment="1" applyProtection="1">
      <alignment horizontal="center" vertical="center"/>
      <protection locked="0"/>
    </xf>
    <xf numFmtId="0" fontId="129" fillId="26" borderId="8" xfId="0" applyFont="1" applyFill="1" applyBorder="1" applyAlignment="1" applyProtection="1">
      <alignment horizontal="center" vertical="center"/>
      <protection locked="0"/>
    </xf>
    <xf numFmtId="9" fontId="128" fillId="26" borderId="1" xfId="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wrapText="1"/>
      <protection locked="0"/>
    </xf>
    <xf numFmtId="0" fontId="127" fillId="26" borderId="1" xfId="2" applyNumberFormat="1" applyFont="1" applyFill="1" applyBorder="1" applyAlignment="1" applyProtection="1">
      <alignment horizontal="center" vertical="center" wrapText="1"/>
      <protection locked="0"/>
    </xf>
    <xf numFmtId="0" fontId="17" fillId="3" borderId="3"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2" fillId="3" borderId="3" xfId="0" applyFont="1" applyFill="1" applyBorder="1" applyAlignment="1" applyProtection="1">
      <alignment horizontal="center" vertical="center" wrapText="1"/>
      <protection locked="0"/>
    </xf>
    <xf numFmtId="0" fontId="127" fillId="26" borderId="9" xfId="0" applyFont="1" applyFill="1" applyBorder="1" applyAlignment="1" applyProtection="1">
      <alignment horizontal="center" vertical="center" wrapText="1"/>
      <protection locked="0"/>
    </xf>
    <xf numFmtId="0" fontId="127" fillId="26" borderId="0" xfId="0" applyFont="1" applyFill="1" applyBorder="1" applyAlignment="1" applyProtection="1">
      <alignment horizontal="center" vertical="center" wrapText="1"/>
      <protection locked="0"/>
    </xf>
    <xf numFmtId="0" fontId="127" fillId="26" borderId="12" xfId="0" applyFont="1" applyFill="1" applyBorder="1" applyAlignment="1" applyProtection="1">
      <alignment horizontal="center" vertical="center" wrapText="1"/>
      <protection locked="0"/>
    </xf>
    <xf numFmtId="0" fontId="127" fillId="26" borderId="6" xfId="0" applyFont="1" applyFill="1" applyBorder="1" applyAlignment="1" applyProtection="1">
      <alignment horizontal="center" vertical="center" wrapText="1"/>
      <protection locked="0"/>
    </xf>
    <xf numFmtId="0" fontId="127" fillId="26" borderId="11" xfId="0" applyFont="1" applyFill="1" applyBorder="1" applyAlignment="1" applyProtection="1">
      <alignment horizontal="center" vertical="center" wrapText="1"/>
      <protection locked="0"/>
    </xf>
    <xf numFmtId="0" fontId="127" fillId="26" borderId="8" xfId="0" applyFont="1" applyFill="1" applyBorder="1" applyAlignment="1" applyProtection="1">
      <alignment horizontal="center" vertical="center" wrapText="1"/>
      <protection locked="0"/>
    </xf>
    <xf numFmtId="0" fontId="43" fillId="26" borderId="6" xfId="0" applyFont="1" applyFill="1" applyBorder="1" applyAlignment="1" applyProtection="1">
      <alignment horizontal="center" vertical="center"/>
      <protection locked="0"/>
    </xf>
    <xf numFmtId="0" fontId="43" fillId="26" borderId="11" xfId="0" applyFont="1" applyFill="1" applyBorder="1" applyAlignment="1" applyProtection="1">
      <alignment horizontal="center" vertical="center"/>
      <protection locked="0"/>
    </xf>
    <xf numFmtId="0" fontId="43" fillId="26" borderId="8" xfId="0" applyFont="1" applyFill="1" applyBorder="1" applyAlignment="1" applyProtection="1">
      <alignment horizontal="center" vertical="center"/>
      <protection locked="0"/>
    </xf>
    <xf numFmtId="0" fontId="15" fillId="0" borderId="3" xfId="0" applyFont="1" applyBorder="1" applyAlignment="1" applyProtection="1">
      <alignment vertical="center"/>
      <protection locked="0"/>
    </xf>
    <xf numFmtId="0" fontId="15" fillId="0" borderId="4" xfId="0" applyFont="1" applyBorder="1" applyAlignment="1" applyProtection="1">
      <alignment vertical="center"/>
      <protection locked="0"/>
    </xf>
    <xf numFmtId="14" fontId="127" fillId="26" borderId="15" xfId="0" applyNumberFormat="1" applyFont="1" applyFill="1" applyBorder="1" applyAlignment="1" applyProtection="1">
      <alignment horizontal="center" vertical="center" wrapText="1"/>
      <protection locked="0"/>
    </xf>
    <xf numFmtId="0" fontId="127" fillId="26" borderId="13" xfId="0" applyFont="1" applyFill="1" applyBorder="1" applyAlignment="1" applyProtection="1">
      <alignment horizontal="center" vertical="center" wrapText="1"/>
      <protection locked="0"/>
    </xf>
    <xf numFmtId="0" fontId="127" fillId="26" borderId="14" xfId="0" applyFont="1" applyFill="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applyBorder="1" applyAlignment="1" applyProtection="1">
      <alignment vertical="center"/>
      <protection locked="0"/>
    </xf>
    <xf numFmtId="1" fontId="17" fillId="3" borderId="0" xfId="0" applyNumberFormat="1" applyFont="1" applyFill="1" applyBorder="1" applyAlignment="1" applyProtection="1">
      <alignment horizontal="center" vertical="center" wrapText="1"/>
      <protection locked="0"/>
    </xf>
    <xf numFmtId="8" fontId="17" fillId="0" borderId="0" xfId="0" applyNumberFormat="1" applyFont="1" applyAlignment="1" applyProtection="1">
      <alignment vertical="center"/>
      <protection locked="0"/>
    </xf>
    <xf numFmtId="0" fontId="5" fillId="0" borderId="10" xfId="0" applyFont="1" applyFill="1" applyBorder="1" applyAlignment="1" applyProtection="1">
      <alignment vertical="center"/>
      <protection locked="0"/>
    </xf>
    <xf numFmtId="183" fontId="49" fillId="0" borderId="1" xfId="0" applyNumberFormat="1" applyFont="1" applyFill="1" applyBorder="1" applyAlignment="1" applyProtection="1">
      <alignment horizontal="center" vertical="center" wrapText="1"/>
      <protection locked="0"/>
    </xf>
    <xf numFmtId="3" fontId="127" fillId="0" borderId="94" xfId="0" applyNumberFormat="1" applyFont="1" applyFill="1" applyBorder="1" applyAlignment="1" applyProtection="1">
      <alignment horizontal="center" vertical="center" wrapText="1"/>
      <protection locked="0"/>
    </xf>
    <xf numFmtId="3" fontId="127" fillId="0" borderId="94" xfId="0" applyNumberFormat="1" applyFont="1" applyFill="1" applyBorder="1" applyAlignment="1" applyProtection="1">
      <alignment horizontal="center" vertical="center"/>
      <protection locked="0"/>
    </xf>
    <xf numFmtId="168" fontId="127" fillId="0" borderId="95" xfId="2" applyNumberFormat="1" applyFont="1" applyFill="1" applyBorder="1" applyAlignment="1" applyProtection="1">
      <alignment horizontal="center" vertical="center" wrapText="1"/>
      <protection locked="0"/>
    </xf>
    <xf numFmtId="3" fontId="127" fillId="3" borderId="93" xfId="0" applyNumberFormat="1" applyFont="1" applyFill="1" applyBorder="1" applyAlignment="1" applyProtection="1">
      <alignment vertical="center" wrapText="1"/>
      <protection locked="0"/>
    </xf>
    <xf numFmtId="3" fontId="127" fillId="3" borderId="94" xfId="0" applyNumberFormat="1" applyFont="1" applyFill="1" applyBorder="1" applyAlignment="1" applyProtection="1">
      <alignment vertical="center" wrapText="1"/>
      <protection locked="0"/>
    </xf>
    <xf numFmtId="3" fontId="127" fillId="3" borderId="95" xfId="0" applyNumberFormat="1" applyFont="1" applyFill="1" applyBorder="1" applyAlignment="1" applyProtection="1">
      <alignment vertical="center" wrapText="1"/>
      <protection locked="0"/>
    </xf>
    <xf numFmtId="168" fontId="127" fillId="3" borderId="95" xfId="2" applyNumberFormat="1" applyFont="1" applyFill="1" applyBorder="1" applyAlignment="1" applyProtection="1">
      <alignment horizontal="center" vertical="center" wrapText="1"/>
      <protection locked="0"/>
    </xf>
    <xf numFmtId="0" fontId="127" fillId="3" borderId="94" xfId="0" applyFont="1" applyFill="1" applyBorder="1" applyAlignment="1" applyProtection="1">
      <alignment horizontal="center" vertical="center" wrapText="1"/>
      <protection locked="0"/>
    </xf>
    <xf numFmtId="0" fontId="127" fillId="3" borderId="94" xfId="0" applyFont="1" applyFill="1" applyBorder="1" applyAlignment="1" applyProtection="1">
      <alignment horizontal="center" vertical="center"/>
      <protection locked="0"/>
    </xf>
    <xf numFmtId="0" fontId="127" fillId="3" borderId="93" xfId="0" applyFont="1" applyFill="1" applyBorder="1" applyAlignment="1" applyProtection="1">
      <alignment vertical="center" wrapText="1"/>
      <protection locked="0"/>
    </xf>
    <xf numFmtId="0" fontId="127" fillId="3" borderId="94" xfId="0" applyFont="1" applyFill="1" applyBorder="1" applyAlignment="1" applyProtection="1">
      <alignment vertical="center" wrapText="1"/>
      <protection locked="0"/>
    </xf>
    <xf numFmtId="0" fontId="127" fillId="3" borderId="95" xfId="0" applyFont="1" applyFill="1" applyBorder="1" applyAlignment="1" applyProtection="1">
      <alignment vertical="center" wrapText="1"/>
      <protection locked="0"/>
    </xf>
    <xf numFmtId="0" fontId="127" fillId="3" borderId="93" xfId="0" applyFont="1" applyFill="1" applyBorder="1" applyAlignment="1" applyProtection="1">
      <alignment horizontal="center" vertical="center" wrapText="1"/>
      <protection locked="0"/>
    </xf>
    <xf numFmtId="14" fontId="127" fillId="26" borderId="1" xfId="0" applyNumberFormat="1" applyFont="1" applyFill="1" applyBorder="1" applyAlignment="1" applyProtection="1">
      <alignment vertical="center" wrapText="1"/>
      <protection locked="0"/>
    </xf>
    <xf numFmtId="0" fontId="127" fillId="0" borderId="95" xfId="0" applyFont="1" applyFill="1" applyBorder="1" applyAlignment="1" applyProtection="1">
      <alignment vertical="center" wrapText="1"/>
      <protection locked="0"/>
    </xf>
    <xf numFmtId="168" fontId="127" fillId="0" borderId="98" xfId="2" applyNumberFormat="1" applyFont="1" applyFill="1" applyBorder="1" applyAlignment="1" applyProtection="1">
      <alignment horizontal="center" vertical="center" wrapText="1"/>
      <protection locked="0"/>
    </xf>
    <xf numFmtId="0" fontId="130" fillId="26" borderId="1" xfId="0" applyFont="1" applyFill="1" applyBorder="1" applyAlignment="1" applyProtection="1">
      <alignment horizontal="center" vertical="center"/>
      <protection locked="0"/>
    </xf>
    <xf numFmtId="9" fontId="127" fillId="26" borderId="93" xfId="1" applyFont="1" applyFill="1" applyBorder="1" applyAlignment="1" applyProtection="1">
      <alignment horizontal="center" vertical="center" wrapText="1"/>
      <protection locked="0"/>
    </xf>
    <xf numFmtId="9" fontId="127" fillId="26" borderId="94" xfId="1" applyFont="1" applyFill="1" applyBorder="1" applyAlignment="1" applyProtection="1">
      <alignment horizontal="center" vertical="center" wrapText="1"/>
      <protection locked="0"/>
    </xf>
    <xf numFmtId="9" fontId="127" fillId="26" borderId="95" xfId="1" applyFont="1" applyFill="1" applyBorder="1" applyAlignment="1" applyProtection="1">
      <alignment horizontal="center" vertical="center" wrapText="1"/>
      <protection locked="0"/>
    </xf>
    <xf numFmtId="168" fontId="127" fillId="26" borderId="14" xfId="2" applyNumberFormat="1" applyFont="1" applyFill="1" applyBorder="1" applyAlignment="1" applyProtection="1">
      <alignment horizontal="center" vertical="center" wrapText="1"/>
      <protection locked="0"/>
    </xf>
    <xf numFmtId="168" fontId="127" fillId="26" borderId="106" xfId="2" applyNumberFormat="1" applyFont="1" applyFill="1" applyBorder="1" applyAlignment="1" applyProtection="1">
      <alignment horizontal="center" vertical="center" wrapText="1"/>
      <protection locked="0"/>
    </xf>
    <xf numFmtId="168" fontId="127" fillId="3" borderId="107" xfId="2" applyNumberFormat="1" applyFont="1" applyFill="1" applyBorder="1" applyAlignment="1" applyProtection="1">
      <alignment horizontal="center" vertical="center" wrapText="1"/>
      <protection locked="0"/>
    </xf>
    <xf numFmtId="9" fontId="127" fillId="26" borderId="108" xfId="1" applyFont="1" applyFill="1" applyBorder="1" applyAlignment="1" applyProtection="1">
      <alignment horizontal="center" vertical="center" wrapText="1"/>
      <protection locked="0"/>
    </xf>
    <xf numFmtId="168" fontId="127" fillId="3" borderId="109" xfId="2" applyNumberFormat="1" applyFont="1" applyFill="1" applyBorder="1" applyAlignment="1" applyProtection="1">
      <alignment horizontal="center" vertical="center" wrapText="1"/>
      <protection locked="0"/>
    </xf>
    <xf numFmtId="14" fontId="127" fillId="26" borderId="14" xfId="0" applyNumberFormat="1" applyFont="1" applyFill="1" applyBorder="1" applyAlignment="1" applyProtection="1">
      <alignment horizontal="center" vertical="center" wrapText="1"/>
      <protection locked="0"/>
    </xf>
    <xf numFmtId="0" fontId="127" fillId="3" borderId="102" xfId="0" applyFont="1" applyFill="1" applyBorder="1" applyAlignment="1" applyProtection="1">
      <alignment horizontal="center" vertical="center" wrapText="1"/>
      <protection locked="0"/>
    </xf>
    <xf numFmtId="0" fontId="127" fillId="3" borderId="97" xfId="0" applyFont="1" applyFill="1" applyBorder="1" applyAlignment="1" applyProtection="1">
      <alignment horizontal="center" vertical="center" wrapText="1"/>
      <protection locked="0"/>
    </xf>
    <xf numFmtId="0" fontId="127" fillId="3" borderId="97" xfId="0" applyFont="1" applyFill="1" applyBorder="1" applyAlignment="1" applyProtection="1">
      <alignment horizontal="center" vertical="center"/>
      <protection locked="0"/>
    </xf>
    <xf numFmtId="168" fontId="127" fillId="3" borderId="105" xfId="2" applyNumberFormat="1" applyFont="1" applyFill="1" applyBorder="1" applyAlignment="1" applyProtection="1">
      <alignment horizontal="center" vertical="center" wrapText="1"/>
      <protection locked="0"/>
    </xf>
    <xf numFmtId="14" fontId="127" fillId="26" borderId="106" xfId="0" applyNumberFormat="1" applyFont="1" applyFill="1" applyBorder="1" applyAlignment="1" applyProtection="1">
      <alignment horizontal="center" vertical="center" wrapText="1"/>
      <protection locked="0"/>
    </xf>
    <xf numFmtId="0" fontId="127" fillId="3" borderId="107" xfId="0" applyFont="1" applyFill="1" applyBorder="1" applyAlignment="1" applyProtection="1">
      <alignment horizontal="center" vertical="center" wrapText="1"/>
      <protection locked="0"/>
    </xf>
    <xf numFmtId="0" fontId="127" fillId="3" borderId="108" xfId="0" applyFont="1" applyFill="1" applyBorder="1" applyAlignment="1" applyProtection="1">
      <alignment horizontal="center" vertical="center" wrapText="1"/>
      <protection locked="0"/>
    </xf>
    <xf numFmtId="0" fontId="127" fillId="3" borderId="108" xfId="0" applyFont="1" applyFill="1" applyBorder="1" applyAlignment="1" applyProtection="1">
      <alignment horizontal="center" vertical="center"/>
      <protection locked="0"/>
    </xf>
    <xf numFmtId="9" fontId="127" fillId="26" borderId="108" xfId="1" applyFont="1" applyFill="1" applyBorder="1" applyAlignment="1" applyProtection="1">
      <alignment horizontal="center" vertical="center"/>
      <protection locked="0"/>
    </xf>
    <xf numFmtId="9" fontId="127" fillId="26" borderId="97" xfId="0" applyNumberFormat="1" applyFont="1" applyFill="1" applyBorder="1" applyAlignment="1" applyProtection="1">
      <alignment horizontal="center" vertical="center"/>
      <protection locked="0"/>
    </xf>
    <xf numFmtId="9" fontId="17" fillId="3" borderId="97" xfId="1" applyFont="1" applyFill="1" applyBorder="1" applyAlignment="1" applyProtection="1">
      <alignment horizontal="center" vertical="center" wrapText="1"/>
      <protection locked="0"/>
    </xf>
    <xf numFmtId="9" fontId="17" fillId="3" borderId="100" xfId="1" applyFont="1" applyFill="1" applyBorder="1" applyAlignment="1" applyProtection="1">
      <alignment horizontal="center" vertical="center" wrapText="1"/>
      <protection locked="0"/>
    </xf>
    <xf numFmtId="14" fontId="127" fillId="26" borderId="17" xfId="0" applyNumberFormat="1" applyFont="1" applyFill="1" applyBorder="1" applyAlignment="1" applyProtection="1">
      <alignment horizontal="center" vertical="center" wrapText="1"/>
      <protection locked="0"/>
    </xf>
    <xf numFmtId="0" fontId="127" fillId="3" borderId="103" xfId="0" applyFont="1" applyFill="1" applyBorder="1" applyAlignment="1" applyProtection="1">
      <alignment horizontal="center" vertical="center" wrapText="1"/>
      <protection locked="0"/>
    </xf>
    <xf numFmtId="0" fontId="127" fillId="3" borderId="104" xfId="0" applyFont="1" applyFill="1" applyBorder="1" applyAlignment="1" applyProtection="1">
      <alignment horizontal="center" vertical="center" wrapText="1"/>
      <protection locked="0"/>
    </xf>
    <xf numFmtId="0" fontId="127" fillId="3" borderId="104" xfId="0" applyFont="1" applyFill="1" applyBorder="1" applyAlignment="1" applyProtection="1">
      <alignment horizontal="center" vertical="center"/>
      <protection locked="0"/>
    </xf>
    <xf numFmtId="9" fontId="127" fillId="26" borderId="104" xfId="0" applyNumberFormat="1" applyFont="1" applyFill="1" applyBorder="1" applyAlignment="1" applyProtection="1">
      <alignment horizontal="center" vertical="center" wrapText="1"/>
      <protection locked="0"/>
    </xf>
    <xf numFmtId="9" fontId="17" fillId="3" borderId="108" xfId="0" applyNumberFormat="1" applyFont="1" applyFill="1" applyBorder="1" applyAlignment="1" applyProtection="1">
      <alignment horizontal="center" vertical="center"/>
      <protection locked="0"/>
    </xf>
    <xf numFmtId="9" fontId="17" fillId="3" borderId="108" xfId="1" applyFont="1" applyFill="1" applyBorder="1" applyAlignment="1" applyProtection="1">
      <alignment horizontal="center" vertical="center" wrapText="1"/>
      <protection locked="0"/>
    </xf>
    <xf numFmtId="9" fontId="127" fillId="26" borderId="109" xfId="1" applyFont="1" applyFill="1" applyBorder="1" applyAlignment="1" applyProtection="1">
      <alignment horizontal="center" vertical="center" wrapText="1"/>
      <protection locked="0"/>
    </xf>
    <xf numFmtId="0" fontId="12" fillId="26" borderId="114" xfId="0" applyFont="1" applyFill="1" applyBorder="1" applyAlignment="1" applyProtection="1">
      <alignment horizontal="center" vertical="center" wrapText="1"/>
      <protection locked="0"/>
    </xf>
    <xf numFmtId="3" fontId="127" fillId="0" borderId="107" xfId="2" applyNumberFormat="1" applyFont="1" applyFill="1" applyBorder="1" applyAlignment="1" applyProtection="1">
      <alignment horizontal="center" vertical="center" wrapText="1"/>
      <protection locked="0"/>
    </xf>
    <xf numFmtId="168" fontId="127" fillId="0" borderId="109" xfId="2" applyNumberFormat="1" applyFont="1" applyFill="1" applyBorder="1" applyAlignment="1" applyProtection="1">
      <alignment horizontal="center" vertical="center" wrapText="1"/>
      <protection locked="0"/>
    </xf>
    <xf numFmtId="3" fontId="127" fillId="0" borderId="101" xfId="0" applyNumberFormat="1" applyFont="1" applyFill="1" applyBorder="1" applyAlignment="1" applyProtection="1">
      <alignment horizontal="center" vertical="center" wrapText="1"/>
      <protection locked="0"/>
    </xf>
    <xf numFmtId="3" fontId="127" fillId="0" borderId="96" xfId="0" applyNumberFormat="1" applyFont="1" applyFill="1" applyBorder="1" applyAlignment="1" applyProtection="1">
      <alignment horizontal="center" vertical="center" wrapText="1"/>
      <protection locked="0"/>
    </xf>
    <xf numFmtId="3" fontId="127" fillId="0" borderId="96" xfId="0" applyNumberFormat="1" applyFont="1" applyFill="1" applyBorder="1" applyAlignment="1" applyProtection="1">
      <alignment horizontal="center" vertical="center"/>
      <protection locked="0"/>
    </xf>
    <xf numFmtId="3" fontId="17" fillId="3" borderId="97" xfId="0" applyNumberFormat="1" applyFont="1" applyFill="1" applyBorder="1" applyAlignment="1" applyProtection="1">
      <alignment horizontal="center" vertical="center" wrapText="1"/>
      <protection locked="0"/>
    </xf>
    <xf numFmtId="3" fontId="17" fillId="3" borderId="100" xfId="0" applyNumberFormat="1" applyFont="1" applyFill="1" applyBorder="1" applyAlignment="1" applyProtection="1">
      <alignment horizontal="center" vertical="center" wrapText="1"/>
      <protection locked="0"/>
    </xf>
    <xf numFmtId="9" fontId="127" fillId="26" borderId="103" xfId="1" applyFont="1" applyFill="1" applyBorder="1" applyAlignment="1" applyProtection="1">
      <alignment horizontal="center" vertical="center" wrapText="1"/>
      <protection locked="0"/>
    </xf>
    <xf numFmtId="3" fontId="127" fillId="26" borderId="1" xfId="6" applyNumberFormat="1" applyFont="1" applyFill="1" applyBorder="1" applyAlignment="1" applyProtection="1">
      <alignment horizontal="right" vertical="center" wrapText="1"/>
      <protection locked="0"/>
    </xf>
    <xf numFmtId="3" fontId="127" fillId="26" borderId="1" xfId="6" applyNumberFormat="1" applyFont="1" applyFill="1" applyBorder="1" applyAlignment="1" applyProtection="1">
      <alignment horizontal="center" vertical="center" wrapText="1"/>
      <protection locked="0"/>
    </xf>
    <xf numFmtId="0" fontId="0" fillId="0" borderId="0" xfId="0" applyProtection="1">
      <protection locked="0"/>
    </xf>
    <xf numFmtId="0" fontId="17" fillId="0" borderId="0" xfId="0" applyFont="1" applyFill="1" applyBorder="1" applyAlignment="1" applyProtection="1">
      <alignment horizontal="center" wrapText="1"/>
      <protection locked="0"/>
    </xf>
    <xf numFmtId="0" fontId="129" fillId="26" borderId="1" xfId="0" applyFont="1" applyFill="1" applyBorder="1" applyAlignment="1" applyProtection="1">
      <alignment vertical="center" wrapText="1"/>
      <protection locked="0"/>
    </xf>
    <xf numFmtId="0" fontId="40" fillId="0" borderId="0" xfId="0" applyFont="1" applyBorder="1" applyAlignment="1" applyProtection="1">
      <alignment horizontal="center"/>
      <protection locked="0"/>
    </xf>
    <xf numFmtId="0" fontId="5" fillId="0" borderId="0" xfId="0" applyFont="1" applyProtection="1">
      <protection locked="0"/>
    </xf>
    <xf numFmtId="0" fontId="17" fillId="0" borderId="0" xfId="0" applyFont="1" applyFill="1" applyBorder="1" applyAlignment="1" applyProtection="1">
      <alignment horizontal="right" vertical="center"/>
      <protection locked="0"/>
    </xf>
    <xf numFmtId="0" fontId="17" fillId="6" borderId="1"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center" vertical="center"/>
      <protection hidden="1"/>
    </xf>
    <xf numFmtId="3" fontId="12" fillId="6" borderId="1" xfId="6" applyNumberFormat="1" applyFont="1" applyFill="1" applyBorder="1" applyAlignment="1" applyProtection="1">
      <alignment horizontal="right" vertical="center" wrapText="1"/>
      <protection hidden="1"/>
    </xf>
    <xf numFmtId="164" fontId="12" fillId="6" borderId="1" xfId="6" applyFont="1" applyFill="1" applyBorder="1" applyAlignment="1" applyProtection="1">
      <alignment horizontal="center" wrapText="1"/>
      <protection hidden="1"/>
    </xf>
    <xf numFmtId="164" fontId="12" fillId="6" borderId="2" xfId="6" applyFont="1" applyFill="1" applyBorder="1" applyAlignment="1" applyProtection="1">
      <alignment vertical="center" wrapText="1"/>
      <protection hidden="1"/>
    </xf>
    <xf numFmtId="164" fontId="12" fillId="6" borderId="3" xfId="6" applyFont="1" applyFill="1" applyBorder="1" applyAlignment="1" applyProtection="1">
      <alignment vertical="center" wrapText="1"/>
      <protection hidden="1"/>
    </xf>
    <xf numFmtId="164" fontId="12" fillId="6" borderId="4" xfId="6" applyFont="1" applyFill="1" applyBorder="1" applyAlignment="1" applyProtection="1">
      <alignment vertical="center" wrapText="1"/>
      <protection hidden="1"/>
    </xf>
    <xf numFmtId="3" fontId="12" fillId="6" borderId="2" xfId="2" applyNumberFormat="1" applyFont="1" applyFill="1" applyBorder="1" applyAlignment="1" applyProtection="1">
      <alignment horizontal="center" vertical="center" wrapText="1"/>
      <protection hidden="1"/>
    </xf>
    <xf numFmtId="0" fontId="12" fillId="6" borderId="2" xfId="2" applyNumberFormat="1" applyFont="1" applyFill="1" applyBorder="1" applyAlignment="1" applyProtection="1">
      <alignment horizontal="center" vertical="center" wrapText="1"/>
      <protection hidden="1"/>
    </xf>
    <xf numFmtId="3" fontId="8" fillId="6" borderId="1" xfId="2" applyNumberFormat="1" applyFont="1" applyFill="1" applyBorder="1" applyAlignment="1" applyProtection="1">
      <alignment vertical="center" wrapText="1"/>
      <protection hidden="1"/>
    </xf>
    <xf numFmtId="164" fontId="131" fillId="6" borderId="3" xfId="6" applyFont="1" applyFill="1" applyBorder="1" applyAlignment="1" applyProtection="1">
      <alignment vertical="center" wrapText="1"/>
      <protection hidden="1"/>
    </xf>
    <xf numFmtId="9" fontId="17" fillId="7" borderId="1" xfId="0" applyNumberFormat="1" applyFont="1" applyFill="1" applyBorder="1" applyAlignment="1" applyProtection="1">
      <alignment horizontal="center" vertical="center"/>
      <protection hidden="1"/>
    </xf>
    <xf numFmtId="184" fontId="17" fillId="7" borderId="1" xfId="0" applyNumberFormat="1" applyFont="1" applyFill="1" applyBorder="1" applyAlignment="1" applyProtection="1">
      <alignment vertical="center"/>
      <protection hidden="1"/>
    </xf>
    <xf numFmtId="3" fontId="12" fillId="7" borderId="1" xfId="2" applyNumberFormat="1" applyFont="1" applyFill="1" applyBorder="1" applyAlignment="1" applyProtection="1">
      <alignment vertical="center" wrapText="1"/>
      <protection hidden="1"/>
    </xf>
    <xf numFmtId="168" fontId="43" fillId="7" borderId="17" xfId="2" applyNumberFormat="1" applyFont="1" applyFill="1" applyBorder="1" applyAlignment="1" applyProtection="1">
      <alignment horizontal="center" vertical="center" wrapText="1"/>
      <protection hidden="1"/>
    </xf>
    <xf numFmtId="168" fontId="43" fillId="7" borderId="1" xfId="2" applyNumberFormat="1" applyFont="1" applyFill="1" applyBorder="1" applyAlignment="1" applyProtection="1">
      <alignment horizontal="center" vertical="top" wrapText="1"/>
      <protection hidden="1"/>
    </xf>
    <xf numFmtId="168" fontId="43" fillId="7" borderId="1" xfId="2" applyNumberFormat="1" applyFont="1" applyFill="1" applyBorder="1" applyAlignment="1" applyProtection="1">
      <alignment horizontal="center" vertical="center" wrapText="1"/>
      <protection hidden="1"/>
    </xf>
    <xf numFmtId="168" fontId="43" fillId="7" borderId="106" xfId="2" applyNumberFormat="1" applyFont="1" applyFill="1" applyBorder="1" applyAlignment="1" applyProtection="1">
      <alignment horizontal="center" vertical="center" wrapText="1"/>
      <protection hidden="1"/>
    </xf>
    <xf numFmtId="168" fontId="17" fillId="7" borderId="106" xfId="2" applyNumberFormat="1" applyFont="1" applyFill="1" applyBorder="1" applyAlignment="1" applyProtection="1">
      <alignment horizontal="center" vertical="center" wrapText="1"/>
      <protection hidden="1"/>
    </xf>
    <xf numFmtId="168" fontId="43" fillId="7" borderId="14" xfId="2" applyNumberFormat="1" applyFont="1" applyFill="1" applyBorder="1" applyAlignment="1" applyProtection="1">
      <alignment horizontal="center" vertical="center" wrapText="1"/>
      <protection hidden="1"/>
    </xf>
    <xf numFmtId="0" fontId="17" fillId="7" borderId="17" xfId="2" applyNumberFormat="1" applyFont="1" applyFill="1" applyBorder="1" applyAlignment="1" applyProtection="1">
      <alignment horizontal="right" vertical="center" wrapText="1"/>
      <protection hidden="1"/>
    </xf>
    <xf numFmtId="0" fontId="17" fillId="7" borderId="1" xfId="2" applyNumberFormat="1" applyFont="1" applyFill="1" applyBorder="1" applyAlignment="1" applyProtection="1">
      <alignment horizontal="right" vertical="center" wrapText="1"/>
      <protection hidden="1"/>
    </xf>
    <xf numFmtId="0" fontId="17" fillId="7" borderId="14" xfId="2" applyNumberFormat="1" applyFont="1" applyFill="1" applyBorder="1" applyAlignment="1" applyProtection="1">
      <alignment horizontal="right" vertical="center" wrapText="1"/>
      <protection hidden="1"/>
    </xf>
    <xf numFmtId="168" fontId="17" fillId="7" borderId="15" xfId="2" applyNumberFormat="1" applyFont="1" applyFill="1" applyBorder="1" applyAlignment="1" applyProtection="1">
      <alignment horizontal="center" vertical="center" wrapText="1"/>
      <protection hidden="1"/>
    </xf>
    <xf numFmtId="168" fontId="17" fillId="7" borderId="17" xfId="2" applyNumberFormat="1" applyFont="1" applyFill="1" applyBorder="1" applyAlignment="1" applyProtection="1">
      <alignment horizontal="center" vertical="center" wrapText="1"/>
      <protection hidden="1"/>
    </xf>
    <xf numFmtId="168" fontId="17" fillId="7" borderId="14" xfId="2" applyNumberFormat="1" applyFont="1" applyFill="1" applyBorder="1" applyAlignment="1" applyProtection="1">
      <alignment horizontal="center" vertical="center" wrapText="1"/>
      <protection hidden="1"/>
    </xf>
    <xf numFmtId="168" fontId="12" fillId="7" borderId="14" xfId="2" applyNumberFormat="1" applyFont="1" applyFill="1" applyBorder="1" applyAlignment="1" applyProtection="1">
      <alignment vertical="center" wrapText="1"/>
      <protection hidden="1"/>
    </xf>
    <xf numFmtId="3" fontId="17" fillId="7" borderId="93" xfId="1" applyNumberFormat="1" applyFont="1" applyFill="1" applyBorder="1" applyAlignment="1" applyProtection="1">
      <alignment horizontal="center" vertical="center" wrapText="1"/>
      <protection hidden="1"/>
    </xf>
    <xf numFmtId="3" fontId="17" fillId="7" borderId="108" xfId="6" applyNumberFormat="1" applyFont="1" applyFill="1" applyBorder="1" applyAlignment="1" applyProtection="1">
      <alignment horizontal="center" vertical="center" wrapText="1"/>
      <protection hidden="1"/>
    </xf>
    <xf numFmtId="3" fontId="17" fillId="7" borderId="94" xfId="0" applyNumberFormat="1" applyFont="1" applyFill="1" applyBorder="1" applyAlignment="1" applyProtection="1">
      <alignment horizontal="center" vertical="center" wrapText="1"/>
      <protection hidden="1"/>
    </xf>
    <xf numFmtId="3" fontId="17" fillId="7" borderId="96" xfId="0" applyNumberFormat="1" applyFont="1" applyFill="1" applyBorder="1" applyAlignment="1" applyProtection="1">
      <alignment horizontal="center" vertical="center" wrapText="1"/>
      <protection hidden="1"/>
    </xf>
    <xf numFmtId="3" fontId="17" fillId="7" borderId="104" xfId="0" applyNumberFormat="1" applyFont="1" applyFill="1" applyBorder="1" applyAlignment="1" applyProtection="1">
      <alignment horizontal="center" vertical="center" wrapText="1"/>
      <protection hidden="1"/>
    </xf>
    <xf numFmtId="3" fontId="17" fillId="7" borderId="97" xfId="0" applyNumberFormat="1" applyFont="1" applyFill="1" applyBorder="1" applyAlignment="1" applyProtection="1">
      <alignment horizontal="center" vertical="center" wrapText="1"/>
      <protection hidden="1"/>
    </xf>
    <xf numFmtId="3" fontId="17" fillId="7" borderId="95" xfId="0" applyNumberFormat="1" applyFont="1" applyFill="1" applyBorder="1" applyAlignment="1" applyProtection="1">
      <alignment horizontal="center" vertical="center" wrapText="1"/>
      <protection hidden="1"/>
    </xf>
    <xf numFmtId="3" fontId="17" fillId="7" borderId="109" xfId="0" applyNumberFormat="1" applyFont="1" applyFill="1" applyBorder="1" applyAlignment="1" applyProtection="1">
      <alignment horizontal="center" vertical="center" wrapText="1"/>
      <protection hidden="1"/>
    </xf>
    <xf numFmtId="1" fontId="12" fillId="7" borderId="1" xfId="0" applyNumberFormat="1" applyFont="1" applyFill="1" applyBorder="1" applyAlignment="1" applyProtection="1">
      <alignment horizontal="center" vertical="center" wrapText="1"/>
      <protection hidden="1"/>
    </xf>
    <xf numFmtId="3" fontId="17" fillId="26" borderId="1" xfId="6" applyNumberFormat="1" applyFont="1" applyFill="1" applyBorder="1" applyAlignment="1" applyProtection="1">
      <alignment horizontal="center" vertical="center" wrapText="1"/>
      <protection locked="0"/>
    </xf>
    <xf numFmtId="0" fontId="127" fillId="26" borderId="1" xfId="0" applyFont="1" applyFill="1" applyBorder="1" applyAlignment="1" applyProtection="1">
      <alignment vertical="center" wrapText="1"/>
      <protection locked="0"/>
    </xf>
    <xf numFmtId="3" fontId="43" fillId="7" borderId="1" xfId="0" applyNumberFormat="1" applyFont="1" applyFill="1" applyBorder="1" applyAlignment="1" applyProtection="1">
      <alignment horizontal="center" vertical="center" wrapText="1"/>
      <protection hidden="1"/>
    </xf>
    <xf numFmtId="0" fontId="8" fillId="0" borderId="12" xfId="0" applyFont="1" applyFill="1" applyBorder="1" applyAlignment="1" applyProtection="1">
      <alignment horizontal="center" vertical="center"/>
      <protection locked="0"/>
    </xf>
    <xf numFmtId="0" fontId="8" fillId="0" borderId="8"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14" fontId="5" fillId="0" borderId="1" xfId="0" applyNumberFormat="1" applyFont="1" applyBorder="1" applyAlignment="1" applyProtection="1">
      <alignment vertical="center"/>
      <protection locked="0"/>
    </xf>
    <xf numFmtId="0" fontId="17" fillId="7" borderId="1" xfId="0" applyFont="1" applyFill="1" applyBorder="1" applyAlignment="1" applyProtection="1">
      <alignment vertical="center" wrapText="1"/>
      <protection hidden="1"/>
    </xf>
    <xf numFmtId="0" fontId="12" fillId="0" borderId="5" xfId="0" applyFont="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wrapText="1"/>
      <protection locked="0"/>
    </xf>
    <xf numFmtId="0" fontId="127" fillId="26" borderId="1" xfId="0" applyFont="1" applyFill="1" applyBorder="1" applyAlignment="1" applyProtection="1">
      <alignment horizontal="center" vertical="center" wrapText="1"/>
      <protection locked="0"/>
    </xf>
    <xf numFmtId="0" fontId="17" fillId="26" borderId="1" xfId="0" applyFont="1" applyFill="1" applyBorder="1" applyAlignment="1" applyProtection="1">
      <alignment horizontal="center" vertical="center" wrapText="1"/>
      <protection locked="0"/>
    </xf>
    <xf numFmtId="0" fontId="17" fillId="26" borderId="1" xfId="0" applyFont="1" applyFill="1" applyBorder="1" applyAlignment="1" applyProtection="1">
      <alignment vertical="center" wrapText="1"/>
      <protection locked="0"/>
    </xf>
    <xf numFmtId="0" fontId="12" fillId="3" borderId="3" xfId="0" applyFont="1" applyFill="1" applyBorder="1" applyAlignment="1" applyProtection="1">
      <alignment horizontal="center" vertical="center" wrapText="1"/>
      <protection locked="0"/>
    </xf>
    <xf numFmtId="0" fontId="127" fillId="26" borderId="1" xfId="0" applyFont="1" applyFill="1" applyBorder="1" applyAlignment="1" applyProtection="1">
      <alignment vertical="center"/>
      <protection locked="0"/>
    </xf>
    <xf numFmtId="0" fontId="17" fillId="12" borderId="1" xfId="0" applyFont="1" applyFill="1" applyBorder="1" applyAlignment="1" applyProtection="1">
      <alignment horizontal="center" vertical="center"/>
      <protection locked="0"/>
    </xf>
    <xf numFmtId="0" fontId="5" fillId="3" borderId="0"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129" fillId="26" borderId="1" xfId="0" applyFont="1" applyFill="1" applyBorder="1" applyAlignment="1" applyProtection="1">
      <alignment horizontal="center" vertical="center" wrapText="1"/>
      <protection locked="0"/>
    </xf>
    <xf numFmtId="0" fontId="129" fillId="26" borderId="1" xfId="0" applyFont="1" applyFill="1" applyBorder="1" applyAlignment="1" applyProtection="1">
      <alignment horizontal="left" vertical="center" wrapText="1"/>
      <protection locked="0"/>
    </xf>
    <xf numFmtId="0" fontId="17" fillId="3" borderId="1" xfId="0" applyFont="1" applyFill="1" applyBorder="1" applyAlignment="1" applyProtection="1">
      <alignment horizontal="center" vertical="center" wrapText="1"/>
      <protection locked="0"/>
    </xf>
    <xf numFmtId="14" fontId="127" fillId="26" borderId="1" xfId="0" applyNumberFormat="1" applyFont="1" applyFill="1" applyBorder="1" applyAlignment="1" applyProtection="1">
      <alignment horizontal="center" vertical="center" wrapText="1"/>
      <protection locked="0"/>
    </xf>
    <xf numFmtId="0" fontId="76" fillId="3" borderId="4"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126" fillId="6" borderId="13" xfId="0" applyFont="1" applyFill="1" applyBorder="1" applyAlignment="1" applyProtection="1">
      <alignment horizontal="center" vertical="center" textRotation="90" wrapText="1"/>
      <protection hidden="1"/>
    </xf>
    <xf numFmtId="0" fontId="17" fillId="3" borderId="4"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wrapText="1"/>
      <protection hidden="1"/>
    </xf>
    <xf numFmtId="0" fontId="17" fillId="3" borderId="3" xfId="0" applyFont="1" applyFill="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168" fontId="17" fillId="7" borderId="1" xfId="2" applyNumberFormat="1" applyFont="1" applyFill="1" applyBorder="1" applyAlignment="1" applyProtection="1">
      <alignment horizontal="center" vertical="center" wrapText="1"/>
      <protection hidden="1"/>
    </xf>
    <xf numFmtId="0" fontId="17" fillId="7" borderId="1" xfId="0" applyFont="1" applyFill="1" applyBorder="1" applyAlignment="1" applyProtection="1">
      <alignment horizontal="center" vertical="center" wrapText="1"/>
      <protection hidden="1"/>
    </xf>
    <xf numFmtId="3" fontId="17" fillId="7" borderId="93" xfId="1" applyNumberFormat="1" applyFont="1" applyFill="1" applyBorder="1" applyAlignment="1" applyProtection="1">
      <alignment horizontal="center" vertical="center" wrapText="1"/>
      <protection locked="0"/>
    </xf>
    <xf numFmtId="0" fontId="11" fillId="7" borderId="11" xfId="0" applyFont="1" applyFill="1" applyBorder="1" applyAlignment="1" applyProtection="1">
      <alignment horizontal="center" vertical="center"/>
      <protection hidden="1"/>
    </xf>
    <xf numFmtId="0" fontId="17" fillId="5" borderId="1" xfId="0" applyFont="1" applyFill="1" applyBorder="1" applyAlignment="1" applyProtection="1">
      <alignment horizontal="center" vertical="center" wrapText="1"/>
      <protection hidden="1"/>
    </xf>
    <xf numFmtId="0" fontId="17" fillId="5" borderId="1" xfId="0" applyFont="1" applyFill="1" applyBorder="1" applyAlignment="1" applyProtection="1">
      <alignment horizontal="center" vertical="center"/>
      <protection hidden="1"/>
    </xf>
    <xf numFmtId="0" fontId="17" fillId="5" borderId="1" xfId="0" applyFont="1" applyFill="1" applyBorder="1" applyAlignment="1" applyProtection="1">
      <alignment horizontal="right" vertical="center"/>
      <protection hidden="1"/>
    </xf>
    <xf numFmtId="4" fontId="132" fillId="5" borderId="1" xfId="0" applyNumberFormat="1" applyFont="1" applyFill="1" applyBorder="1" applyAlignment="1" applyProtection="1">
      <alignment horizontal="right" vertical="center"/>
      <protection hidden="1"/>
    </xf>
    <xf numFmtId="4" fontId="12" fillId="5" borderId="24" xfId="0" applyNumberFormat="1" applyFont="1" applyFill="1" applyBorder="1" applyAlignment="1" applyProtection="1">
      <alignment horizontal="right" vertical="center"/>
      <protection hidden="1"/>
    </xf>
    <xf numFmtId="164" fontId="12" fillId="5" borderId="2" xfId="6" applyFont="1" applyFill="1" applyBorder="1" applyAlignment="1" applyProtection="1">
      <alignment vertical="center" wrapText="1"/>
      <protection hidden="1"/>
    </xf>
    <xf numFmtId="164" fontId="12" fillId="5" borderId="3" xfId="6" applyFont="1" applyFill="1" applyBorder="1" applyAlignment="1" applyProtection="1">
      <alignment vertical="center" wrapText="1"/>
      <protection hidden="1"/>
    </xf>
    <xf numFmtId="164" fontId="12" fillId="5" borderId="4" xfId="6" applyFont="1" applyFill="1" applyBorder="1" applyAlignment="1" applyProtection="1">
      <alignment vertical="center" wrapText="1"/>
      <protection hidden="1"/>
    </xf>
    <xf numFmtId="165" fontId="12" fillId="5" borderId="2" xfId="24" applyFont="1" applyFill="1" applyBorder="1" applyAlignment="1" applyProtection="1">
      <alignment vertical="center" wrapText="1"/>
      <protection hidden="1"/>
    </xf>
    <xf numFmtId="3" fontId="12" fillId="5" borderId="1" xfId="6" applyNumberFormat="1" applyFont="1" applyFill="1" applyBorder="1" applyAlignment="1" applyProtection="1">
      <alignment horizontal="right" vertical="center" wrapText="1"/>
      <protection hidden="1"/>
    </xf>
    <xf numFmtId="0" fontId="17" fillId="5" borderId="2" xfId="0" applyFont="1" applyFill="1" applyBorder="1" applyAlignment="1" applyProtection="1">
      <alignment horizontal="center" vertical="center" wrapText="1"/>
      <protection hidden="1"/>
    </xf>
    <xf numFmtId="0" fontId="17" fillId="5" borderId="3" xfId="0" applyFont="1" applyFill="1" applyBorder="1" applyAlignment="1" applyProtection="1">
      <alignment horizontal="center" vertical="center" wrapText="1"/>
      <protection hidden="1"/>
    </xf>
    <xf numFmtId="0" fontId="17" fillId="5" borderId="4" xfId="0" applyFont="1" applyFill="1" applyBorder="1" applyAlignment="1" applyProtection="1">
      <alignment horizontal="center" vertical="center" wrapText="1"/>
      <protection hidden="1"/>
    </xf>
    <xf numFmtId="165" fontId="17" fillId="5" borderId="2" xfId="24" applyFont="1" applyFill="1" applyBorder="1" applyAlignment="1" applyProtection="1">
      <alignment horizontal="center" vertical="center" wrapText="1"/>
      <protection hidden="1"/>
    </xf>
    <xf numFmtId="3" fontId="17" fillId="5" borderId="3" xfId="6" applyNumberFormat="1" applyFont="1" applyFill="1" applyBorder="1" applyAlignment="1" applyProtection="1">
      <alignment horizontal="right" vertical="center" wrapText="1"/>
      <protection hidden="1"/>
    </xf>
    <xf numFmtId="3" fontId="17" fillId="5" borderId="1" xfId="6" applyNumberFormat="1" applyFont="1" applyFill="1" applyBorder="1" applyAlignment="1" applyProtection="1">
      <alignment horizontal="right" vertical="center" wrapText="1"/>
      <protection hidden="1"/>
    </xf>
    <xf numFmtId="0" fontId="8" fillId="7" borderId="1" xfId="0" applyFont="1" applyFill="1" applyBorder="1" applyAlignment="1" applyProtection="1">
      <alignment horizontal="center" vertical="center" wrapText="1"/>
      <protection hidden="1"/>
    </xf>
    <xf numFmtId="0" fontId="17" fillId="0" borderId="12" xfId="0" applyFont="1" applyBorder="1" applyAlignment="1" applyProtection="1">
      <alignment horizontal="left" vertical="top" wrapText="1"/>
      <protection locked="0"/>
    </xf>
    <xf numFmtId="0" fontId="17" fillId="26" borderId="2" xfId="0" applyFont="1" applyFill="1" applyBorder="1" applyAlignment="1" applyProtection="1">
      <alignment horizontal="center" vertical="center"/>
      <protection locked="0"/>
    </xf>
    <xf numFmtId="0" fontId="17" fillId="26" borderId="4" xfId="0"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0" fontId="127" fillId="26" borderId="2" xfId="0" applyFont="1" applyFill="1" applyBorder="1" applyAlignment="1" applyProtection="1">
      <alignment horizontal="left" vertical="center" wrapText="1"/>
      <protection locked="0"/>
    </xf>
    <xf numFmtId="0" fontId="127" fillId="26" borderId="3" xfId="0" applyFont="1" applyFill="1" applyBorder="1" applyAlignment="1" applyProtection="1">
      <alignment horizontal="left" vertical="center" wrapText="1"/>
      <protection locked="0"/>
    </xf>
    <xf numFmtId="0" fontId="127" fillId="26" borderId="4" xfId="0" applyFont="1" applyFill="1" applyBorder="1" applyAlignment="1" applyProtection="1">
      <alignment horizontal="left" vertical="center" wrapText="1"/>
      <protection locked="0"/>
    </xf>
    <xf numFmtId="0" fontId="38" fillId="26" borderId="2" xfId="0" applyFont="1" applyFill="1" applyBorder="1" applyAlignment="1" applyProtection="1">
      <alignment horizontal="left" vertical="center" wrapText="1"/>
      <protection locked="0"/>
    </xf>
    <xf numFmtId="0" fontId="38" fillId="26" borderId="3" xfId="0" applyFont="1" applyFill="1" applyBorder="1" applyAlignment="1" applyProtection="1">
      <alignment horizontal="left" vertical="center" wrapText="1"/>
      <protection locked="0"/>
    </xf>
    <xf numFmtId="0" fontId="38" fillId="26" borderId="4" xfId="0" applyFont="1" applyFill="1" applyBorder="1" applyAlignment="1" applyProtection="1">
      <alignment horizontal="left" vertical="center" wrapText="1"/>
      <protection locked="0"/>
    </xf>
    <xf numFmtId="0" fontId="17" fillId="7" borderId="1" xfId="0" applyFont="1" applyFill="1" applyBorder="1" applyAlignment="1" applyProtection="1">
      <alignment vertical="center" wrapText="1"/>
      <protection hidden="1"/>
    </xf>
    <xf numFmtId="164" fontId="17" fillId="7" borderId="1" xfId="0" applyNumberFormat="1" applyFont="1" applyFill="1" applyBorder="1" applyAlignment="1" applyProtection="1">
      <alignment vertical="center" wrapText="1"/>
      <protection hidden="1"/>
    </xf>
    <xf numFmtId="0" fontId="12" fillId="7" borderId="110" xfId="0" applyFont="1" applyFill="1" applyBorder="1" applyAlignment="1" applyProtection="1">
      <alignment horizontal="center" vertical="center" wrapText="1"/>
      <protection hidden="1"/>
    </xf>
    <xf numFmtId="0" fontId="12" fillId="7" borderId="111" xfId="0" applyFont="1" applyFill="1" applyBorder="1" applyAlignment="1" applyProtection="1">
      <alignment horizontal="center" vertical="center" wrapText="1"/>
      <protection hidden="1"/>
    </xf>
    <xf numFmtId="0" fontId="12" fillId="7" borderId="112" xfId="0" applyFont="1" applyFill="1" applyBorder="1" applyAlignment="1" applyProtection="1">
      <alignment horizontal="center" vertical="center" wrapText="1"/>
      <protection hidden="1"/>
    </xf>
    <xf numFmtId="3" fontId="127" fillId="3" borderId="2" xfId="0" applyNumberFormat="1" applyFont="1" applyFill="1" applyBorder="1" applyAlignment="1" applyProtection="1">
      <alignment horizontal="center" vertical="center" wrapText="1"/>
      <protection locked="0"/>
    </xf>
    <xf numFmtId="3" fontId="127" fillId="3" borderId="3" xfId="0" applyNumberFormat="1" applyFont="1" applyFill="1" applyBorder="1" applyAlignment="1" applyProtection="1">
      <alignment horizontal="center" vertical="center" wrapText="1"/>
      <protection locked="0"/>
    </xf>
    <xf numFmtId="3" fontId="127" fillId="3" borderId="4" xfId="0" applyNumberFormat="1" applyFont="1" applyFill="1" applyBorder="1" applyAlignment="1" applyProtection="1">
      <alignment horizontal="center" vertical="center" wrapText="1"/>
      <protection locked="0"/>
    </xf>
    <xf numFmtId="0" fontId="76" fillId="3" borderId="5" xfId="0" applyFont="1" applyFill="1" applyBorder="1" applyAlignment="1" applyProtection="1">
      <alignment horizontal="left" vertical="center" wrapText="1"/>
      <protection locked="0"/>
    </xf>
    <xf numFmtId="0" fontId="76" fillId="3" borderId="6" xfId="0" applyFont="1" applyFill="1" applyBorder="1" applyAlignment="1" applyProtection="1">
      <alignment horizontal="left" vertical="center" wrapText="1"/>
      <protection locked="0"/>
    </xf>
    <xf numFmtId="0" fontId="76" fillId="3" borderId="10" xfId="0" applyFont="1" applyFill="1" applyBorder="1" applyAlignment="1" applyProtection="1">
      <alignment horizontal="left" vertical="center" wrapText="1"/>
      <protection locked="0"/>
    </xf>
    <xf numFmtId="0" fontId="76" fillId="3" borderId="11" xfId="0" applyFont="1" applyFill="1" applyBorder="1" applyAlignment="1" applyProtection="1">
      <alignment horizontal="left" vertical="center" wrapText="1"/>
      <protection locked="0"/>
    </xf>
    <xf numFmtId="0" fontId="76" fillId="3" borderId="7" xfId="0" applyFont="1" applyFill="1" applyBorder="1" applyAlignment="1" applyProtection="1">
      <alignment horizontal="left" vertical="center" wrapText="1"/>
      <protection locked="0"/>
    </xf>
    <xf numFmtId="0" fontId="76" fillId="3" borderId="8" xfId="0" applyFont="1" applyFill="1" applyBorder="1" applyAlignment="1" applyProtection="1">
      <alignment horizontal="left" vertical="center" wrapText="1"/>
      <protection locked="0"/>
    </xf>
    <xf numFmtId="0" fontId="76" fillId="3" borderId="2" xfId="0" applyFont="1" applyFill="1" applyBorder="1" applyAlignment="1" applyProtection="1">
      <alignment vertical="center" wrapText="1"/>
      <protection locked="0"/>
    </xf>
    <xf numFmtId="0" fontId="76" fillId="3" borderId="3" xfId="0" applyFont="1" applyFill="1" applyBorder="1" applyAlignment="1" applyProtection="1">
      <alignment vertical="center" wrapText="1"/>
      <protection locked="0"/>
    </xf>
    <xf numFmtId="0" fontId="76" fillId="3" borderId="4" xfId="0" applyFont="1" applyFill="1" applyBorder="1" applyAlignment="1" applyProtection="1">
      <alignment vertical="center" wrapText="1"/>
      <protection locked="0"/>
    </xf>
    <xf numFmtId="0" fontId="76" fillId="3" borderId="1" xfId="0" applyFont="1" applyFill="1" applyBorder="1" applyAlignment="1" applyProtection="1">
      <alignment vertical="center" wrapText="1"/>
      <protection locked="0"/>
    </xf>
    <xf numFmtId="0" fontId="124" fillId="6" borderId="1" xfId="0" applyFont="1" applyFill="1" applyBorder="1" applyAlignment="1" applyProtection="1">
      <alignment horizontal="left" vertical="center" wrapText="1"/>
      <protection hidden="1"/>
    </xf>
    <xf numFmtId="0" fontId="17" fillId="12" borderId="2" xfId="0" applyFont="1" applyFill="1" applyBorder="1" applyAlignment="1" applyProtection="1">
      <alignment horizontal="center" vertical="center"/>
      <protection locked="0"/>
    </xf>
    <xf numFmtId="0" fontId="17" fillId="13" borderId="3" xfId="0" applyFont="1" applyFill="1" applyBorder="1" applyAlignment="1" applyProtection="1">
      <alignment horizontal="center" vertical="center"/>
      <protection locked="0"/>
    </xf>
    <xf numFmtId="0" fontId="17" fillId="13" borderId="4" xfId="0" applyFont="1" applyFill="1" applyBorder="1" applyAlignment="1" applyProtection="1">
      <alignment horizontal="center" vertical="center"/>
      <protection locked="0"/>
    </xf>
    <xf numFmtId="164" fontId="124" fillId="6" borderId="2" xfId="6" applyFont="1" applyFill="1" applyBorder="1" applyAlignment="1" applyProtection="1">
      <alignment horizontal="left" vertical="center" wrapText="1"/>
      <protection hidden="1"/>
    </xf>
    <xf numFmtId="164" fontId="124" fillId="6" borderId="3" xfId="6" applyFont="1" applyFill="1" applyBorder="1" applyAlignment="1" applyProtection="1">
      <alignment horizontal="left" vertical="center" wrapText="1"/>
      <protection hidden="1"/>
    </xf>
    <xf numFmtId="164" fontId="124" fillId="6" borderId="4" xfId="6" applyFont="1" applyFill="1" applyBorder="1" applyAlignment="1" applyProtection="1">
      <alignment horizontal="left" vertical="center" wrapText="1"/>
      <protection hidden="1"/>
    </xf>
    <xf numFmtId="164" fontId="76" fillId="5" borderId="2" xfId="6" applyFont="1" applyFill="1" applyBorder="1" applyAlignment="1" applyProtection="1">
      <alignment horizontal="left" vertical="center" wrapText="1"/>
      <protection hidden="1"/>
    </xf>
    <xf numFmtId="164" fontId="76" fillId="5" borderId="3" xfId="6" applyFont="1" applyFill="1" applyBorder="1" applyAlignment="1" applyProtection="1">
      <alignment horizontal="left" vertical="center" wrapText="1"/>
      <protection hidden="1"/>
    </xf>
    <xf numFmtId="164" fontId="76" fillId="5" borderId="4" xfId="6" applyFont="1" applyFill="1" applyBorder="1" applyAlignment="1" applyProtection="1">
      <alignment horizontal="left" vertical="center" wrapText="1"/>
      <protection hidden="1"/>
    </xf>
    <xf numFmtId="0" fontId="12" fillId="0" borderId="5"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5" fillId="26" borderId="1" xfId="0" applyFont="1" applyFill="1" applyBorder="1" applyAlignment="1" applyProtection="1">
      <alignment horizontal="left" vertical="center" wrapText="1" indent="2"/>
      <protection locked="0"/>
    </xf>
    <xf numFmtId="0" fontId="41" fillId="0" borderId="2"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wrapText="1"/>
      <protection locked="0"/>
    </xf>
    <xf numFmtId="0" fontId="17" fillId="7" borderId="1" xfId="0" applyFont="1" applyFill="1" applyBorder="1" applyAlignment="1" applyProtection="1">
      <alignment horizontal="center" vertical="center"/>
      <protection hidden="1"/>
    </xf>
    <xf numFmtId="0" fontId="127" fillId="26" borderId="1" xfId="0" applyFont="1" applyFill="1" applyBorder="1" applyAlignment="1" applyProtection="1">
      <alignment horizontal="center" vertical="center" wrapText="1"/>
      <protection locked="0"/>
    </xf>
    <xf numFmtId="0" fontId="17" fillId="26" borderId="1" xfId="0" applyFont="1" applyFill="1" applyBorder="1" applyAlignment="1" applyProtection="1">
      <alignment horizontal="center" vertical="center" wrapText="1"/>
      <protection locked="0"/>
    </xf>
    <xf numFmtId="0" fontId="17" fillId="12" borderId="5" xfId="0" applyFont="1" applyFill="1" applyBorder="1" applyAlignment="1" applyProtection="1">
      <alignment horizontal="center" vertical="center" wrapText="1"/>
      <protection locked="0"/>
    </xf>
    <xf numFmtId="0" fontId="17" fillId="13" borderId="9" xfId="0" applyFont="1" applyFill="1" applyBorder="1" applyAlignment="1" applyProtection="1">
      <alignment horizontal="center" vertical="center" wrapText="1"/>
      <protection locked="0"/>
    </xf>
    <xf numFmtId="0" fontId="17" fillId="13" borderId="6" xfId="0" applyFont="1" applyFill="1" applyBorder="1" applyAlignment="1" applyProtection="1">
      <alignment horizontal="center" vertical="center" wrapText="1"/>
      <protection locked="0"/>
    </xf>
    <xf numFmtId="0" fontId="17" fillId="13" borderId="7" xfId="0" applyFont="1" applyFill="1" applyBorder="1" applyAlignment="1" applyProtection="1">
      <alignment horizontal="center" vertical="center" wrapText="1"/>
      <protection locked="0"/>
    </xf>
    <xf numFmtId="0" fontId="17" fillId="13" borderId="12" xfId="0" applyFont="1" applyFill="1" applyBorder="1" applyAlignment="1" applyProtection="1">
      <alignment horizontal="center" vertical="center" wrapText="1"/>
      <protection locked="0"/>
    </xf>
    <xf numFmtId="0" fontId="17" fillId="13" borderId="8" xfId="0" applyFont="1" applyFill="1" applyBorder="1" applyAlignment="1" applyProtection="1">
      <alignment horizontal="center" vertical="center" wrapText="1"/>
      <protection locked="0"/>
    </xf>
    <xf numFmtId="0" fontId="49" fillId="3" borderId="1" xfId="0" applyFont="1" applyFill="1" applyBorder="1" applyAlignment="1" applyProtection="1">
      <alignment horizontal="center" vertical="center" wrapText="1"/>
      <protection locked="0"/>
    </xf>
    <xf numFmtId="0" fontId="127" fillId="26" borderId="1" xfId="0" applyFont="1" applyFill="1" applyBorder="1" applyAlignment="1" applyProtection="1">
      <alignment horizontal="center" vertical="center"/>
      <protection locked="0"/>
    </xf>
    <xf numFmtId="0" fontId="17" fillId="26"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wrapText="1"/>
      <protection hidden="1"/>
    </xf>
    <xf numFmtId="3" fontId="127" fillId="26" borderId="2" xfId="0" applyNumberFormat="1" applyFont="1" applyFill="1" applyBorder="1" applyAlignment="1" applyProtection="1">
      <alignment vertical="center"/>
      <protection locked="0"/>
    </xf>
    <xf numFmtId="3" fontId="127" fillId="26" borderId="4" xfId="0" applyNumberFormat="1" applyFont="1" applyFill="1" applyBorder="1" applyAlignment="1" applyProtection="1">
      <alignment vertical="center"/>
      <protection locked="0"/>
    </xf>
    <xf numFmtId="0" fontId="17" fillId="26" borderId="1" xfId="0" applyFont="1" applyFill="1" applyBorder="1" applyAlignment="1" applyProtection="1">
      <alignment vertical="center" wrapText="1"/>
      <protection locked="0"/>
    </xf>
    <xf numFmtId="0" fontId="126" fillId="6" borderId="1" xfId="0" applyFont="1" applyFill="1" applyBorder="1" applyAlignment="1" applyProtection="1">
      <alignment horizontal="center" vertical="center" textRotation="90" wrapText="1"/>
      <protection hidden="1"/>
    </xf>
    <xf numFmtId="0" fontId="17" fillId="0" borderId="1" xfId="0" applyFont="1" applyBorder="1" applyAlignment="1" applyProtection="1">
      <alignment vertical="center" wrapText="1"/>
      <protection locked="0"/>
    </xf>
    <xf numFmtId="0" fontId="17" fillId="3" borderId="13" xfId="0" applyFont="1" applyFill="1" applyBorder="1" applyAlignment="1" applyProtection="1">
      <alignment vertical="center" wrapText="1"/>
      <protection locked="0"/>
    </xf>
    <xf numFmtId="0" fontId="4" fillId="3" borderId="12" xfId="0" applyFont="1" applyFill="1" applyBorder="1" applyAlignment="1" applyProtection="1">
      <alignment horizontal="left" vertical="center"/>
      <protection locked="0"/>
    </xf>
    <xf numFmtId="0" fontId="4" fillId="3" borderId="8" xfId="0" applyFont="1" applyFill="1" applyBorder="1" applyAlignment="1" applyProtection="1">
      <alignment horizontal="left" vertical="center"/>
      <protection locked="0"/>
    </xf>
    <xf numFmtId="0" fontId="17" fillId="3" borderId="1" xfId="0" applyFont="1" applyFill="1" applyBorder="1" applyAlignment="1" applyProtection="1">
      <alignment horizontal="center" vertical="center"/>
      <protection locked="0"/>
    </xf>
    <xf numFmtId="0" fontId="17" fillId="3" borderId="1" xfId="0" applyFont="1" applyFill="1" applyBorder="1" applyAlignment="1" applyProtection="1">
      <alignment vertical="center" wrapText="1"/>
      <protection locked="0"/>
    </xf>
    <xf numFmtId="164" fontId="17" fillId="7" borderId="106" xfId="0" applyNumberFormat="1" applyFont="1" applyFill="1" applyBorder="1" applyAlignment="1" applyProtection="1">
      <alignment vertical="center" wrapText="1"/>
      <protection hidden="1"/>
    </xf>
    <xf numFmtId="0" fontId="17" fillId="7" borderId="106" xfId="0" applyFont="1" applyFill="1" applyBorder="1" applyAlignment="1" applyProtection="1">
      <alignment vertical="center" wrapText="1"/>
      <protection hidden="1"/>
    </xf>
    <xf numFmtId="0" fontId="17" fillId="7" borderId="1" xfId="0" applyFont="1" applyFill="1" applyBorder="1" applyAlignment="1" applyProtection="1">
      <alignment horizontal="center"/>
      <protection hidden="1"/>
    </xf>
    <xf numFmtId="0" fontId="127" fillId="26" borderId="2" xfId="0" applyFont="1" applyFill="1" applyBorder="1" applyAlignment="1" applyProtection="1">
      <alignment horizontal="center" vertical="center"/>
      <protection locked="0"/>
    </xf>
    <xf numFmtId="0" fontId="127" fillId="26" borderId="4" xfId="0" applyFont="1" applyFill="1" applyBorder="1" applyAlignment="1" applyProtection="1">
      <alignment horizontal="center" vertical="center"/>
      <protection locked="0"/>
    </xf>
    <xf numFmtId="0" fontId="49" fillId="3" borderId="2" xfId="0" applyFont="1" applyFill="1" applyBorder="1" applyAlignment="1" applyProtection="1">
      <alignment horizontal="center" vertical="center" wrapText="1"/>
      <protection locked="0"/>
    </xf>
    <xf numFmtId="0" fontId="49" fillId="3" borderId="4" xfId="0" applyFont="1" applyFill="1" applyBorder="1" applyAlignment="1" applyProtection="1">
      <alignment horizontal="center" vertical="center" wrapText="1"/>
      <protection locked="0"/>
    </xf>
    <xf numFmtId="0" fontId="17" fillId="13" borderId="6" xfId="0" applyFont="1" applyFill="1" applyBorder="1" applyAlignment="1" applyProtection="1">
      <alignment horizontal="center" vertical="center"/>
      <protection locked="0"/>
    </xf>
    <xf numFmtId="0" fontId="17" fillId="13" borderId="10" xfId="0" applyFont="1" applyFill="1" applyBorder="1" applyAlignment="1" applyProtection="1">
      <alignment horizontal="center" vertical="center"/>
      <protection locked="0"/>
    </xf>
    <xf numFmtId="0" fontId="17" fillId="13" borderId="11" xfId="0" applyFont="1" applyFill="1" applyBorder="1" applyAlignment="1" applyProtection="1">
      <alignment horizontal="center" vertical="center"/>
      <protection locked="0"/>
    </xf>
    <xf numFmtId="0" fontId="17" fillId="13" borderId="7" xfId="0" applyFont="1" applyFill="1" applyBorder="1" applyAlignment="1" applyProtection="1">
      <alignment horizontal="center" vertical="center"/>
      <protection locked="0"/>
    </xf>
    <xf numFmtId="0" fontId="17" fillId="13" borderId="8" xfId="0" applyFont="1" applyFill="1" applyBorder="1" applyAlignment="1" applyProtection="1">
      <alignment horizontal="center" vertical="center"/>
      <protection locked="0"/>
    </xf>
    <xf numFmtId="0" fontId="17" fillId="12" borderId="1" xfId="0" applyFont="1" applyFill="1" applyBorder="1" applyAlignment="1" applyProtection="1">
      <alignment horizontal="center" vertical="center" wrapText="1"/>
      <protection locked="0"/>
    </xf>
    <xf numFmtId="0" fontId="17" fillId="13" borderId="1" xfId="0" applyFont="1" applyFill="1" applyBorder="1" applyAlignment="1" applyProtection="1">
      <alignment horizontal="center" vertical="center"/>
      <protection locked="0"/>
    </xf>
    <xf numFmtId="3" fontId="12" fillId="3" borderId="2" xfId="0" applyNumberFormat="1" applyFont="1" applyFill="1" applyBorder="1" applyAlignment="1" applyProtection="1">
      <alignment horizontal="center" vertical="center"/>
      <protection locked="0"/>
    </xf>
    <xf numFmtId="3" fontId="12" fillId="3" borderId="4" xfId="0" applyNumberFormat="1" applyFont="1" applyFill="1" applyBorder="1" applyAlignment="1" applyProtection="1">
      <alignment horizontal="center" vertical="center"/>
      <protection locked="0"/>
    </xf>
    <xf numFmtId="0" fontId="5" fillId="26" borderId="1" xfId="0" applyFont="1" applyFill="1" applyBorder="1" applyAlignment="1" applyProtection="1">
      <alignment vertical="center"/>
      <protection locked="0"/>
    </xf>
    <xf numFmtId="0" fontId="17" fillId="26" borderId="2" xfId="0" applyFont="1" applyFill="1" applyBorder="1" applyAlignment="1" applyProtection="1">
      <alignment vertical="center"/>
      <protection locked="0"/>
    </xf>
    <xf numFmtId="0" fontId="17" fillId="26" borderId="3" xfId="0" applyFont="1" applyFill="1" applyBorder="1" applyAlignment="1" applyProtection="1">
      <alignment vertical="center"/>
      <protection locked="0"/>
    </xf>
    <xf numFmtId="0" fontId="17" fillId="26" borderId="4" xfId="0" applyFont="1" applyFill="1" applyBorder="1" applyAlignment="1" applyProtection="1">
      <alignment vertical="center"/>
      <protection locked="0"/>
    </xf>
    <xf numFmtId="3" fontId="17" fillId="26" borderId="2" xfId="0" applyNumberFormat="1" applyFont="1" applyFill="1" applyBorder="1" applyAlignment="1" applyProtection="1">
      <alignment vertical="center"/>
      <protection locked="0"/>
    </xf>
    <xf numFmtId="3" fontId="17" fillId="26" borderId="4" xfId="0" applyNumberFormat="1" applyFont="1" applyFill="1" applyBorder="1" applyAlignment="1" applyProtection="1">
      <alignment vertical="center"/>
      <protection locked="0"/>
    </xf>
    <xf numFmtId="0" fontId="17" fillId="12" borderId="2" xfId="0" applyFont="1" applyFill="1" applyBorder="1" applyAlignment="1" applyProtection="1">
      <alignment horizontal="left" vertical="center" wrapText="1" indent="1"/>
      <protection locked="0"/>
    </xf>
    <xf numFmtId="0" fontId="17" fillId="13" borderId="3" xfId="0" applyFont="1" applyFill="1" applyBorder="1" applyAlignment="1" applyProtection="1">
      <alignment horizontal="left" vertical="center" wrapText="1" indent="1"/>
      <protection locked="0"/>
    </xf>
    <xf numFmtId="0" fontId="17" fillId="13" borderId="4" xfId="0" applyFont="1" applyFill="1" applyBorder="1" applyAlignment="1" applyProtection="1">
      <alignment horizontal="left" vertical="center" wrapText="1" indent="1"/>
      <protection locked="0"/>
    </xf>
    <xf numFmtId="0" fontId="12" fillId="3" borderId="3"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textRotation="90" wrapText="1"/>
      <protection locked="0"/>
    </xf>
    <xf numFmtId="0" fontId="12" fillId="3" borderId="13" xfId="0" applyFont="1" applyFill="1" applyBorder="1" applyAlignment="1" applyProtection="1">
      <alignment horizontal="center" vertical="center" textRotation="90" wrapText="1"/>
      <protection locked="0"/>
    </xf>
    <xf numFmtId="0" fontId="12" fillId="3" borderId="14" xfId="0" applyFont="1" applyFill="1" applyBorder="1" applyAlignment="1" applyProtection="1">
      <alignment horizontal="center" vertical="center" textRotation="90" wrapText="1"/>
      <protection locked="0"/>
    </xf>
    <xf numFmtId="0" fontId="8" fillId="3" borderId="2"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17" fillId="12" borderId="1" xfId="0" applyFont="1" applyFill="1" applyBorder="1" applyAlignment="1" applyProtection="1">
      <alignment horizontal="left" vertical="center" wrapText="1" indent="1"/>
      <protection locked="0"/>
    </xf>
    <xf numFmtId="0" fontId="17" fillId="13" borderId="1" xfId="0" applyFont="1" applyFill="1" applyBorder="1" applyAlignment="1" applyProtection="1">
      <alignment horizontal="left" vertical="center" wrapText="1" indent="1"/>
      <protection locked="0"/>
    </xf>
    <xf numFmtId="0" fontId="127" fillId="26" borderId="1" xfId="0" applyFont="1" applyFill="1" applyBorder="1" applyAlignment="1" applyProtection="1">
      <alignment vertical="center"/>
      <protection locked="0"/>
    </xf>
    <xf numFmtId="0" fontId="17" fillId="12" borderId="1" xfId="0" applyFont="1" applyFill="1" applyBorder="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17" fillId="12" borderId="2" xfId="0" applyFont="1" applyFill="1" applyBorder="1" applyAlignment="1" applyProtection="1">
      <alignment horizontal="left" vertical="center" indent="1"/>
      <protection locked="0"/>
    </xf>
    <xf numFmtId="0" fontId="17" fillId="13" borderId="3" xfId="0" applyFont="1" applyFill="1" applyBorder="1" applyAlignment="1" applyProtection="1">
      <alignment horizontal="left" vertical="center" indent="1"/>
      <protection locked="0"/>
    </xf>
    <xf numFmtId="0" fontId="17" fillId="13" borderId="4" xfId="0" applyFont="1" applyFill="1" applyBorder="1" applyAlignment="1" applyProtection="1">
      <alignment horizontal="left" vertical="center" indent="1"/>
      <protection locked="0"/>
    </xf>
    <xf numFmtId="0" fontId="17" fillId="26" borderId="5" xfId="0" applyFont="1" applyFill="1" applyBorder="1" applyAlignment="1" applyProtection="1">
      <alignment vertical="center" wrapText="1"/>
      <protection locked="0"/>
    </xf>
    <xf numFmtId="0" fontId="17" fillId="26" borderId="9" xfId="0" applyFont="1" applyFill="1" applyBorder="1" applyAlignment="1" applyProtection="1">
      <alignment vertical="center" wrapText="1"/>
      <protection locked="0"/>
    </xf>
    <xf numFmtId="0" fontId="17" fillId="26" borderId="6" xfId="0" applyFont="1" applyFill="1" applyBorder="1" applyAlignment="1" applyProtection="1">
      <alignment vertical="center" wrapText="1"/>
      <protection locked="0"/>
    </xf>
    <xf numFmtId="0" fontId="17" fillId="26" borderId="10" xfId="0" applyFont="1" applyFill="1" applyBorder="1" applyAlignment="1" applyProtection="1">
      <alignment vertical="center" wrapText="1"/>
      <protection locked="0"/>
    </xf>
    <xf numFmtId="0" fontId="17" fillId="26" borderId="0" xfId="0" applyFont="1" applyFill="1" applyBorder="1" applyAlignment="1" applyProtection="1">
      <alignment vertical="center" wrapText="1"/>
      <protection locked="0"/>
    </xf>
    <xf numFmtId="0" fontId="17" fillId="26" borderId="11" xfId="0" applyFont="1" applyFill="1" applyBorder="1" applyAlignment="1" applyProtection="1">
      <alignment vertical="center" wrapText="1"/>
      <protection locked="0"/>
    </xf>
    <xf numFmtId="0" fontId="17" fillId="26" borderId="7" xfId="0" applyFont="1" applyFill="1" applyBorder="1" applyAlignment="1" applyProtection="1">
      <alignment vertical="center" wrapText="1"/>
      <protection locked="0"/>
    </xf>
    <xf numFmtId="0" fontId="17" fillId="26" borderId="12" xfId="0" applyFont="1" applyFill="1" applyBorder="1" applyAlignment="1" applyProtection="1">
      <alignment vertical="center" wrapText="1"/>
      <protection locked="0"/>
    </xf>
    <xf numFmtId="0" fontId="17" fillId="26" borderId="8" xfId="0" applyFont="1" applyFill="1" applyBorder="1" applyAlignment="1" applyProtection="1">
      <alignment vertical="center" wrapText="1"/>
      <protection locked="0"/>
    </xf>
    <xf numFmtId="3" fontId="5" fillId="3" borderId="0" xfId="0" applyNumberFormat="1" applyFont="1" applyFill="1" applyBorder="1" applyAlignment="1" applyProtection="1">
      <alignment horizontal="right" vertical="center"/>
      <protection locked="0"/>
    </xf>
    <xf numFmtId="0" fontId="17" fillId="12" borderId="5" xfId="0" applyFont="1" applyFill="1" applyBorder="1" applyAlignment="1" applyProtection="1">
      <alignment horizontal="left" vertical="center" wrapText="1"/>
      <protection locked="0"/>
    </xf>
    <xf numFmtId="0" fontId="17" fillId="13" borderId="6" xfId="0" applyFont="1" applyFill="1" applyBorder="1" applyAlignment="1" applyProtection="1">
      <alignment horizontal="left" vertical="center" wrapText="1"/>
      <protection locked="0"/>
    </xf>
    <xf numFmtId="0" fontId="17" fillId="13" borderId="10" xfId="0" applyFont="1" applyFill="1" applyBorder="1" applyAlignment="1" applyProtection="1">
      <alignment horizontal="left" vertical="center" wrapText="1"/>
      <protection locked="0"/>
    </xf>
    <xf numFmtId="0" fontId="17" fillId="13" borderId="11" xfId="0" applyFont="1" applyFill="1" applyBorder="1" applyAlignment="1" applyProtection="1">
      <alignment horizontal="left" vertical="center" wrapText="1"/>
      <protection locked="0"/>
    </xf>
    <xf numFmtId="0" fontId="17" fillId="13" borderId="7" xfId="0" applyFont="1" applyFill="1" applyBorder="1" applyAlignment="1" applyProtection="1">
      <alignment horizontal="left" vertical="center" wrapText="1"/>
      <protection locked="0"/>
    </xf>
    <xf numFmtId="0" fontId="17" fillId="13" borderId="8" xfId="0" applyFont="1" applyFill="1" applyBorder="1" applyAlignment="1" applyProtection="1">
      <alignment horizontal="left" vertical="center" wrapText="1"/>
      <protection locked="0"/>
    </xf>
    <xf numFmtId="0" fontId="17" fillId="12" borderId="5" xfId="0" applyFont="1" applyFill="1" applyBorder="1" applyAlignment="1" applyProtection="1">
      <alignment horizontal="left" vertical="center" wrapText="1" indent="1"/>
      <protection locked="0"/>
    </xf>
    <xf numFmtId="0" fontId="17" fillId="13" borderId="9" xfId="0" applyFont="1" applyFill="1" applyBorder="1" applyAlignment="1" applyProtection="1">
      <alignment horizontal="left" vertical="center" wrapText="1" indent="1"/>
      <protection locked="0"/>
    </xf>
    <xf numFmtId="0" fontId="17" fillId="13" borderId="6" xfId="0" applyFont="1" applyFill="1" applyBorder="1" applyAlignment="1" applyProtection="1">
      <alignment horizontal="left" vertical="center" wrapText="1" indent="1"/>
      <protection locked="0"/>
    </xf>
    <xf numFmtId="0" fontId="17" fillId="13" borderId="10" xfId="0" applyFont="1" applyFill="1" applyBorder="1" applyAlignment="1" applyProtection="1">
      <alignment horizontal="left" vertical="center" wrapText="1" indent="1"/>
      <protection locked="0"/>
    </xf>
    <xf numFmtId="0" fontId="17" fillId="13" borderId="0" xfId="0" applyFont="1" applyFill="1" applyBorder="1" applyAlignment="1" applyProtection="1">
      <alignment horizontal="left" vertical="center" wrapText="1" indent="1"/>
      <protection locked="0"/>
    </xf>
    <xf numFmtId="0" fontId="17" fillId="13" borderId="11" xfId="0" applyFont="1" applyFill="1" applyBorder="1" applyAlignment="1" applyProtection="1">
      <alignment horizontal="left" vertical="center" wrapText="1" indent="1"/>
      <protection locked="0"/>
    </xf>
    <xf numFmtId="0" fontId="17" fillId="13" borderId="7" xfId="0" applyFont="1" applyFill="1" applyBorder="1" applyAlignment="1" applyProtection="1">
      <alignment horizontal="left" vertical="center" wrapText="1" indent="1"/>
      <protection locked="0"/>
    </xf>
    <xf numFmtId="0" fontId="17" fillId="13" borderId="12" xfId="0" applyFont="1" applyFill="1" applyBorder="1" applyAlignment="1" applyProtection="1">
      <alignment horizontal="left" vertical="center" wrapText="1" indent="1"/>
      <protection locked="0"/>
    </xf>
    <xf numFmtId="0" fontId="17" fillId="13" borderId="8" xfId="0" applyFont="1" applyFill="1" applyBorder="1" applyAlignment="1" applyProtection="1">
      <alignment horizontal="left" vertical="center" wrapText="1" indent="1"/>
      <protection locked="0"/>
    </xf>
    <xf numFmtId="0" fontId="5" fillId="3" borderId="0"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127" fillId="26" borderId="2" xfId="0" applyFont="1" applyFill="1" applyBorder="1" applyAlignment="1" applyProtection="1">
      <alignment vertical="center"/>
      <protection locked="0"/>
    </xf>
    <xf numFmtId="0" fontId="127" fillId="26" borderId="3" xfId="0" applyFont="1" applyFill="1" applyBorder="1" applyAlignment="1" applyProtection="1">
      <alignment vertical="center"/>
      <protection locked="0"/>
    </xf>
    <xf numFmtId="0" fontId="127" fillId="26" borderId="4" xfId="0" applyFont="1" applyFill="1" applyBorder="1" applyAlignment="1" applyProtection="1">
      <alignment vertical="center"/>
      <protection locked="0"/>
    </xf>
    <xf numFmtId="0" fontId="40" fillId="26" borderId="1" xfId="0" applyFont="1" applyFill="1" applyBorder="1" applyAlignment="1" applyProtection="1">
      <alignment horizontal="left" vertical="center" wrapText="1"/>
      <protection locked="0"/>
    </xf>
    <xf numFmtId="0" fontId="40" fillId="7" borderId="2" xfId="0" applyFont="1" applyFill="1" applyBorder="1" applyAlignment="1" applyProtection="1">
      <alignment horizontal="left" vertical="center"/>
      <protection hidden="1"/>
    </xf>
    <xf numFmtId="0" fontId="40" fillId="7" borderId="3" xfId="0" applyFont="1" applyFill="1" applyBorder="1" applyAlignment="1" applyProtection="1">
      <alignment horizontal="left" vertical="center"/>
      <protection hidden="1"/>
    </xf>
    <xf numFmtId="0" fontId="40" fillId="7" borderId="4" xfId="0" applyFont="1" applyFill="1" applyBorder="1" applyAlignment="1" applyProtection="1">
      <alignment horizontal="left" vertical="center"/>
      <protection hidden="1"/>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38" fillId="26" borderId="2" xfId="0" applyFont="1" applyFill="1" applyBorder="1" applyAlignment="1" applyProtection="1">
      <alignment vertical="center"/>
      <protection locked="0"/>
    </xf>
    <xf numFmtId="0" fontId="38" fillId="26" borderId="3" xfId="0" applyFont="1" applyFill="1" applyBorder="1" applyAlignment="1" applyProtection="1">
      <alignment vertical="center"/>
      <protection locked="0"/>
    </xf>
    <xf numFmtId="0" fontId="38" fillId="26" borderId="4" xfId="0" applyFont="1" applyFill="1" applyBorder="1" applyAlignment="1" applyProtection="1">
      <alignment vertical="center"/>
      <protection locked="0"/>
    </xf>
    <xf numFmtId="0" fontId="40" fillId="7" borderId="5" xfId="0" applyFont="1" applyFill="1" applyBorder="1" applyAlignment="1" applyProtection="1">
      <alignment horizontal="center" vertical="center" wrapText="1"/>
      <protection hidden="1"/>
    </xf>
    <xf numFmtId="0" fontId="40" fillId="7" borderId="6" xfId="0" applyFont="1" applyFill="1" applyBorder="1" applyAlignment="1" applyProtection="1">
      <alignment horizontal="center" vertical="center" wrapText="1"/>
      <protection hidden="1"/>
    </xf>
    <xf numFmtId="0" fontId="40" fillId="7" borderId="7" xfId="0" applyFont="1" applyFill="1" applyBorder="1" applyAlignment="1" applyProtection="1">
      <alignment horizontal="center" vertical="center" wrapText="1"/>
      <protection hidden="1"/>
    </xf>
    <xf numFmtId="0" fontId="40" fillId="7" borderId="8" xfId="0" applyFont="1" applyFill="1" applyBorder="1" applyAlignment="1" applyProtection="1">
      <alignment horizontal="center" vertical="center" wrapText="1"/>
      <protection hidden="1"/>
    </xf>
    <xf numFmtId="0" fontId="8" fillId="0" borderId="2"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129" fillId="26" borderId="2" xfId="0" applyFont="1" applyFill="1" applyBorder="1" applyAlignment="1" applyProtection="1">
      <alignment horizontal="center" vertical="center" wrapText="1"/>
      <protection locked="0"/>
    </xf>
    <xf numFmtId="0" fontId="129" fillId="26" borderId="4" xfId="0" applyFont="1" applyFill="1" applyBorder="1" applyAlignment="1" applyProtection="1">
      <alignment horizontal="center" vertical="center" wrapText="1"/>
      <protection locked="0"/>
    </xf>
    <xf numFmtId="0" fontId="40" fillId="26" borderId="89" xfId="0" applyFont="1" applyFill="1" applyBorder="1" applyAlignment="1" applyProtection="1">
      <alignment horizontal="left" vertical="center"/>
      <protection locked="0"/>
    </xf>
    <xf numFmtId="0" fontId="40" fillId="26" borderId="35" xfId="0" applyFont="1" applyFill="1" applyBorder="1" applyAlignment="1" applyProtection="1">
      <alignment horizontal="left" vertical="center"/>
      <protection locked="0"/>
    </xf>
    <xf numFmtId="0" fontId="40" fillId="26" borderId="90" xfId="0" applyFont="1" applyFill="1" applyBorder="1" applyAlignment="1" applyProtection="1">
      <alignment horizontal="left" vertical="center"/>
      <protection locked="0"/>
    </xf>
    <xf numFmtId="0" fontId="40" fillId="7" borderId="1" xfId="0" applyFont="1" applyFill="1" applyBorder="1" applyAlignment="1" applyProtection="1">
      <alignment horizontal="left" vertical="center"/>
      <protection hidden="1"/>
    </xf>
    <xf numFmtId="0" fontId="40" fillId="7" borderId="1" xfId="0" applyFont="1" applyFill="1" applyBorder="1" applyAlignment="1" applyProtection="1">
      <alignment horizontal="left" vertical="center" wrapText="1"/>
      <protection hidden="1"/>
    </xf>
    <xf numFmtId="0" fontId="5" fillId="0" borderId="0" xfId="0" applyFont="1" applyBorder="1" applyAlignment="1" applyProtection="1">
      <alignment horizontal="center" vertical="center"/>
      <protection locked="0"/>
    </xf>
    <xf numFmtId="0" fontId="40" fillId="26" borderId="91" xfId="0" applyFont="1" applyFill="1" applyBorder="1" applyAlignment="1" applyProtection="1">
      <alignment horizontal="left" vertical="center"/>
      <protection locked="0"/>
    </xf>
    <xf numFmtId="0" fontId="40" fillId="26" borderId="20" xfId="0" applyFont="1" applyFill="1" applyBorder="1" applyAlignment="1" applyProtection="1">
      <alignment horizontal="left" vertical="center"/>
      <protection locked="0"/>
    </xf>
    <xf numFmtId="0" fontId="40" fillId="26" borderId="92" xfId="0" applyFont="1" applyFill="1" applyBorder="1" applyAlignment="1" applyProtection="1">
      <alignment horizontal="left" vertical="center"/>
      <protection locked="0"/>
    </xf>
    <xf numFmtId="0" fontId="4" fillId="0" borderId="2" xfId="0" applyFont="1" applyFill="1" applyBorder="1" applyAlignment="1" applyProtection="1">
      <alignment horizontal="left" vertical="center"/>
      <protection locked="0"/>
    </xf>
    <xf numFmtId="0" fontId="4" fillId="0" borderId="3" xfId="0" applyFont="1" applyFill="1" applyBorder="1" applyAlignment="1" applyProtection="1">
      <alignment horizontal="left" vertical="center"/>
      <protection locked="0"/>
    </xf>
    <xf numFmtId="0" fontId="4" fillId="0" borderId="4" xfId="0" applyFont="1" applyFill="1" applyBorder="1" applyAlignment="1" applyProtection="1">
      <alignment horizontal="left" vertical="center"/>
      <protection locked="0"/>
    </xf>
    <xf numFmtId="0" fontId="12" fillId="3" borderId="15" xfId="0" applyFont="1" applyFill="1" applyBorder="1" applyAlignment="1" applyProtection="1">
      <alignment horizontal="center" vertical="center" wrapText="1"/>
      <protection locked="0"/>
    </xf>
    <xf numFmtId="0" fontId="12" fillId="3" borderId="14" xfId="0" applyFont="1" applyFill="1" applyBorder="1" applyAlignment="1" applyProtection="1">
      <alignment horizontal="center" vertical="center" wrapText="1"/>
      <protection locked="0"/>
    </xf>
    <xf numFmtId="0" fontId="40" fillId="7" borderId="2" xfId="0" applyFont="1" applyFill="1" applyBorder="1" applyAlignment="1" applyProtection="1">
      <alignment horizontal="center" vertical="center"/>
      <protection hidden="1"/>
    </xf>
    <xf numFmtId="0" fontId="40" fillId="7" borderId="3" xfId="0" applyFont="1" applyFill="1" applyBorder="1" applyAlignment="1" applyProtection="1">
      <alignment horizontal="center" vertical="center"/>
      <protection hidden="1"/>
    </xf>
    <xf numFmtId="0" fontId="40" fillId="7" borderId="4" xfId="0" applyFont="1" applyFill="1" applyBorder="1" applyAlignment="1" applyProtection="1">
      <alignment horizontal="center" vertical="center"/>
      <protection hidden="1"/>
    </xf>
    <xf numFmtId="0" fontId="40" fillId="7" borderId="1" xfId="0" applyFont="1" applyFill="1" applyBorder="1" applyAlignment="1" applyProtection="1">
      <alignment horizontal="center" vertical="center"/>
      <protection hidden="1"/>
    </xf>
    <xf numFmtId="9" fontId="129" fillId="26" borderId="2" xfId="1" applyFont="1" applyFill="1" applyBorder="1" applyAlignment="1" applyProtection="1">
      <alignment horizontal="center" vertical="center" wrapText="1"/>
      <protection locked="0"/>
    </xf>
    <xf numFmtId="9" fontId="129" fillId="26" borderId="4" xfId="1" applyFont="1" applyFill="1" applyBorder="1" applyAlignment="1" applyProtection="1">
      <alignment horizontal="center" vertical="center" wrapText="1"/>
      <protection locked="0"/>
    </xf>
    <xf numFmtId="0" fontId="40" fillId="7" borderId="1" xfId="0" applyFont="1" applyFill="1" applyBorder="1" applyAlignment="1" applyProtection="1">
      <alignment horizontal="center" vertical="center" wrapText="1"/>
      <protection hidden="1"/>
    </xf>
    <xf numFmtId="0" fontId="127" fillId="26" borderId="3"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127" fillId="26" borderId="1" xfId="0" applyFont="1" applyFill="1" applyBorder="1" applyAlignment="1" applyProtection="1">
      <protection locked="0"/>
    </xf>
    <xf numFmtId="0" fontId="127" fillId="26" borderId="2" xfId="0" applyFont="1" applyFill="1" applyBorder="1" applyAlignment="1" applyProtection="1">
      <protection locked="0"/>
    </xf>
    <xf numFmtId="0" fontId="127" fillId="26" borderId="3" xfId="0" applyFont="1" applyFill="1" applyBorder="1" applyAlignment="1" applyProtection="1">
      <protection locked="0"/>
    </xf>
    <xf numFmtId="0" fontId="127" fillId="26" borderId="4" xfId="0" applyFont="1" applyFill="1" applyBorder="1" applyAlignment="1" applyProtection="1">
      <protection locked="0"/>
    </xf>
    <xf numFmtId="0" fontId="128" fillId="26" borderId="2" xfId="0" quotePrefix="1" applyFont="1" applyFill="1" applyBorder="1" applyAlignment="1" applyProtection="1">
      <alignment vertical="center"/>
      <protection locked="0"/>
    </xf>
    <xf numFmtId="0" fontId="128" fillId="26" borderId="3" xfId="0" quotePrefix="1" applyFont="1" applyFill="1" applyBorder="1" applyAlignment="1" applyProtection="1">
      <alignment vertical="center"/>
      <protection locked="0"/>
    </xf>
    <xf numFmtId="0" fontId="128" fillId="26" borderId="4" xfId="0" quotePrefix="1" applyFont="1" applyFill="1" applyBorder="1" applyAlignment="1" applyProtection="1">
      <alignment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17" fillId="3" borderId="2" xfId="0" applyFont="1" applyFill="1" applyBorder="1" applyAlignment="1" applyProtection="1">
      <alignment vertical="center" wrapText="1"/>
      <protection locked="0"/>
    </xf>
    <xf numFmtId="0" fontId="17" fillId="3" borderId="4" xfId="0" applyFont="1" applyFill="1" applyBorder="1" applyAlignment="1" applyProtection="1">
      <alignment vertical="center" wrapText="1"/>
      <protection locked="0"/>
    </xf>
    <xf numFmtId="0" fontId="129" fillId="26" borderId="1"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12" fillId="0" borderId="11" xfId="0" applyFont="1" applyFill="1" applyBorder="1" applyAlignment="1" applyProtection="1">
      <alignment horizontal="center" vertical="center" wrapText="1"/>
      <protection locked="0"/>
    </xf>
    <xf numFmtId="0" fontId="17" fillId="0" borderId="0" xfId="0" applyFont="1" applyFill="1" applyBorder="1" applyAlignment="1" applyProtection="1">
      <alignment horizontal="center" vertical="top" wrapText="1"/>
      <protection locked="0"/>
    </xf>
    <xf numFmtId="0" fontId="129" fillId="26" borderId="2" xfId="0" applyFont="1" applyFill="1" applyBorder="1" applyAlignment="1" applyProtection="1">
      <alignment horizontal="left" vertical="center" wrapText="1"/>
      <protection locked="0"/>
    </xf>
    <xf numFmtId="0" fontId="129" fillId="26" borderId="3" xfId="0" applyFont="1" applyFill="1" applyBorder="1" applyAlignment="1" applyProtection="1">
      <alignment horizontal="left" vertical="center" wrapText="1"/>
      <protection locked="0"/>
    </xf>
    <xf numFmtId="0" fontId="129" fillId="26" borderId="4"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center" vertical="center" wrapText="1"/>
      <protection locked="0"/>
    </xf>
    <xf numFmtId="0" fontId="12" fillId="2" borderId="9" xfId="0" applyFont="1" applyFill="1" applyBorder="1" applyAlignment="1" applyProtection="1">
      <alignment horizontal="center" vertical="center" wrapText="1"/>
      <protection locked="0"/>
    </xf>
    <xf numFmtId="0" fontId="12" fillId="2" borderId="7" xfId="0" applyFont="1" applyFill="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protection locked="0"/>
    </xf>
    <xf numFmtId="0" fontId="129" fillId="26" borderId="1" xfId="0" applyFont="1" applyFill="1" applyBorder="1" applyAlignment="1" applyProtection="1">
      <alignment horizontal="left" vertical="center" wrapText="1"/>
      <protection locked="0"/>
    </xf>
    <xf numFmtId="0" fontId="17" fillId="3" borderId="2" xfId="0" applyFont="1" applyFill="1" applyBorder="1" applyAlignment="1" applyProtection="1">
      <alignment horizontal="left" vertical="center" wrapText="1"/>
      <protection locked="0"/>
    </xf>
    <xf numFmtId="0" fontId="17" fillId="3" borderId="3" xfId="0" applyFont="1" applyFill="1" applyBorder="1" applyAlignment="1" applyProtection="1">
      <alignment horizontal="left" vertical="center" wrapText="1"/>
      <protection locked="0"/>
    </xf>
    <xf numFmtId="0" fontId="17" fillId="3" borderId="4" xfId="0" applyFont="1" applyFill="1" applyBorder="1" applyAlignment="1" applyProtection="1">
      <alignment horizontal="left" vertical="center" wrapText="1"/>
      <protection locked="0"/>
    </xf>
    <xf numFmtId="0" fontId="17" fillId="3" borderId="1"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134" fillId="7" borderId="5" xfId="0" applyFont="1" applyFill="1" applyBorder="1" applyAlignment="1" applyProtection="1">
      <alignment horizontal="center" vertical="center" wrapText="1"/>
      <protection hidden="1"/>
    </xf>
    <xf numFmtId="0" fontId="134" fillId="7" borderId="9" xfId="0" applyFont="1" applyFill="1" applyBorder="1" applyAlignment="1" applyProtection="1">
      <alignment horizontal="center" vertical="center" wrapText="1"/>
      <protection hidden="1"/>
    </xf>
    <xf numFmtId="0" fontId="134" fillId="7" borderId="6" xfId="0" applyFont="1" applyFill="1" applyBorder="1" applyAlignment="1" applyProtection="1">
      <alignment horizontal="center" vertical="center" wrapText="1"/>
      <protection hidden="1"/>
    </xf>
    <xf numFmtId="0" fontId="8" fillId="7" borderId="10" xfId="0" applyFont="1" applyFill="1" applyBorder="1" applyAlignment="1" applyProtection="1">
      <alignment horizontal="center" vertical="center"/>
      <protection hidden="1"/>
    </xf>
    <xf numFmtId="0" fontId="8" fillId="7" borderId="0" xfId="0" applyFont="1" applyFill="1" applyBorder="1" applyAlignment="1" applyProtection="1">
      <alignment horizontal="center" vertical="center"/>
      <protection hidden="1"/>
    </xf>
    <xf numFmtId="0" fontId="8" fillId="7" borderId="7" xfId="0" applyFont="1" applyFill="1" applyBorder="1" applyAlignment="1" applyProtection="1">
      <alignment horizontal="center" vertical="center"/>
      <protection hidden="1"/>
    </xf>
    <xf numFmtId="0" fontId="8" fillId="7" borderId="12" xfId="0" applyFont="1" applyFill="1" applyBorder="1" applyAlignment="1" applyProtection="1">
      <alignment horizontal="center" vertical="center"/>
      <protection hidden="1"/>
    </xf>
    <xf numFmtId="0" fontId="8" fillId="7" borderId="8" xfId="0" applyFont="1" applyFill="1" applyBorder="1" applyAlignment="1" applyProtection="1">
      <alignment horizontal="center" vertical="center"/>
      <protection hidden="1"/>
    </xf>
    <xf numFmtId="0" fontId="15" fillId="7" borderId="1" xfId="0" applyFont="1" applyFill="1" applyBorder="1" applyAlignment="1" applyProtection="1">
      <alignment horizontal="left"/>
      <protection hidden="1"/>
    </xf>
    <xf numFmtId="0" fontId="8" fillId="2" borderId="2" xfId="0" applyFont="1" applyFill="1" applyBorder="1" applyAlignment="1" applyProtection="1">
      <alignment horizontal="center" vertical="center"/>
      <protection locked="0"/>
    </xf>
    <xf numFmtId="0" fontId="8" fillId="2" borderId="3"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49" fillId="2" borderId="1" xfId="0" applyFont="1" applyFill="1" applyBorder="1" applyAlignment="1" applyProtection="1">
      <alignment horizontal="center" vertical="center" wrapText="1"/>
      <protection locked="0"/>
    </xf>
    <xf numFmtId="0" fontId="15" fillId="7" borderId="1" xfId="0" applyFont="1" applyFill="1" applyBorder="1" applyAlignment="1" applyProtection="1">
      <alignment horizontal="center" vertical="center" wrapText="1"/>
      <protection hidden="1"/>
    </xf>
    <xf numFmtId="0" fontId="15" fillId="7" borderId="2" xfId="0" applyFont="1" applyFill="1" applyBorder="1" applyAlignment="1" applyProtection="1">
      <alignment horizontal="center" vertical="center" wrapText="1"/>
      <protection hidden="1"/>
    </xf>
    <xf numFmtId="0" fontId="15" fillId="7" borderId="4" xfId="0" applyFont="1" applyFill="1" applyBorder="1" applyAlignment="1" applyProtection="1">
      <alignment horizontal="center" vertical="center" wrapText="1"/>
      <protection hidden="1"/>
    </xf>
    <xf numFmtId="0" fontId="15" fillId="7" borderId="1" xfId="0" applyFont="1" applyFill="1" applyBorder="1" applyAlignment="1" applyProtection="1">
      <alignment horizontal="center" vertical="center"/>
      <protection hidden="1"/>
    </xf>
    <xf numFmtId="0" fontId="8" fillId="3" borderId="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protection locked="0"/>
    </xf>
    <xf numFmtId="0" fontId="17" fillId="3" borderId="0" xfId="0" applyFont="1" applyFill="1" applyBorder="1" applyAlignment="1" applyProtection="1">
      <alignment horizontal="left" vertical="center" wrapText="1" indent="2"/>
      <protection locked="0"/>
    </xf>
    <xf numFmtId="0" fontId="17" fillId="3" borderId="11" xfId="0" applyFont="1" applyFill="1" applyBorder="1" applyAlignment="1" applyProtection="1">
      <alignment horizontal="left" vertical="center" wrapText="1" indent="2"/>
      <protection locked="0"/>
    </xf>
    <xf numFmtId="14" fontId="127" fillId="3" borderId="94" xfId="0" applyNumberFormat="1" applyFont="1" applyFill="1" applyBorder="1" applyAlignment="1" applyProtection="1">
      <alignment horizontal="center" vertical="center" wrapText="1"/>
      <protection locked="0"/>
    </xf>
    <xf numFmtId="0" fontId="127" fillId="26" borderId="2" xfId="0" applyFont="1" applyFill="1" applyBorder="1" applyAlignment="1" applyProtection="1">
      <alignment horizontal="left" vertical="center"/>
      <protection locked="0"/>
    </xf>
    <xf numFmtId="0" fontId="127" fillId="26" borderId="3" xfId="0" applyFont="1" applyFill="1" applyBorder="1" applyAlignment="1" applyProtection="1">
      <alignment horizontal="left" vertical="center"/>
      <protection locked="0"/>
    </xf>
    <xf numFmtId="0" fontId="127" fillId="26" borderId="4" xfId="0" applyFont="1" applyFill="1" applyBorder="1" applyAlignment="1" applyProtection="1">
      <alignment horizontal="left" vertical="center"/>
      <protection locked="0"/>
    </xf>
    <xf numFmtId="168" fontId="125" fillId="6" borderId="1" xfId="2" applyNumberFormat="1" applyFont="1" applyFill="1" applyBorder="1" applyAlignment="1" applyProtection="1">
      <alignment horizontal="center" vertical="center" wrapText="1"/>
      <protection hidden="1"/>
    </xf>
    <xf numFmtId="0" fontId="17" fillId="7" borderId="2" xfId="0" applyFont="1" applyFill="1" applyBorder="1" applyAlignment="1" applyProtection="1">
      <alignment horizontal="left" vertical="center" wrapText="1"/>
      <protection hidden="1"/>
    </xf>
    <xf numFmtId="0" fontId="17" fillId="7" borderId="4" xfId="0" applyFont="1" applyFill="1" applyBorder="1" applyAlignment="1" applyProtection="1">
      <alignment horizontal="left" vertical="center" wrapText="1"/>
      <protection hidden="1"/>
    </xf>
    <xf numFmtId="0" fontId="17" fillId="26" borderId="2" xfId="0" applyFont="1" applyFill="1" applyBorder="1" applyAlignment="1" applyProtection="1">
      <alignment horizontal="left" vertical="center" wrapText="1"/>
      <protection locked="0"/>
    </xf>
    <xf numFmtId="0" fontId="17" fillId="26" borderId="4" xfId="0" applyFont="1" applyFill="1" applyBorder="1" applyAlignment="1" applyProtection="1">
      <alignment horizontal="left" vertical="center" wrapText="1"/>
      <protection locked="0"/>
    </xf>
    <xf numFmtId="3" fontId="127" fillId="7" borderId="110" xfId="2" applyNumberFormat="1" applyFont="1" applyFill="1" applyBorder="1" applyAlignment="1" applyProtection="1">
      <alignment horizontal="center" vertical="center" wrapText="1"/>
      <protection locked="0"/>
    </xf>
    <xf numFmtId="3" fontId="127" fillId="7" borderId="111" xfId="2" applyNumberFormat="1" applyFont="1" applyFill="1" applyBorder="1" applyAlignment="1" applyProtection="1">
      <alignment horizontal="center" vertical="center" wrapText="1"/>
      <protection locked="0"/>
    </xf>
    <xf numFmtId="3" fontId="127" fillId="7" borderId="112" xfId="2" applyNumberFormat="1" applyFont="1" applyFill="1" applyBorder="1" applyAlignment="1" applyProtection="1">
      <alignment horizontal="center" vertical="center" wrapText="1"/>
      <protection locked="0"/>
    </xf>
    <xf numFmtId="164" fontId="17" fillId="7" borderId="17" xfId="0" applyNumberFormat="1" applyFont="1" applyFill="1" applyBorder="1" applyAlignment="1" applyProtection="1">
      <alignment vertical="center" wrapText="1"/>
      <protection hidden="1"/>
    </xf>
    <xf numFmtId="0" fontId="17" fillId="7" borderId="17" xfId="0" applyFont="1" applyFill="1" applyBorder="1" applyAlignment="1" applyProtection="1">
      <alignment vertical="center" wrapText="1"/>
      <protection hidden="1"/>
    </xf>
    <xf numFmtId="3" fontId="127" fillId="3" borderId="93" xfId="1" applyNumberFormat="1" applyFont="1" applyFill="1" applyBorder="1" applyAlignment="1" applyProtection="1">
      <alignment horizontal="center" vertical="center" wrapText="1"/>
      <protection locked="0"/>
    </xf>
    <xf numFmtId="3" fontId="17" fillId="7" borderId="94" xfId="6" applyNumberFormat="1" applyFont="1" applyFill="1" applyBorder="1" applyAlignment="1" applyProtection="1">
      <alignment horizontal="center" vertical="center" wrapText="1"/>
      <protection hidden="1"/>
    </xf>
    <xf numFmtId="0" fontId="133" fillId="7" borderId="14" xfId="0" applyFont="1" applyFill="1" applyBorder="1" applyAlignment="1" applyProtection="1">
      <alignment horizontal="center" vertical="center" wrapText="1"/>
      <protection hidden="1"/>
    </xf>
    <xf numFmtId="0" fontId="133" fillId="7" borderId="1" xfId="0" applyFont="1" applyFill="1" applyBorder="1" applyAlignment="1" applyProtection="1">
      <alignment horizontal="center" vertical="center" wrapText="1"/>
      <protection hidden="1"/>
    </xf>
    <xf numFmtId="0" fontId="12" fillId="7" borderId="14" xfId="0" applyFont="1" applyFill="1" applyBorder="1" applyAlignment="1" applyProtection="1">
      <alignment horizontal="center" vertical="center" wrapText="1"/>
      <protection hidden="1"/>
    </xf>
    <xf numFmtId="0" fontId="133" fillId="7" borderId="15" xfId="0" applyFont="1" applyFill="1" applyBorder="1" applyAlignment="1" applyProtection="1">
      <alignment horizontal="center" vertical="center" wrapText="1"/>
      <protection hidden="1"/>
    </xf>
    <xf numFmtId="164" fontId="17" fillId="7" borderId="113" xfId="0" applyNumberFormat="1" applyFont="1" applyFill="1" applyBorder="1" applyAlignment="1" applyProtection="1">
      <alignment vertical="center" wrapText="1"/>
      <protection hidden="1"/>
    </xf>
    <xf numFmtId="0" fontId="17" fillId="7" borderId="31" xfId="0" applyFont="1" applyFill="1" applyBorder="1" applyAlignment="1" applyProtection="1">
      <alignment vertical="center" wrapText="1"/>
      <protection hidden="1"/>
    </xf>
    <xf numFmtId="0" fontId="17" fillId="7" borderId="32" xfId="0" applyFont="1" applyFill="1" applyBorder="1" applyAlignment="1" applyProtection="1">
      <alignment vertical="center" wrapText="1"/>
      <protection hidden="1"/>
    </xf>
    <xf numFmtId="164" fontId="17" fillId="7" borderId="14" xfId="0" applyNumberFormat="1" applyFont="1" applyFill="1" applyBorder="1" applyAlignment="1" applyProtection="1">
      <alignment vertical="center" wrapText="1"/>
      <protection hidden="1"/>
    </xf>
    <xf numFmtId="0" fontId="17" fillId="7" borderId="14" xfId="0" applyFont="1" applyFill="1" applyBorder="1" applyAlignment="1" applyProtection="1">
      <alignment vertical="center" wrapText="1"/>
      <protection hidden="1"/>
    </xf>
    <xf numFmtId="0" fontId="17" fillId="26" borderId="2" xfId="0" applyFont="1" applyFill="1" applyBorder="1" applyAlignment="1" applyProtection="1">
      <alignment vertical="center" wrapText="1"/>
      <protection locked="0"/>
    </xf>
    <xf numFmtId="0" fontId="17" fillId="26" borderId="3" xfId="0" applyFont="1" applyFill="1" applyBorder="1" applyAlignment="1" applyProtection="1">
      <alignment vertical="center" wrapText="1"/>
      <protection locked="0"/>
    </xf>
    <xf numFmtId="0" fontId="17" fillId="26" borderId="4" xfId="0" applyFont="1" applyFill="1" applyBorder="1" applyAlignment="1" applyProtection="1">
      <alignment vertical="center" wrapText="1"/>
      <protection locked="0"/>
    </xf>
    <xf numFmtId="14" fontId="127" fillId="26" borderId="1" xfId="0" applyNumberFormat="1" applyFont="1" applyFill="1" applyBorder="1" applyAlignment="1" applyProtection="1">
      <alignment horizontal="center" vertical="center" wrapText="1"/>
      <protection locked="0"/>
    </xf>
    <xf numFmtId="0" fontId="76" fillId="3" borderId="2" xfId="0" applyFont="1" applyFill="1" applyBorder="1" applyAlignment="1" applyProtection="1">
      <alignment horizontal="center" vertical="center"/>
      <protection locked="0"/>
    </xf>
    <xf numFmtId="0" fontId="76" fillId="3" borderId="3" xfId="0" applyFont="1" applyFill="1" applyBorder="1" applyAlignment="1" applyProtection="1">
      <alignment horizontal="center" vertical="center"/>
      <protection locked="0"/>
    </xf>
    <xf numFmtId="0" fontId="76" fillId="3" borderId="4" xfId="0" applyFont="1" applyFill="1" applyBorder="1" applyAlignment="1" applyProtection="1">
      <alignment horizontal="center" vertical="center"/>
      <protection locked="0"/>
    </xf>
    <xf numFmtId="0" fontId="17" fillId="7" borderId="2" xfId="0" applyFont="1" applyFill="1" applyBorder="1" applyAlignment="1" applyProtection="1">
      <alignment vertical="center" wrapText="1"/>
      <protection hidden="1"/>
    </xf>
    <xf numFmtId="0" fontId="17" fillId="7" borderId="3" xfId="0" applyFont="1" applyFill="1" applyBorder="1" applyAlignment="1" applyProtection="1">
      <alignment vertical="center" wrapText="1"/>
      <protection hidden="1"/>
    </xf>
    <xf numFmtId="0" fontId="17" fillId="7" borderId="4" xfId="0" applyFont="1" applyFill="1" applyBorder="1" applyAlignment="1" applyProtection="1">
      <alignment vertical="center" wrapText="1"/>
      <protection hidden="1"/>
    </xf>
    <xf numFmtId="0" fontId="4" fillId="3" borderId="1" xfId="0" applyFont="1" applyFill="1" applyBorder="1" applyAlignment="1" applyProtection="1">
      <alignment horizontal="center" vertical="center"/>
      <protection locked="0"/>
    </xf>
    <xf numFmtId="0" fontId="133" fillId="7" borderId="17" xfId="0" applyFont="1" applyFill="1" applyBorder="1" applyAlignment="1" applyProtection="1">
      <alignment horizontal="center" vertical="center" wrapText="1"/>
      <protection hidden="1"/>
    </xf>
    <xf numFmtId="0" fontId="133" fillId="7" borderId="106" xfId="0" applyFont="1" applyFill="1" applyBorder="1" applyAlignment="1" applyProtection="1">
      <alignment horizontal="center" vertical="center" wrapText="1"/>
      <protection hidden="1"/>
    </xf>
    <xf numFmtId="0" fontId="8" fillId="3" borderId="1" xfId="4" applyFont="1" applyFill="1" applyBorder="1" applyAlignment="1" applyProtection="1">
      <alignment horizontal="center" vertical="center" wrapText="1"/>
      <protection locked="0"/>
    </xf>
    <xf numFmtId="0" fontId="76" fillId="3" borderId="1" xfId="0" applyFont="1" applyFill="1" applyBorder="1" applyAlignment="1" applyProtection="1">
      <alignment horizontal="center" vertical="center"/>
      <protection locked="0"/>
    </xf>
    <xf numFmtId="0" fontId="17" fillId="26" borderId="5" xfId="0" applyFont="1" applyFill="1" applyBorder="1" applyAlignment="1" applyProtection="1">
      <alignment vertical="top" wrapText="1"/>
      <protection locked="0"/>
    </xf>
    <xf numFmtId="0" fontId="17" fillId="26" borderId="9" xfId="0" applyFont="1" applyFill="1" applyBorder="1" applyAlignment="1" applyProtection="1">
      <alignment vertical="top" wrapText="1"/>
      <protection locked="0"/>
    </xf>
    <xf numFmtId="0" fontId="17" fillId="26" borderId="6" xfId="0" applyFont="1" applyFill="1" applyBorder="1" applyAlignment="1" applyProtection="1">
      <alignment vertical="top" wrapText="1"/>
      <protection locked="0"/>
    </xf>
    <xf numFmtId="0" fontId="17" fillId="26" borderId="10" xfId="0" applyFont="1" applyFill="1" applyBorder="1" applyAlignment="1" applyProtection="1">
      <alignment vertical="top" wrapText="1"/>
      <protection locked="0"/>
    </xf>
    <xf numFmtId="0" fontId="17" fillId="26" borderId="0" xfId="0" applyFont="1" applyFill="1" applyBorder="1" applyAlignment="1" applyProtection="1">
      <alignment vertical="top" wrapText="1"/>
      <protection locked="0"/>
    </xf>
    <xf numFmtId="0" fontId="17" fillId="26" borderId="11" xfId="0" applyFont="1" applyFill="1" applyBorder="1" applyAlignment="1" applyProtection="1">
      <alignment vertical="top" wrapText="1"/>
      <protection locked="0"/>
    </xf>
    <xf numFmtId="0" fontId="17" fillId="26" borderId="7" xfId="0" applyFont="1" applyFill="1" applyBorder="1" applyAlignment="1" applyProtection="1">
      <alignment vertical="top" wrapText="1"/>
      <protection locked="0"/>
    </xf>
    <xf numFmtId="0" fontId="17" fillId="26" borderId="12" xfId="0" applyFont="1" applyFill="1" applyBorder="1" applyAlignment="1" applyProtection="1">
      <alignment vertical="top" wrapText="1"/>
      <protection locked="0"/>
    </xf>
    <xf numFmtId="0" fontId="17" fillId="26" borderId="8" xfId="0" applyFont="1" applyFill="1" applyBorder="1" applyAlignment="1" applyProtection="1">
      <alignment vertical="top" wrapText="1"/>
      <protection locked="0"/>
    </xf>
    <xf numFmtId="0" fontId="126" fillId="6" borderId="15" xfId="0" applyFont="1" applyFill="1" applyBorder="1" applyAlignment="1" applyProtection="1">
      <alignment horizontal="center" vertical="center" textRotation="90" wrapText="1"/>
      <protection hidden="1"/>
    </xf>
    <xf numFmtId="0" fontId="126" fillId="6" borderId="13" xfId="0" applyFont="1" applyFill="1" applyBorder="1" applyAlignment="1" applyProtection="1">
      <alignment horizontal="center" vertical="center" textRotation="90" wrapText="1"/>
      <protection hidden="1"/>
    </xf>
    <xf numFmtId="0" fontId="126" fillId="6" borderId="14" xfId="0" applyFont="1" applyFill="1" applyBorder="1" applyAlignment="1" applyProtection="1">
      <alignment horizontal="center" vertical="center" textRotation="90" wrapText="1"/>
      <protection hidden="1"/>
    </xf>
    <xf numFmtId="0" fontId="17" fillId="3" borderId="14" xfId="0" applyFont="1" applyFill="1" applyBorder="1" applyAlignment="1" applyProtection="1">
      <alignment vertical="center" wrapText="1"/>
      <protection locked="0"/>
    </xf>
    <xf numFmtId="0" fontId="17" fillId="3" borderId="15" xfId="0" applyFont="1" applyFill="1" applyBorder="1" applyAlignment="1" applyProtection="1">
      <alignment vertical="center" wrapText="1"/>
      <protection locked="0"/>
    </xf>
    <xf numFmtId="3" fontId="127" fillId="3" borderId="96" xfId="0" applyNumberFormat="1" applyFont="1" applyFill="1" applyBorder="1" applyAlignment="1" applyProtection="1">
      <alignment horizontal="center" vertical="center" wrapText="1"/>
      <protection locked="0"/>
    </xf>
    <xf numFmtId="3" fontId="127" fillId="3" borderId="47" xfId="0" applyNumberFormat="1" applyFont="1" applyFill="1" applyBorder="1" applyAlignment="1" applyProtection="1">
      <alignment horizontal="center" vertical="center" wrapText="1"/>
      <protection locked="0"/>
    </xf>
    <xf numFmtId="3" fontId="127" fillId="3" borderId="97" xfId="0" applyNumberFormat="1" applyFont="1" applyFill="1" applyBorder="1" applyAlignment="1" applyProtection="1">
      <alignment horizontal="center" vertical="center" wrapText="1"/>
      <protection locked="0"/>
    </xf>
    <xf numFmtId="3" fontId="127" fillId="3" borderId="98" xfId="0" applyNumberFormat="1" applyFont="1" applyFill="1" applyBorder="1" applyAlignment="1" applyProtection="1">
      <alignment horizontal="center" vertical="center" wrapText="1"/>
      <protection locked="0"/>
    </xf>
    <xf numFmtId="3" fontId="127" fillId="3" borderId="99" xfId="0" applyNumberFormat="1" applyFont="1" applyFill="1" applyBorder="1" applyAlignment="1" applyProtection="1">
      <alignment horizontal="center" vertical="center" wrapText="1"/>
      <protection locked="0"/>
    </xf>
    <xf numFmtId="3" fontId="127" fillId="3" borderId="100" xfId="0" applyNumberFormat="1" applyFont="1" applyFill="1" applyBorder="1" applyAlignment="1" applyProtection="1">
      <alignment horizontal="center" vertical="center" wrapText="1"/>
      <protection locked="0"/>
    </xf>
    <xf numFmtId="9" fontId="127" fillId="3" borderId="93" xfId="1" applyFont="1" applyFill="1" applyBorder="1" applyAlignment="1" applyProtection="1">
      <alignment horizontal="center" vertical="center" wrapText="1"/>
      <protection locked="0"/>
    </xf>
    <xf numFmtId="0" fontId="17" fillId="7" borderId="3" xfId="0" applyFont="1" applyFill="1" applyBorder="1" applyAlignment="1" applyProtection="1">
      <alignment horizontal="left" vertical="center" wrapText="1"/>
      <protection hidden="1"/>
    </xf>
    <xf numFmtId="0" fontId="12" fillId="0" borderId="1" xfId="0" applyFont="1" applyBorder="1" applyAlignment="1" applyProtection="1">
      <alignment vertical="center" wrapText="1"/>
      <protection locked="0"/>
    </xf>
    <xf numFmtId="0" fontId="8" fillId="6" borderId="2"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center" vertical="center" wrapText="1"/>
      <protection hidden="1"/>
    </xf>
    <xf numFmtId="0" fontId="8" fillId="6" borderId="4" xfId="0" applyFont="1" applyFill="1" applyBorder="1" applyAlignment="1" applyProtection="1">
      <alignment horizontal="center" vertical="center" wrapText="1"/>
      <protection hidden="1"/>
    </xf>
    <xf numFmtId="0" fontId="17" fillId="7" borderId="5" xfId="0" applyFont="1" applyFill="1" applyBorder="1" applyAlignment="1" applyProtection="1">
      <alignment vertical="center" wrapText="1"/>
      <protection hidden="1"/>
    </xf>
    <xf numFmtId="0" fontId="17" fillId="7" borderId="9" xfId="0" applyFont="1" applyFill="1" applyBorder="1" applyAlignment="1" applyProtection="1">
      <alignment vertical="center" wrapText="1"/>
      <protection hidden="1"/>
    </xf>
    <xf numFmtId="0" fontId="17" fillId="7" borderId="6" xfId="0" applyFont="1" applyFill="1" applyBorder="1" applyAlignment="1" applyProtection="1">
      <alignment vertical="center" wrapText="1"/>
      <protection hidden="1"/>
    </xf>
    <xf numFmtId="0" fontId="17" fillId="7" borderId="10" xfId="0" applyFont="1" applyFill="1" applyBorder="1" applyAlignment="1" applyProtection="1">
      <alignment vertical="center" wrapText="1"/>
      <protection hidden="1"/>
    </xf>
    <xf numFmtId="0" fontId="17" fillId="7" borderId="0" xfId="0" applyFont="1" applyFill="1" applyBorder="1" applyAlignment="1" applyProtection="1">
      <alignment vertical="center" wrapText="1"/>
      <protection hidden="1"/>
    </xf>
    <xf numFmtId="0" fontId="17" fillId="7" borderId="11" xfId="0" applyFont="1" applyFill="1" applyBorder="1" applyAlignment="1" applyProtection="1">
      <alignment vertical="center" wrapText="1"/>
      <protection hidden="1"/>
    </xf>
    <xf numFmtId="0" fontId="17" fillId="7" borderId="7" xfId="0" applyFont="1" applyFill="1" applyBorder="1" applyAlignment="1" applyProtection="1">
      <alignment vertical="center" wrapText="1"/>
      <protection hidden="1"/>
    </xf>
    <xf numFmtId="0" fontId="17" fillId="7" borderId="12" xfId="0" applyFont="1" applyFill="1" applyBorder="1" applyAlignment="1" applyProtection="1">
      <alignment vertical="center" wrapText="1"/>
      <protection hidden="1"/>
    </xf>
    <xf numFmtId="0" fontId="17" fillId="7" borderId="8" xfId="0" applyFont="1" applyFill="1" applyBorder="1" applyAlignment="1" applyProtection="1">
      <alignment vertical="center" wrapText="1"/>
      <protection hidden="1"/>
    </xf>
    <xf numFmtId="0" fontId="17" fillId="3" borderId="2" xfId="0" applyFont="1" applyFill="1" applyBorder="1" applyAlignment="1" applyProtection="1">
      <alignment horizontal="center" vertical="center" wrapText="1"/>
      <protection locked="0"/>
    </xf>
    <xf numFmtId="0" fontId="17" fillId="3" borderId="4"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wrapText="1"/>
      <protection hidden="1"/>
    </xf>
    <xf numFmtId="4" fontId="17" fillId="3" borderId="2" xfId="0" applyNumberFormat="1" applyFont="1" applyFill="1" applyBorder="1" applyAlignment="1" applyProtection="1">
      <alignment horizontal="center" vertical="center" wrapText="1"/>
      <protection locked="0"/>
    </xf>
    <xf numFmtId="4" fontId="17" fillId="3" borderId="4" xfId="0" applyNumberFormat="1"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7" fillId="26" borderId="5" xfId="0" applyFont="1" applyFill="1" applyBorder="1" applyAlignment="1" applyProtection="1">
      <alignment horizontal="left" vertical="center" wrapText="1"/>
      <protection locked="0"/>
    </xf>
    <xf numFmtId="0" fontId="17" fillId="26" borderId="9" xfId="0" applyFont="1" applyFill="1" applyBorder="1" applyAlignment="1" applyProtection="1">
      <alignment horizontal="left" vertical="center" wrapText="1"/>
      <protection locked="0"/>
    </xf>
    <xf numFmtId="0" fontId="17" fillId="26" borderId="6" xfId="0" applyFont="1" applyFill="1" applyBorder="1" applyAlignment="1" applyProtection="1">
      <alignment horizontal="left" vertical="center" wrapText="1"/>
      <protection locked="0"/>
    </xf>
    <xf numFmtId="0" fontId="17" fillId="26" borderId="7" xfId="0" applyFont="1" applyFill="1" applyBorder="1" applyAlignment="1" applyProtection="1">
      <alignment horizontal="left" vertical="center" wrapText="1"/>
      <protection locked="0"/>
    </xf>
    <xf numFmtId="0" fontId="17" fillId="26" borderId="12" xfId="0" applyFont="1" applyFill="1" applyBorder="1" applyAlignment="1" applyProtection="1">
      <alignment horizontal="left" vertical="center" wrapText="1"/>
      <protection locked="0"/>
    </xf>
    <xf numFmtId="0" fontId="17" fillId="26" borderId="8" xfId="0" applyFont="1" applyFill="1" applyBorder="1" applyAlignment="1" applyProtection="1">
      <alignment horizontal="left" vertical="center" wrapText="1"/>
      <protection locked="0"/>
    </xf>
    <xf numFmtId="0" fontId="17" fillId="3" borderId="3" xfId="0" applyFont="1" applyFill="1" applyBorder="1" applyAlignment="1" applyProtection="1">
      <alignment horizontal="center" vertical="center" wrapText="1"/>
      <protection locked="0"/>
    </xf>
    <xf numFmtId="0" fontId="17" fillId="26" borderId="9" xfId="0" applyFont="1" applyFill="1" applyBorder="1" applyAlignment="1" applyProtection="1">
      <alignment vertical="center"/>
      <protection locked="0"/>
    </xf>
    <xf numFmtId="0" fontId="17" fillId="26" borderId="6" xfId="0" applyFont="1" applyFill="1" applyBorder="1" applyAlignment="1" applyProtection="1">
      <alignment vertical="center"/>
      <protection locked="0"/>
    </xf>
    <xf numFmtId="0" fontId="17" fillId="26" borderId="10" xfId="0" applyFont="1" applyFill="1" applyBorder="1" applyAlignment="1" applyProtection="1">
      <alignment vertical="center"/>
      <protection locked="0"/>
    </xf>
    <xf numFmtId="0" fontId="17" fillId="26" borderId="0" xfId="0" applyFont="1" applyFill="1" applyBorder="1" applyAlignment="1" applyProtection="1">
      <alignment vertical="center"/>
      <protection locked="0"/>
    </xf>
    <xf numFmtId="0" fontId="17" fillId="26" borderId="11" xfId="0" applyFont="1" applyFill="1" applyBorder="1" applyAlignment="1" applyProtection="1">
      <alignment vertical="center"/>
      <protection locked="0"/>
    </xf>
    <xf numFmtId="0" fontId="17" fillId="26" borderId="7" xfId="0" applyFont="1" applyFill="1" applyBorder="1" applyAlignment="1" applyProtection="1">
      <alignment vertical="center"/>
      <protection locked="0"/>
    </xf>
    <xf numFmtId="0" fontId="17" fillId="26" borderId="12" xfId="0" applyFont="1" applyFill="1" applyBorder="1" applyAlignment="1" applyProtection="1">
      <alignment vertical="center"/>
      <protection locked="0"/>
    </xf>
    <xf numFmtId="0" fontId="17" fillId="26" borderId="8" xfId="0" applyFont="1" applyFill="1" applyBorder="1" applyAlignment="1" applyProtection="1">
      <alignment vertical="center"/>
      <protection locked="0"/>
    </xf>
    <xf numFmtId="0" fontId="43" fillId="26" borderId="0" xfId="0" applyFont="1" applyFill="1" applyBorder="1" applyAlignment="1" applyProtection="1">
      <alignment horizontal="center" vertical="center"/>
      <protection locked="0"/>
    </xf>
    <xf numFmtId="0" fontId="12" fillId="0" borderId="2"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43" fillId="3" borderId="12" xfId="0" applyFont="1" applyFill="1" applyBorder="1" applyAlignment="1" applyProtection="1">
      <alignment horizontal="center" vertical="center"/>
      <protection locked="0"/>
    </xf>
    <xf numFmtId="168" fontId="125" fillId="6" borderId="15" xfId="2" applyNumberFormat="1" applyFont="1" applyFill="1" applyBorder="1" applyAlignment="1" applyProtection="1">
      <alignment horizontal="center" vertical="center" wrapText="1"/>
      <protection hidden="1"/>
    </xf>
    <xf numFmtId="168" fontId="125" fillId="6" borderId="13" xfId="2" applyNumberFormat="1" applyFont="1" applyFill="1" applyBorder="1" applyAlignment="1" applyProtection="1">
      <alignment horizontal="center" vertical="center" wrapText="1"/>
      <protection hidden="1"/>
    </xf>
    <xf numFmtId="168" fontId="125" fillId="6" borderId="14" xfId="2" applyNumberFormat="1" applyFont="1" applyFill="1" applyBorder="1" applyAlignment="1" applyProtection="1">
      <alignment horizontal="center" vertical="center" wrapText="1"/>
      <protection hidden="1"/>
    </xf>
    <xf numFmtId="0" fontId="8" fillId="7" borderId="1" xfId="0" applyFont="1" applyFill="1" applyBorder="1" applyAlignment="1" applyProtection="1">
      <alignment horizontal="center" vertical="center"/>
      <protection hidden="1"/>
    </xf>
    <xf numFmtId="0" fontId="8" fillId="7" borderId="1" xfId="0" applyFont="1" applyFill="1" applyBorder="1" applyAlignment="1" applyProtection="1">
      <alignment horizontal="center" vertical="center" wrapText="1"/>
      <protection hidden="1"/>
    </xf>
    <xf numFmtId="3" fontId="17" fillId="26" borderId="2" xfId="6" applyNumberFormat="1" applyFont="1" applyFill="1" applyBorder="1" applyAlignment="1" applyProtection="1">
      <alignment horizontal="left" vertical="center" wrapText="1" indent="2"/>
      <protection locked="0"/>
    </xf>
    <xf numFmtId="3" fontId="17" fillId="26" borderId="3" xfId="6" applyNumberFormat="1" applyFont="1" applyFill="1" applyBorder="1" applyAlignment="1" applyProtection="1">
      <alignment horizontal="left" vertical="center" wrapText="1" indent="2"/>
      <protection locked="0"/>
    </xf>
    <xf numFmtId="3" fontId="17" fillId="26" borderId="4" xfId="6" applyNumberFormat="1" applyFont="1" applyFill="1" applyBorder="1" applyAlignment="1" applyProtection="1">
      <alignment horizontal="left" vertical="center" wrapText="1" indent="2"/>
      <protection locked="0"/>
    </xf>
    <xf numFmtId="0" fontId="12" fillId="7" borderId="2" xfId="0" applyFont="1" applyFill="1" applyBorder="1" applyAlignment="1" applyProtection="1">
      <alignment horizontal="center" vertical="center" wrapText="1"/>
      <protection hidden="1"/>
    </xf>
    <xf numFmtId="0" fontId="12" fillId="7" borderId="3" xfId="0" applyFont="1" applyFill="1" applyBorder="1" applyAlignment="1" applyProtection="1">
      <alignment horizontal="center" vertical="center" wrapText="1"/>
      <protection hidden="1"/>
    </xf>
    <xf numFmtId="0" fontId="12" fillId="7" borderId="4" xfId="0" applyFont="1" applyFill="1" applyBorder="1" applyAlignment="1" applyProtection="1">
      <alignment horizontal="center" vertical="center" wrapText="1"/>
      <protection hidden="1"/>
    </xf>
    <xf numFmtId="164" fontId="124" fillId="6" borderId="2" xfId="6" applyNumberFormat="1" applyFont="1" applyFill="1" applyBorder="1" applyAlignment="1" applyProtection="1">
      <alignment horizontal="left" vertical="center" wrapText="1"/>
      <protection hidden="1"/>
    </xf>
    <xf numFmtId="164" fontId="124" fillId="6" borderId="3" xfId="6" applyNumberFormat="1" applyFont="1" applyFill="1" applyBorder="1" applyAlignment="1" applyProtection="1">
      <alignment horizontal="left" vertical="center" wrapText="1"/>
      <protection hidden="1"/>
    </xf>
    <xf numFmtId="164" fontId="124" fillId="6" borderId="4" xfId="6" applyNumberFormat="1" applyFont="1" applyFill="1" applyBorder="1" applyAlignment="1" applyProtection="1">
      <alignment horizontal="left" vertical="center" wrapText="1"/>
      <protection hidden="1"/>
    </xf>
    <xf numFmtId="0" fontId="17" fillId="26" borderId="9" xfId="0" applyFont="1" applyFill="1" applyBorder="1" applyAlignment="1" applyProtection="1">
      <alignment horizontal="left" vertical="center"/>
      <protection locked="0"/>
    </xf>
    <xf numFmtId="0" fontId="17" fillId="26" borderId="6" xfId="0" applyFont="1" applyFill="1" applyBorder="1" applyAlignment="1" applyProtection="1">
      <alignment horizontal="left" vertical="center"/>
      <protection locked="0"/>
    </xf>
    <xf numFmtId="0" fontId="17" fillId="26" borderId="10" xfId="0" applyFont="1" applyFill="1" applyBorder="1" applyAlignment="1" applyProtection="1">
      <alignment horizontal="left" vertical="center"/>
      <protection locked="0"/>
    </xf>
    <xf numFmtId="0" fontId="17" fillId="26" borderId="0" xfId="0" applyFont="1" applyFill="1" applyBorder="1" applyAlignment="1" applyProtection="1">
      <alignment horizontal="left" vertical="center"/>
      <protection locked="0"/>
    </xf>
    <xf numFmtId="0" fontId="17" fillId="26" borderId="11" xfId="0" applyFont="1" applyFill="1" applyBorder="1" applyAlignment="1" applyProtection="1">
      <alignment horizontal="left" vertical="center"/>
      <protection locked="0"/>
    </xf>
    <xf numFmtId="0" fontId="17" fillId="26" borderId="7" xfId="0" applyFont="1" applyFill="1" applyBorder="1" applyAlignment="1" applyProtection="1">
      <alignment horizontal="left" vertical="center"/>
      <protection locked="0"/>
    </xf>
    <xf numFmtId="0" fontId="17" fillId="26" borderId="12" xfId="0" applyFont="1" applyFill="1" applyBorder="1" applyAlignment="1" applyProtection="1">
      <alignment horizontal="left" vertical="center"/>
      <protection locked="0"/>
    </xf>
    <xf numFmtId="0" fontId="17" fillId="26" borderId="8" xfId="0" applyFont="1" applyFill="1" applyBorder="1" applyAlignment="1" applyProtection="1">
      <alignment horizontal="left" vertical="center"/>
      <protection locked="0"/>
    </xf>
    <xf numFmtId="0" fontId="12" fillId="0" borderId="15"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7" fillId="0" borderId="0" xfId="0" applyFont="1" applyFill="1" applyBorder="1" applyAlignment="1" applyProtection="1">
      <alignment vertical="top" wrapText="1"/>
      <protection locked="0"/>
    </xf>
    <xf numFmtId="0" fontId="43" fillId="26" borderId="12" xfId="0" applyFont="1" applyFill="1" applyBorder="1" applyAlignment="1" applyProtection="1">
      <alignment horizontal="center" vertical="center"/>
      <protection locked="0"/>
    </xf>
    <xf numFmtId="0" fontId="17" fillId="3" borderId="2" xfId="0" applyFont="1" applyFill="1" applyBorder="1" applyAlignment="1" applyProtection="1">
      <alignment horizontal="center" vertical="center"/>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0" fontId="43" fillId="26" borderId="9" xfId="0" applyFont="1" applyFill="1" applyBorder="1" applyAlignment="1" applyProtection="1">
      <alignment horizontal="center" vertical="center"/>
      <protection locked="0"/>
    </xf>
    <xf numFmtId="0" fontId="43" fillId="7" borderId="1" xfId="0" applyFont="1" applyFill="1" applyBorder="1" applyAlignment="1" applyProtection="1">
      <alignment horizontal="center" vertical="center"/>
      <protection hidden="1"/>
    </xf>
    <xf numFmtId="0" fontId="43" fillId="3" borderId="9" xfId="0" applyFont="1" applyFill="1" applyBorder="1" applyAlignment="1" applyProtection="1">
      <alignment horizontal="center" vertical="center"/>
      <protection locked="0"/>
    </xf>
    <xf numFmtId="0" fontId="43" fillId="3" borderId="0" xfId="0" applyFont="1" applyFill="1" applyBorder="1" applyAlignment="1" applyProtection="1">
      <alignment horizontal="center" vertical="center"/>
      <protection locked="0"/>
    </xf>
    <xf numFmtId="0" fontId="17" fillId="7" borderId="14" xfId="0" applyFont="1" applyFill="1" applyBorder="1" applyAlignment="1" applyProtection="1">
      <alignment horizontal="left" vertical="center" wrapText="1"/>
      <protection hidden="1"/>
    </xf>
    <xf numFmtId="0" fontId="17" fillId="26" borderId="10" xfId="0" applyFont="1" applyFill="1" applyBorder="1" applyAlignment="1" applyProtection="1">
      <alignment horizontal="left" vertical="center" wrapText="1"/>
      <protection locked="0"/>
    </xf>
    <xf numFmtId="0" fontId="17" fillId="26" borderId="0" xfId="0" applyFont="1" applyFill="1" applyBorder="1" applyAlignment="1" applyProtection="1">
      <alignment horizontal="left" vertical="center" wrapText="1"/>
      <protection locked="0"/>
    </xf>
    <xf numFmtId="0" fontId="17" fillId="26" borderId="11" xfId="0" applyFont="1" applyFill="1" applyBorder="1" applyAlignment="1" applyProtection="1">
      <alignment horizontal="left" vertical="center" wrapText="1"/>
      <protection locked="0"/>
    </xf>
    <xf numFmtId="0" fontId="133" fillId="7" borderId="114" xfId="0" applyFont="1" applyFill="1" applyBorder="1" applyAlignment="1" applyProtection="1">
      <alignment horizontal="center" vertical="center" wrapText="1"/>
      <protection hidden="1"/>
    </xf>
    <xf numFmtId="0" fontId="133" fillId="7" borderId="13" xfId="0" applyFont="1" applyFill="1" applyBorder="1" applyAlignment="1" applyProtection="1">
      <alignment horizontal="center" vertical="center" wrapText="1"/>
      <protection hidden="1"/>
    </xf>
    <xf numFmtId="0" fontId="133" fillId="7" borderId="115" xfId="0" applyFont="1" applyFill="1" applyBorder="1" applyAlignment="1" applyProtection="1">
      <alignment horizontal="center" vertical="center" wrapText="1"/>
      <protection hidden="1"/>
    </xf>
    <xf numFmtId="168" fontId="17" fillId="7" borderId="1" xfId="2" applyNumberFormat="1" applyFont="1" applyFill="1" applyBorder="1" applyAlignment="1" applyProtection="1">
      <alignment horizontal="center" vertical="center" wrapText="1"/>
      <protection hidden="1"/>
    </xf>
    <xf numFmtId="164" fontId="17" fillId="7" borderId="15" xfId="0" applyNumberFormat="1" applyFont="1" applyFill="1" applyBorder="1" applyAlignment="1" applyProtection="1">
      <alignment vertical="center" wrapText="1"/>
      <protection hidden="1"/>
    </xf>
    <xf numFmtId="0" fontId="17" fillId="7" borderId="15" xfId="0" applyFont="1" applyFill="1" applyBorder="1" applyAlignment="1" applyProtection="1">
      <alignment vertical="center" wrapText="1"/>
      <protection hidden="1"/>
    </xf>
    <xf numFmtId="14" fontId="127" fillId="3" borderId="95" xfId="0" applyNumberFormat="1" applyFont="1" applyFill="1" applyBorder="1" applyAlignment="1" applyProtection="1">
      <alignment horizontal="center" vertical="center" wrapText="1"/>
      <protection locked="0"/>
    </xf>
    <xf numFmtId="0" fontId="129" fillId="26" borderId="89" xfId="0" applyFont="1" applyFill="1" applyBorder="1" applyAlignment="1">
      <alignment horizontal="left" vertical="center"/>
    </xf>
    <xf numFmtId="0" fontId="129" fillId="26" borderId="35" xfId="0" applyFont="1" applyFill="1" applyBorder="1" applyAlignment="1">
      <alignment horizontal="left" vertical="center"/>
    </xf>
    <xf numFmtId="0" fontId="129" fillId="26" borderId="90" xfId="0" applyFont="1" applyFill="1" applyBorder="1" applyAlignment="1">
      <alignment horizontal="left" vertical="center"/>
    </xf>
    <xf numFmtId="0" fontId="129" fillId="26" borderId="91" xfId="0" applyFont="1" applyFill="1" applyBorder="1" applyAlignment="1">
      <alignment horizontal="left" vertical="center"/>
    </xf>
    <xf numFmtId="0" fontId="129" fillId="26" borderId="20" xfId="0" applyFont="1" applyFill="1" applyBorder="1" applyAlignment="1">
      <alignment horizontal="left" vertical="center"/>
    </xf>
    <xf numFmtId="0" fontId="129" fillId="26" borderId="92" xfId="0" applyFont="1" applyFill="1" applyBorder="1" applyAlignment="1">
      <alignment horizontal="left" vertical="center"/>
    </xf>
    <xf numFmtId="0" fontId="4" fillId="3" borderId="2"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0" fontId="4" fillId="3" borderId="4" xfId="0" applyFont="1" applyFill="1" applyBorder="1" applyAlignment="1" applyProtection="1">
      <alignment horizontal="left" vertical="center"/>
      <protection locked="0"/>
    </xf>
    <xf numFmtId="0" fontId="98" fillId="0" borderId="2" xfId="0" applyFont="1" applyBorder="1" applyAlignment="1">
      <alignment horizontal="center" vertical="center" wrapText="1"/>
    </xf>
    <xf numFmtId="0" fontId="98" fillId="0" borderId="4" xfId="0" applyFont="1" applyBorder="1" applyAlignment="1">
      <alignment horizontal="center" vertical="center" wrapText="1"/>
    </xf>
    <xf numFmtId="0" fontId="106" fillId="7" borderId="1" xfId="0" applyFont="1" applyFill="1" applyBorder="1" applyAlignment="1">
      <alignment horizontal="center" vertical="center" wrapText="1"/>
    </xf>
    <xf numFmtId="0" fontId="106" fillId="4" borderId="15" xfId="0" applyFont="1" applyFill="1" applyBorder="1" applyAlignment="1">
      <alignment horizontal="center" vertical="center"/>
    </xf>
    <xf numFmtId="0" fontId="106" fillId="4" borderId="13" xfId="0" applyFont="1" applyFill="1" applyBorder="1" applyAlignment="1">
      <alignment horizontal="center" vertical="center"/>
    </xf>
    <xf numFmtId="0" fontId="106" fillId="4" borderId="14" xfId="0" applyFont="1" applyFill="1" applyBorder="1" applyAlignment="1">
      <alignment horizontal="center" vertical="center"/>
    </xf>
    <xf numFmtId="0" fontId="98" fillId="0" borderId="15" xfId="0" applyFont="1" applyBorder="1" applyAlignment="1">
      <alignment horizontal="center" vertical="center"/>
    </xf>
    <xf numFmtId="0" fontId="98" fillId="0" borderId="13" xfId="0" applyFont="1" applyBorder="1" applyAlignment="1">
      <alignment horizontal="center" vertical="center"/>
    </xf>
    <xf numFmtId="0" fontId="98" fillId="0" borderId="14" xfId="0" applyFont="1" applyBorder="1" applyAlignment="1">
      <alignment horizontal="center" vertical="center"/>
    </xf>
    <xf numFmtId="0" fontId="106" fillId="4" borderId="1" xfId="0" applyFont="1" applyFill="1" applyBorder="1" applyAlignment="1">
      <alignment horizontal="center" vertical="center" wrapText="1"/>
    </xf>
    <xf numFmtId="0" fontId="98" fillId="0" borderId="0" xfId="0" applyFont="1" applyBorder="1" applyAlignment="1">
      <alignment horizontal="center" vertical="top" wrapText="1"/>
    </xf>
    <xf numFmtId="0" fontId="98" fillId="0" borderId="1" xfId="0" applyFont="1" applyFill="1" applyBorder="1" applyAlignment="1">
      <alignment horizontal="center" vertical="center"/>
    </xf>
    <xf numFmtId="0" fontId="110" fillId="3" borderId="1" xfId="0" applyFont="1" applyFill="1" applyBorder="1" applyAlignment="1">
      <alignment horizontal="center" vertical="center" wrapText="1"/>
    </xf>
    <xf numFmtId="0" fontId="110" fillId="0" borderId="1" xfId="0" applyFont="1" applyFill="1" applyBorder="1" applyAlignment="1">
      <alignment horizontal="center" vertical="center" wrapText="1"/>
    </xf>
    <xf numFmtId="0" fontId="108" fillId="0" borderId="1" xfId="0" applyFont="1" applyFill="1" applyBorder="1" applyAlignment="1">
      <alignment horizontal="left" vertical="center"/>
    </xf>
    <xf numFmtId="0" fontId="110" fillId="3" borderId="1" xfId="0" applyFont="1" applyFill="1" applyBorder="1" applyAlignment="1">
      <alignment horizontal="left" vertical="center" wrapText="1"/>
    </xf>
    <xf numFmtId="0" fontId="113" fillId="6" borderId="1" xfId="0" applyFont="1" applyFill="1" applyBorder="1" applyAlignment="1">
      <alignment horizontal="center" vertical="center" wrapText="1"/>
    </xf>
    <xf numFmtId="0" fontId="110" fillId="7" borderId="2" xfId="0" applyFont="1" applyFill="1" applyBorder="1" applyAlignment="1">
      <alignment horizontal="center" vertical="center" wrapText="1"/>
    </xf>
    <xf numFmtId="0" fontId="110" fillId="7" borderId="4" xfId="0" applyFont="1" applyFill="1" applyBorder="1" applyAlignment="1">
      <alignment horizontal="center" vertical="center" wrapText="1"/>
    </xf>
    <xf numFmtId="0" fontId="99" fillId="0" borderId="0" xfId="0" applyFont="1" applyFill="1" applyBorder="1" applyAlignment="1">
      <alignment horizontal="left" vertical="center"/>
    </xf>
    <xf numFmtId="0" fontId="45" fillId="7" borderId="1" xfId="0" applyFont="1" applyFill="1" applyBorder="1" applyAlignment="1">
      <alignment horizontal="center" vertical="center" wrapText="1"/>
    </xf>
    <xf numFmtId="0" fontId="110" fillId="7" borderId="1" xfId="0" applyFont="1" applyFill="1" applyBorder="1" applyAlignment="1">
      <alignment horizontal="center" vertical="center" wrapText="1"/>
    </xf>
    <xf numFmtId="0" fontId="44" fillId="7" borderId="1" xfId="0" applyFont="1" applyFill="1" applyBorder="1" applyAlignment="1">
      <alignment horizontal="center" vertical="center"/>
    </xf>
    <xf numFmtId="0" fontId="110" fillId="12" borderId="1" xfId="0" applyFont="1" applyFill="1" applyBorder="1" applyAlignment="1">
      <alignment horizontal="left" vertical="center" wrapText="1"/>
    </xf>
    <xf numFmtId="0" fontId="113" fillId="12" borderId="1" xfId="0" applyFont="1" applyFill="1" applyBorder="1" applyAlignment="1">
      <alignment horizontal="center" vertical="center" wrapText="1"/>
    </xf>
    <xf numFmtId="0" fontId="110" fillId="39" borderId="1" xfId="0" applyFont="1" applyFill="1" applyBorder="1" applyAlignment="1">
      <alignment horizontal="left" vertical="center" wrapText="1"/>
    </xf>
    <xf numFmtId="0" fontId="113" fillId="39" borderId="1" xfId="0" applyFont="1" applyFill="1" applyBorder="1" applyAlignment="1">
      <alignment horizontal="center" vertical="center" wrapText="1"/>
    </xf>
    <xf numFmtId="0" fontId="110" fillId="3" borderId="2" xfId="0" applyFont="1" applyFill="1" applyBorder="1" applyAlignment="1">
      <alignment horizontal="center" vertical="center" wrapText="1"/>
    </xf>
    <xf numFmtId="0" fontId="110" fillId="3" borderId="4" xfId="0" applyFont="1" applyFill="1" applyBorder="1" applyAlignment="1">
      <alignment horizontal="center" vertical="center" wrapText="1"/>
    </xf>
    <xf numFmtId="0" fontId="98" fillId="0" borderId="2" xfId="0" applyFont="1" applyBorder="1" applyAlignment="1">
      <alignment horizontal="center" vertical="center"/>
    </xf>
    <xf numFmtId="0" fontId="98" fillId="0" borderId="3" xfId="0" applyFont="1" applyBorder="1" applyAlignment="1">
      <alignment horizontal="center" vertical="center"/>
    </xf>
    <xf numFmtId="0" fontId="98" fillId="0" borderId="4" xfId="0" applyFont="1" applyBorder="1" applyAlignment="1">
      <alignment horizontal="center" vertical="center"/>
    </xf>
    <xf numFmtId="0" fontId="110" fillId="3" borderId="2" xfId="0" applyFont="1" applyFill="1" applyBorder="1" applyAlignment="1">
      <alignment horizontal="left" vertical="center" wrapText="1"/>
    </xf>
    <xf numFmtId="0" fontId="110" fillId="3" borderId="3" xfId="0" applyFont="1" applyFill="1" applyBorder="1" applyAlignment="1">
      <alignment horizontal="left" vertical="center" wrapText="1"/>
    </xf>
    <xf numFmtId="0" fontId="110" fillId="3" borderId="4" xfId="0" applyFont="1" applyFill="1" applyBorder="1" applyAlignment="1">
      <alignment horizontal="left" vertical="center" wrapText="1"/>
    </xf>
    <xf numFmtId="0" fontId="110" fillId="0" borderId="2" xfId="0" applyFont="1" applyFill="1" applyBorder="1" applyAlignment="1">
      <alignment horizontal="left" vertical="center" wrapText="1"/>
    </xf>
    <xf numFmtId="0" fontId="110" fillId="0" borderId="3" xfId="0" applyFont="1" applyFill="1" applyBorder="1" applyAlignment="1">
      <alignment horizontal="left" vertical="center" wrapText="1"/>
    </xf>
    <xf numFmtId="0" fontId="110" fillId="0" borderId="4" xfId="0" applyFont="1" applyFill="1" applyBorder="1" applyAlignment="1">
      <alignment horizontal="left" vertical="center" wrapText="1"/>
    </xf>
    <xf numFmtId="0" fontId="110" fillId="4" borderId="2" xfId="0" applyFont="1" applyFill="1" applyBorder="1" applyAlignment="1">
      <alignment horizontal="left" vertical="center" wrapText="1"/>
    </xf>
    <xf numFmtId="0" fontId="110" fillId="4" borderId="4" xfId="0" applyFont="1" applyFill="1" applyBorder="1" applyAlignment="1">
      <alignment horizontal="left" vertical="center" wrapText="1"/>
    </xf>
    <xf numFmtId="0" fontId="111" fillId="0" borderId="1" xfId="0" applyFont="1" applyBorder="1" applyAlignment="1">
      <alignment horizontal="left" wrapText="1"/>
    </xf>
    <xf numFmtId="0" fontId="110" fillId="4" borderId="3" xfId="0" applyFont="1" applyFill="1" applyBorder="1" applyAlignment="1">
      <alignment horizontal="left" vertical="center" wrapText="1"/>
    </xf>
    <xf numFmtId="0" fontId="111" fillId="0" borderId="2" xfId="0" applyFont="1" applyBorder="1" applyAlignment="1">
      <alignment horizontal="left" wrapText="1"/>
    </xf>
    <xf numFmtId="0" fontId="111" fillId="0" borderId="4" xfId="0" applyFont="1" applyBorder="1" applyAlignment="1">
      <alignment horizontal="left" wrapText="1"/>
    </xf>
    <xf numFmtId="0" fontId="109" fillId="11" borderId="2" xfId="0" applyFont="1" applyFill="1" applyBorder="1" applyAlignment="1">
      <alignment horizontal="center" vertical="center"/>
    </xf>
    <xf numFmtId="0" fontId="109" fillId="11" borderId="3" xfId="0" applyFont="1" applyFill="1" applyBorder="1" applyAlignment="1">
      <alignment horizontal="center" vertical="center"/>
    </xf>
    <xf numFmtId="0" fontId="109" fillId="11" borderId="4" xfId="0" applyFont="1" applyFill="1" applyBorder="1" applyAlignment="1">
      <alignment horizontal="center" vertical="center"/>
    </xf>
    <xf numFmtId="0" fontId="109" fillId="41" borderId="2" xfId="0" applyFont="1" applyFill="1" applyBorder="1" applyAlignment="1">
      <alignment horizontal="center" vertical="center"/>
    </xf>
    <xf numFmtId="0" fontId="109" fillId="41" borderId="3" xfId="0" applyFont="1" applyFill="1" applyBorder="1" applyAlignment="1">
      <alignment horizontal="center" vertical="center"/>
    </xf>
    <xf numFmtId="0" fontId="109" fillId="41" borderId="4" xfId="0" applyFont="1" applyFill="1" applyBorder="1" applyAlignment="1">
      <alignment horizontal="center" vertical="center"/>
    </xf>
    <xf numFmtId="0" fontId="109" fillId="40" borderId="2" xfId="0" applyFont="1" applyFill="1" applyBorder="1" applyAlignment="1">
      <alignment horizontal="center" vertical="center"/>
    </xf>
    <xf numFmtId="0" fontId="109" fillId="40" borderId="4" xfId="0" applyFont="1" applyFill="1" applyBorder="1" applyAlignment="1">
      <alignment horizontal="center" vertical="center"/>
    </xf>
    <xf numFmtId="0" fontId="109" fillId="30" borderId="15" xfId="0" applyFont="1" applyFill="1" applyBorder="1" applyAlignment="1">
      <alignment horizontal="center" vertical="center"/>
    </xf>
    <xf numFmtId="0" fontId="109" fillId="30" borderId="1" xfId="0" applyFont="1" applyFill="1" applyBorder="1" applyAlignment="1">
      <alignment horizontal="center" vertical="center"/>
    </xf>
    <xf numFmtId="0" fontId="106" fillId="0" borderId="1" xfId="0" applyFont="1" applyBorder="1" applyAlignment="1">
      <alignment horizontal="left" vertical="center" wrapText="1"/>
    </xf>
    <xf numFmtId="0" fontId="98" fillId="0" borderId="1" xfId="0" applyFont="1" applyBorder="1" applyAlignment="1">
      <alignment horizontal="center" vertical="center"/>
    </xf>
    <xf numFmtId="0" fontId="17" fillId="0" borderId="1" xfId="0" applyFont="1" applyFill="1" applyBorder="1" applyAlignment="1">
      <alignment horizontal="center" vertical="center"/>
    </xf>
    <xf numFmtId="0" fontId="105" fillId="0" borderId="2" xfId="0" applyFont="1" applyBorder="1" applyAlignment="1">
      <alignment horizontal="center" vertical="center"/>
    </xf>
    <xf numFmtId="0" fontId="105" fillId="0" borderId="4" xfId="0" applyFont="1" applyBorder="1" applyAlignment="1">
      <alignment horizontal="center" vertical="center"/>
    </xf>
    <xf numFmtId="0" fontId="106" fillId="0" borderId="2" xfId="0" applyFont="1" applyBorder="1" applyAlignment="1">
      <alignment horizontal="left" vertical="center"/>
    </xf>
    <xf numFmtId="0" fontId="106" fillId="0" borderId="4" xfId="0" applyFont="1" applyBorder="1" applyAlignment="1">
      <alignment horizontal="left" vertical="center"/>
    </xf>
    <xf numFmtId="0" fontId="67" fillId="3" borderId="2" xfId="0" applyFont="1" applyFill="1" applyBorder="1" applyAlignment="1">
      <alignment horizontal="center" vertical="center" wrapText="1"/>
    </xf>
    <xf numFmtId="0" fontId="67" fillId="3" borderId="4"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Border="1" applyAlignment="1">
      <alignment horizontal="center" vertical="center"/>
    </xf>
    <xf numFmtId="0" fontId="15" fillId="40" borderId="15" xfId="0" applyFont="1" applyFill="1" applyBorder="1" applyAlignment="1">
      <alignment horizontal="center" vertical="center" wrapText="1"/>
    </xf>
    <xf numFmtId="0" fontId="15" fillId="40" borderId="14" xfId="0" applyFont="1" applyFill="1" applyBorder="1" applyAlignment="1">
      <alignment horizontal="center" vertical="center" wrapText="1"/>
    </xf>
    <xf numFmtId="0" fontId="98" fillId="10" borderId="1"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5" fillId="14" borderId="1" xfId="0" applyFont="1" applyFill="1" applyBorder="1" applyAlignment="1">
      <alignment horizontal="center" vertical="center" wrapText="1"/>
    </xf>
    <xf numFmtId="0" fontId="98" fillId="4" borderId="5" xfId="0" applyFont="1" applyFill="1" applyBorder="1" applyAlignment="1">
      <alignment horizontal="center" vertical="center" wrapText="1"/>
    </xf>
    <xf numFmtId="0" fontId="98" fillId="4" borderId="9" xfId="0" applyFont="1" applyFill="1" applyBorder="1" applyAlignment="1">
      <alignment horizontal="center" vertical="center" wrapText="1"/>
    </xf>
    <xf numFmtId="0" fontId="98" fillId="4" borderId="6" xfId="0" applyFont="1" applyFill="1" applyBorder="1" applyAlignment="1">
      <alignment horizontal="center" vertical="center" wrapText="1"/>
    </xf>
    <xf numFmtId="0" fontId="98" fillId="4" borderId="7" xfId="0" applyFont="1" applyFill="1" applyBorder="1" applyAlignment="1">
      <alignment horizontal="center" vertical="center" wrapText="1"/>
    </xf>
    <xf numFmtId="0" fontId="98" fillId="4" borderId="12" xfId="0" applyFont="1" applyFill="1" applyBorder="1" applyAlignment="1">
      <alignment horizontal="center" vertical="center" wrapText="1"/>
    </xf>
    <xf numFmtId="0" fontId="98" fillId="4" borderId="8" xfId="0" applyFont="1" applyFill="1" applyBorder="1" applyAlignment="1">
      <alignment horizontal="center" vertical="center" wrapText="1"/>
    </xf>
    <xf numFmtId="0" fontId="98" fillId="4" borderId="15" xfId="0" applyFont="1" applyFill="1" applyBorder="1" applyAlignment="1">
      <alignment horizontal="center" vertical="center" wrapText="1"/>
    </xf>
    <xf numFmtId="0" fontId="98" fillId="4" borderId="1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39" borderId="15" xfId="0" applyFont="1" applyFill="1" applyBorder="1" applyAlignment="1">
      <alignment horizontal="center" vertical="center" wrapText="1"/>
    </xf>
    <xf numFmtId="0" fontId="15" fillId="39" borderId="14" xfId="0" applyFont="1" applyFill="1" applyBorder="1" applyAlignment="1">
      <alignment horizontal="center" vertical="center" wrapText="1"/>
    </xf>
    <xf numFmtId="0" fontId="15" fillId="14" borderId="15" xfId="0" applyFont="1" applyFill="1" applyBorder="1" applyAlignment="1">
      <alignment horizontal="center" vertical="center" wrapText="1"/>
    </xf>
    <xf numFmtId="0" fontId="15" fillId="14" borderId="14" xfId="0" applyFont="1" applyFill="1" applyBorder="1" applyAlignment="1">
      <alignment horizontal="center" vertical="center" wrapText="1"/>
    </xf>
    <xf numFmtId="0" fontId="106" fillId="30" borderId="1" xfId="0" applyFont="1" applyFill="1" applyBorder="1" applyAlignment="1">
      <alignment horizontal="center" vertical="center"/>
    </xf>
    <xf numFmtId="0" fontId="98" fillId="30" borderId="1" xfId="0" applyFont="1" applyFill="1" applyBorder="1" applyAlignment="1">
      <alignment horizontal="center" vertical="center" wrapText="1"/>
    </xf>
    <xf numFmtId="0" fontId="15" fillId="40" borderId="1" xfId="0" applyFont="1" applyFill="1" applyBorder="1" applyAlignment="1">
      <alignment horizontal="center" vertical="center" wrapText="1"/>
    </xf>
    <xf numFmtId="0" fontId="105" fillId="0" borderId="1" xfId="0" applyFont="1" applyBorder="1" applyAlignment="1">
      <alignment horizontal="center" vertical="center"/>
    </xf>
    <xf numFmtId="0" fontId="98" fillId="0" borderId="0" xfId="0" applyFont="1" applyFill="1" applyBorder="1" applyAlignment="1">
      <alignment horizontal="center" vertical="center"/>
    </xf>
    <xf numFmtId="0" fontId="108" fillId="0" borderId="1" xfId="0" applyFont="1" applyBorder="1" applyAlignment="1">
      <alignment horizontal="center" vertical="center"/>
    </xf>
    <xf numFmtId="0" fontId="45" fillId="3" borderId="2" xfId="0" applyFont="1" applyFill="1" applyBorder="1" applyAlignment="1">
      <alignment horizontal="left" vertical="center" wrapText="1"/>
    </xf>
    <xf numFmtId="0" fontId="45" fillId="3" borderId="4" xfId="0" applyFont="1" applyFill="1" applyBorder="1" applyAlignment="1">
      <alignment horizontal="left" vertical="center" wrapText="1"/>
    </xf>
    <xf numFmtId="0" fontId="109" fillId="0" borderId="1" xfId="0" applyFont="1" applyFill="1" applyBorder="1" applyAlignment="1">
      <alignment horizontal="center" vertical="center"/>
    </xf>
    <xf numFmtId="0" fontId="101" fillId="0" borderId="2" xfId="0" applyFont="1" applyBorder="1" applyAlignment="1">
      <alignment horizontal="center" vertical="center"/>
    </xf>
    <xf numFmtId="0" fontId="101" fillId="0" borderId="3" xfId="0" applyFont="1" applyBorder="1" applyAlignment="1">
      <alignment horizontal="center" vertical="center"/>
    </xf>
    <xf numFmtId="0" fontId="101" fillId="0" borderId="4" xfId="0" applyFont="1" applyBorder="1" applyAlignment="1">
      <alignment horizontal="center" vertical="center"/>
    </xf>
    <xf numFmtId="0" fontId="101" fillId="0" borderId="1" xfId="0" applyFont="1" applyBorder="1" applyAlignment="1">
      <alignment horizontal="center" vertical="center"/>
    </xf>
    <xf numFmtId="0" fontId="17" fillId="0" borderId="1" xfId="0" applyFont="1" applyBorder="1" applyAlignment="1">
      <alignment horizontal="center" vertical="center" wrapText="1"/>
    </xf>
    <xf numFmtId="0" fontId="98" fillId="0" borderId="0" xfId="0" applyFont="1" applyFill="1" applyBorder="1" applyAlignment="1">
      <alignment horizontal="center" vertical="center" wrapText="1"/>
    </xf>
    <xf numFmtId="0" fontId="15" fillId="0" borderId="1" xfId="0" applyFont="1" applyBorder="1" applyAlignment="1">
      <alignment horizontal="center" vertical="center" wrapText="1"/>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14" xfId="0" applyFont="1" applyFill="1" applyBorder="1" applyAlignment="1">
      <alignment horizontal="center" vertical="center" wrapText="1"/>
    </xf>
    <xf numFmtId="0" fontId="117" fillId="9" borderId="0" xfId="0" applyFont="1" applyFill="1" applyAlignment="1">
      <alignment horizontal="center" vertical="center" wrapText="1"/>
    </xf>
    <xf numFmtId="0" fontId="99" fillId="0" borderId="5" xfId="0" applyFont="1" applyBorder="1" applyAlignment="1">
      <alignment horizontal="center" vertical="center" wrapText="1"/>
    </xf>
    <xf numFmtId="0" fontId="99" fillId="0" borderId="9" xfId="0" applyFont="1" applyBorder="1" applyAlignment="1">
      <alignment horizontal="center" vertical="center" wrapText="1"/>
    </xf>
    <xf numFmtId="0" fontId="99" fillId="0" borderId="6"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7" xfId="0" applyFont="1" applyBorder="1" applyAlignment="1">
      <alignment horizontal="center" vertical="center" wrapText="1"/>
    </xf>
    <xf numFmtId="0" fontId="99" fillId="0" borderId="12" xfId="0" applyFont="1" applyBorder="1" applyAlignment="1">
      <alignment horizontal="center" vertical="center" wrapText="1"/>
    </xf>
    <xf numFmtId="0" fontId="99" fillId="0" borderId="8" xfId="0" applyFont="1" applyBorder="1" applyAlignment="1">
      <alignment horizontal="center" vertical="center" wrapText="1"/>
    </xf>
    <xf numFmtId="0" fontId="98" fillId="0" borderId="2" xfId="0" quotePrefix="1" applyFont="1" applyBorder="1" applyAlignment="1">
      <alignment horizontal="center" vertical="center"/>
    </xf>
    <xf numFmtId="0" fontId="98" fillId="0" borderId="4" xfId="0" quotePrefix="1" applyFont="1" applyBorder="1" applyAlignment="1">
      <alignment horizontal="center" vertical="center"/>
    </xf>
    <xf numFmtId="0" fontId="98" fillId="0" borderId="2" xfId="0" quotePrefix="1" applyFont="1" applyFill="1" applyBorder="1" applyAlignment="1">
      <alignment horizontal="center" vertical="center"/>
    </xf>
    <xf numFmtId="0" fontId="98" fillId="0" borderId="4" xfId="0" quotePrefix="1" applyFont="1" applyFill="1" applyBorder="1" applyAlignment="1">
      <alignment horizontal="center" vertical="center"/>
    </xf>
    <xf numFmtId="0" fontId="101" fillId="7" borderId="2" xfId="0" applyFont="1" applyFill="1" applyBorder="1" applyAlignment="1">
      <alignment horizontal="center" vertical="center"/>
    </xf>
    <xf numFmtId="0" fontId="101" fillId="7" borderId="4" xfId="0" applyFont="1" applyFill="1" applyBorder="1" applyAlignment="1">
      <alignment horizontal="center" vertical="center"/>
    </xf>
    <xf numFmtId="0" fontId="5" fillId="0" borderId="0" xfId="0" applyFont="1" applyAlignment="1">
      <alignment horizontal="left" vertical="center" wrapText="1"/>
    </xf>
    <xf numFmtId="9" fontId="89" fillId="24" borderId="66" xfId="0" applyNumberFormat="1" applyFont="1" applyFill="1" applyBorder="1" applyAlignment="1">
      <alignment horizontal="center"/>
    </xf>
    <xf numFmtId="9" fontId="89" fillId="24" borderId="67" xfId="0" applyNumberFormat="1" applyFont="1" applyFill="1" applyBorder="1" applyAlignment="1">
      <alignment horizontal="center"/>
    </xf>
    <xf numFmtId="9" fontId="89" fillId="24" borderId="82" xfId="0" applyNumberFormat="1" applyFont="1" applyFill="1" applyBorder="1" applyAlignment="1">
      <alignment horizontal="center"/>
    </xf>
    <xf numFmtId="0" fontId="96" fillId="0" borderId="70" xfId="0" applyFont="1" applyFill="1" applyBorder="1" applyAlignment="1">
      <alignment horizontal="center"/>
    </xf>
    <xf numFmtId="0" fontId="92" fillId="27" borderId="70" xfId="0" applyFont="1" applyFill="1" applyBorder="1" applyAlignment="1">
      <alignment horizontal="center" vertical="center" wrapText="1"/>
    </xf>
    <xf numFmtId="0" fontId="88" fillId="16" borderId="62" xfId="0" applyFont="1" applyFill="1" applyBorder="1" applyAlignment="1">
      <alignment horizontal="center" vertical="center"/>
    </xf>
    <xf numFmtId="0" fontId="88" fillId="15" borderId="70" xfId="0" applyFont="1" applyFill="1" applyBorder="1" applyAlignment="1">
      <alignment horizontal="center"/>
    </xf>
    <xf numFmtId="0" fontId="88" fillId="0" borderId="70" xfId="0" applyFont="1" applyBorder="1" applyAlignment="1">
      <alignment horizontal="center"/>
    </xf>
    <xf numFmtId="0" fontId="88" fillId="15" borderId="72" xfId="0" applyFont="1" applyFill="1" applyBorder="1" applyAlignment="1">
      <alignment horizontal="center"/>
    </xf>
    <xf numFmtId="0" fontId="92" fillId="27" borderId="71" xfId="0" applyFont="1" applyFill="1" applyBorder="1" applyAlignment="1">
      <alignment horizontal="center"/>
    </xf>
    <xf numFmtId="0" fontId="92" fillId="27" borderId="70" xfId="0" applyFont="1" applyFill="1" applyBorder="1" applyAlignment="1">
      <alignment horizontal="center"/>
    </xf>
    <xf numFmtId="0" fontId="92" fillId="27" borderId="72" xfId="0" applyFont="1" applyFill="1" applyBorder="1" applyAlignment="1">
      <alignment horizontal="center"/>
    </xf>
    <xf numFmtId="0" fontId="92" fillId="27" borderId="72" xfId="0" applyFont="1" applyFill="1" applyBorder="1" applyAlignment="1">
      <alignment horizontal="center" vertical="center" wrapText="1"/>
    </xf>
    <xf numFmtId="0" fontId="88" fillId="16" borderId="67" xfId="0" applyFont="1" applyFill="1" applyBorder="1" applyAlignment="1">
      <alignment horizontal="center" vertical="center"/>
    </xf>
    <xf numFmtId="0" fontId="95" fillId="36" borderId="76" xfId="0" applyFont="1" applyFill="1" applyBorder="1" applyAlignment="1">
      <alignment horizontal="center" vertical="center"/>
    </xf>
    <xf numFmtId="0" fontId="95" fillId="36" borderId="77" xfId="0" applyFont="1" applyFill="1" applyBorder="1" applyAlignment="1">
      <alignment horizontal="center" vertical="center"/>
    </xf>
    <xf numFmtId="0" fontId="115" fillId="16" borderId="66" xfId="0" applyFont="1" applyFill="1" applyBorder="1" applyAlignment="1">
      <alignment horizontal="center" vertical="center" wrapText="1"/>
    </xf>
    <xf numFmtId="0" fontId="115" fillId="16" borderId="82" xfId="0" applyFont="1" applyFill="1" applyBorder="1" applyAlignment="1">
      <alignment horizontal="center" vertical="center" wrapText="1"/>
    </xf>
    <xf numFmtId="0" fontId="115" fillId="16" borderId="67" xfId="0" applyFont="1" applyFill="1" applyBorder="1" applyAlignment="1">
      <alignment horizontal="center" vertical="center" wrapText="1"/>
    </xf>
    <xf numFmtId="0" fontId="95" fillId="36" borderId="69" xfId="0" applyFont="1" applyFill="1" applyBorder="1" applyAlignment="1">
      <alignment horizontal="center" vertical="center" wrapText="1"/>
    </xf>
    <xf numFmtId="0" fontId="88" fillId="16" borderId="75" xfId="0" applyFont="1" applyFill="1" applyBorder="1" applyAlignment="1">
      <alignment horizontal="center" vertical="center"/>
    </xf>
    <xf numFmtId="0" fontId="88" fillId="16" borderId="74" xfId="0" applyFont="1" applyFill="1" applyBorder="1" applyAlignment="1">
      <alignment horizontal="center" vertical="center"/>
    </xf>
    <xf numFmtId="0" fontId="95" fillId="36" borderId="83" xfId="0" applyFont="1" applyFill="1" applyBorder="1" applyAlignment="1">
      <alignment horizontal="center" vertical="center" wrapText="1"/>
    </xf>
    <xf numFmtId="0" fontId="95" fillId="36" borderId="84" xfId="0" applyFont="1" applyFill="1" applyBorder="1" applyAlignment="1">
      <alignment horizontal="center" vertical="center" wrapText="1"/>
    </xf>
    <xf numFmtId="0" fontId="95" fillId="36" borderId="85" xfId="0" applyFont="1" applyFill="1" applyBorder="1" applyAlignment="1">
      <alignment horizontal="center" vertical="center" wrapText="1"/>
    </xf>
    <xf numFmtId="9" fontId="89" fillId="16" borderId="62" xfId="0" applyNumberFormat="1" applyFont="1" applyFill="1" applyBorder="1" applyAlignment="1">
      <alignment horizontal="center"/>
    </xf>
    <xf numFmtId="0" fontId="89" fillId="16" borderId="62" xfId="0" applyFont="1" applyFill="1" applyBorder="1" applyAlignment="1">
      <alignment horizontal="center"/>
    </xf>
    <xf numFmtId="9" fontId="89" fillId="16" borderId="75" xfId="0" applyNumberFormat="1" applyFont="1" applyFill="1" applyBorder="1" applyAlignment="1">
      <alignment horizontal="center"/>
    </xf>
    <xf numFmtId="0" fontId="89" fillId="16" borderId="74" xfId="0" applyFont="1" applyFill="1" applyBorder="1" applyAlignment="1">
      <alignment horizontal="center"/>
    </xf>
    <xf numFmtId="9" fontId="89" fillId="16" borderId="74" xfId="0" applyNumberFormat="1" applyFont="1" applyFill="1" applyBorder="1" applyAlignment="1">
      <alignment horizontal="center"/>
    </xf>
    <xf numFmtId="0" fontId="90" fillId="16" borderId="63" xfId="23" applyFont="1" applyFill="1" applyBorder="1" applyAlignment="1">
      <alignment horizontal="center"/>
    </xf>
    <xf numFmtId="0" fontId="90" fillId="16" borderId="64" xfId="23" applyFont="1" applyFill="1" applyBorder="1" applyAlignment="1">
      <alignment horizontal="center"/>
    </xf>
    <xf numFmtId="0" fontId="90" fillId="16" borderId="65" xfId="23" applyFont="1" applyFill="1" applyBorder="1" applyAlignment="1">
      <alignment horizontal="center"/>
    </xf>
    <xf numFmtId="0" fontId="91" fillId="36" borderId="0" xfId="0" applyFont="1" applyFill="1" applyAlignment="1">
      <alignment horizontal="center" vertical="center"/>
    </xf>
    <xf numFmtId="0" fontId="91" fillId="36" borderId="69" xfId="0" applyFont="1" applyFill="1" applyBorder="1" applyAlignment="1">
      <alignment horizontal="center" vertical="center"/>
    </xf>
    <xf numFmtId="0" fontId="94" fillId="36" borderId="80" xfId="0" applyFont="1" applyFill="1" applyBorder="1" applyAlignment="1">
      <alignment horizontal="center" vertical="center"/>
    </xf>
    <xf numFmtId="0" fontId="94" fillId="36" borderId="81" xfId="0" applyFont="1" applyFill="1" applyBorder="1" applyAlignment="1">
      <alignment horizontal="center" vertical="center"/>
    </xf>
    <xf numFmtId="0" fontId="91" fillId="36" borderId="0" xfId="0" applyFont="1" applyFill="1" applyAlignment="1">
      <alignment horizontal="center"/>
    </xf>
    <xf numFmtId="0" fontId="90" fillId="16" borderId="66" xfId="23" applyFont="1" applyFill="1" applyBorder="1" applyAlignment="1">
      <alignment horizontal="center"/>
    </xf>
    <xf numFmtId="0" fontId="90" fillId="16" borderId="67" xfId="23" applyFont="1" applyFill="1" applyBorder="1" applyAlignment="1">
      <alignment horizontal="center"/>
    </xf>
    <xf numFmtId="0" fontId="91" fillId="36" borderId="78" xfId="0" applyFont="1" applyFill="1" applyBorder="1" applyAlignment="1">
      <alignment horizontal="center"/>
    </xf>
    <xf numFmtId="0" fontId="94" fillId="36" borderId="69" xfId="0" applyFont="1" applyFill="1" applyBorder="1" applyAlignment="1">
      <alignment horizontal="center" vertical="center" wrapText="1"/>
    </xf>
    <xf numFmtId="0" fontId="89" fillId="16" borderId="0" xfId="0" applyFont="1" applyFill="1" applyAlignment="1">
      <alignment horizontal="center"/>
    </xf>
    <xf numFmtId="0" fontId="91" fillId="36" borderId="87" xfId="0" applyFont="1" applyFill="1" applyBorder="1" applyAlignment="1">
      <alignment horizontal="center" vertical="center"/>
    </xf>
    <xf numFmtId="0" fontId="91" fillId="36" borderId="88" xfId="0" applyFont="1" applyFill="1" applyBorder="1" applyAlignment="1">
      <alignment horizontal="center" vertical="center"/>
    </xf>
    <xf numFmtId="0" fontId="94" fillId="36" borderId="78" xfId="0" applyFont="1" applyFill="1" applyBorder="1" applyAlignment="1">
      <alignment horizontal="center" wrapText="1"/>
    </xf>
    <xf numFmtId="0" fontId="94" fillId="36" borderId="79" xfId="0" applyFont="1" applyFill="1" applyBorder="1" applyAlignment="1">
      <alignment horizontal="center" wrapText="1"/>
    </xf>
    <xf numFmtId="0" fontId="91" fillId="36" borderId="69" xfId="0" applyFont="1" applyFill="1" applyBorder="1" applyAlignment="1">
      <alignment horizontal="center"/>
    </xf>
    <xf numFmtId="0" fontId="92" fillId="36" borderId="69" xfId="0" applyFont="1" applyFill="1" applyBorder="1" applyAlignment="1">
      <alignment horizontal="center" vertical="center"/>
    </xf>
    <xf numFmtId="0" fontId="92" fillId="36" borderId="69" xfId="0" applyFont="1" applyFill="1" applyBorder="1" applyAlignment="1">
      <alignment horizontal="center"/>
    </xf>
    <xf numFmtId="0" fontId="92" fillId="36" borderId="68" xfId="0" applyFont="1" applyFill="1" applyBorder="1" applyAlignment="1">
      <alignment horizontal="center" vertical="center"/>
    </xf>
    <xf numFmtId="0" fontId="92" fillId="36" borderId="68" xfId="0" applyFont="1" applyFill="1" applyBorder="1" applyAlignment="1">
      <alignment horizontal="center"/>
    </xf>
    <xf numFmtId="0" fontId="88" fillId="0" borderId="73"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0" xfId="0" applyFont="1" applyBorder="1" applyAlignment="1">
      <alignment horizontal="center" wrapText="1"/>
    </xf>
    <xf numFmtId="0" fontId="34" fillId="26" borderId="2" xfId="0" applyFont="1" applyFill="1" applyBorder="1" applyAlignment="1">
      <alignment horizontal="center" vertical="center" wrapText="1"/>
    </xf>
    <xf numFmtId="0" fontId="34" fillId="26" borderId="3" xfId="0" applyFont="1" applyFill="1" applyBorder="1" applyAlignment="1">
      <alignment horizontal="center" vertical="center" wrapText="1"/>
    </xf>
    <xf numFmtId="0" fontId="34" fillId="26" borderId="4" xfId="0" applyFont="1" applyFill="1" applyBorder="1" applyAlignment="1">
      <alignment horizontal="center" vertical="center" wrapText="1"/>
    </xf>
    <xf numFmtId="0" fontId="33" fillId="0" borderId="1" xfId="0" applyFont="1" applyBorder="1" applyAlignment="1">
      <alignment horizontal="center" vertical="center" wrapText="1"/>
    </xf>
    <xf numFmtId="0" fontId="17" fillId="0" borderId="9" xfId="0" applyFont="1" applyBorder="1" applyAlignment="1" applyProtection="1">
      <alignment vertical="center" wrapText="1"/>
      <protection locked="0"/>
    </xf>
    <xf numFmtId="0" fontId="17" fillId="0" borderId="6" xfId="0" applyFont="1" applyBorder="1" applyAlignment="1" applyProtection="1">
      <alignment vertical="center" wrapText="1"/>
      <protection locked="0"/>
    </xf>
    <xf numFmtId="0" fontId="17" fillId="0" borderId="0" xfId="0" applyFont="1" applyBorder="1" applyAlignment="1" applyProtection="1">
      <alignment vertical="center" wrapText="1"/>
      <protection locked="0"/>
    </xf>
    <xf numFmtId="0" fontId="17" fillId="0" borderId="11" xfId="0" applyFont="1" applyBorder="1" applyAlignment="1" applyProtection="1">
      <alignment vertical="center" wrapText="1"/>
      <protection locked="0"/>
    </xf>
    <xf numFmtId="0" fontId="15"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12" borderId="1" xfId="0" applyFont="1" applyFill="1" applyBorder="1" applyAlignment="1" applyProtection="1">
      <alignment vertical="center" wrapText="1"/>
      <protection locked="0"/>
    </xf>
    <xf numFmtId="0" fontId="8" fillId="13" borderId="1" xfId="0" applyFont="1" applyFill="1" applyBorder="1" applyAlignment="1" applyProtection="1">
      <alignment vertical="center" wrapText="1"/>
      <protection locked="0"/>
    </xf>
    <xf numFmtId="0" fontId="17" fillId="13" borderId="1" xfId="0" applyFont="1" applyFill="1" applyBorder="1" applyAlignment="1" applyProtection="1">
      <alignment horizontal="left" vertical="center" wrapText="1" indent="2"/>
      <protection locked="0"/>
    </xf>
    <xf numFmtId="0" fontId="4" fillId="12" borderId="13" xfId="0" applyFont="1" applyFill="1" applyBorder="1" applyAlignment="1" applyProtection="1">
      <alignment vertical="center" wrapText="1"/>
      <protection locked="0"/>
    </xf>
    <xf numFmtId="0" fontId="4" fillId="13" borderId="13" xfId="0" applyFont="1" applyFill="1" applyBorder="1" applyAlignment="1" applyProtection="1">
      <alignment vertical="center" wrapText="1"/>
      <protection locked="0"/>
    </xf>
    <xf numFmtId="0" fontId="4" fillId="12" borderId="13" xfId="0" applyFont="1" applyFill="1" applyBorder="1" applyAlignment="1" applyProtection="1">
      <alignment horizontal="center" vertical="center" wrapText="1"/>
      <protection locked="0"/>
    </xf>
    <xf numFmtId="0" fontId="4" fillId="13" borderId="13" xfId="0" applyFont="1" applyFill="1" applyBorder="1" applyAlignment="1" applyProtection="1">
      <alignment horizontal="center" vertical="center" wrapText="1"/>
      <protection locked="0"/>
    </xf>
    <xf numFmtId="0" fontId="4" fillId="8" borderId="13" xfId="0" applyFont="1" applyFill="1" applyBorder="1" applyAlignment="1" applyProtection="1">
      <alignment horizontal="center" vertical="center" wrapText="1"/>
      <protection locked="0"/>
    </xf>
    <xf numFmtId="183" fontId="4" fillId="12" borderId="13" xfId="0" applyNumberFormat="1" applyFont="1" applyFill="1" applyBorder="1" applyAlignment="1" applyProtection="1">
      <alignment vertical="center" wrapText="1"/>
      <protection locked="0"/>
    </xf>
    <xf numFmtId="0" fontId="17" fillId="0" borderId="0" xfId="0" applyFont="1" applyBorder="1" applyAlignment="1" applyProtection="1">
      <alignment vertical="top" wrapText="1"/>
      <protection locked="0"/>
    </xf>
    <xf numFmtId="0" fontId="17" fillId="0" borderId="2"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wrapText="1"/>
      <protection locked="0"/>
    </xf>
    <xf numFmtId="0" fontId="17" fillId="0" borderId="6"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4" fillId="12" borderId="1" xfId="0" applyFont="1" applyFill="1" applyBorder="1" applyAlignment="1" applyProtection="1">
      <alignment horizontal="center" vertical="center" wrapText="1"/>
      <protection locked="0"/>
    </xf>
    <xf numFmtId="0" fontId="4" fillId="12" borderId="1" xfId="0" applyFont="1" applyFill="1" applyBorder="1" applyAlignment="1" applyProtection="1">
      <alignment horizontal="center" vertical="center"/>
      <protection locked="0"/>
    </xf>
    <xf numFmtId="168" fontId="4" fillId="8" borderId="1" xfId="24" applyNumberFormat="1" applyFont="1" applyFill="1" applyBorder="1" applyAlignment="1" applyProtection="1">
      <alignment vertical="center" wrapText="1"/>
      <protection locked="0"/>
    </xf>
    <xf numFmtId="183" fontId="4" fillId="12" borderId="1" xfId="0" applyNumberFormat="1" applyFont="1" applyFill="1" applyBorder="1" applyAlignment="1" applyProtection="1">
      <alignment horizontal="center" vertical="center"/>
      <protection locked="0"/>
    </xf>
    <xf numFmtId="0" fontId="66" fillId="13" borderId="2" xfId="0" applyFont="1" applyFill="1" applyBorder="1" applyAlignment="1" applyProtection="1">
      <alignment horizontal="left" vertical="center" wrapText="1" indent="3"/>
      <protection locked="0"/>
    </xf>
    <xf numFmtId="0" fontId="66" fillId="13" borderId="3" xfId="0" applyFont="1" applyFill="1" applyBorder="1" applyAlignment="1" applyProtection="1">
      <alignment horizontal="left" vertical="center" wrapText="1" indent="3"/>
      <protection locked="0"/>
    </xf>
    <xf numFmtId="0" fontId="66" fillId="13" borderId="4" xfId="0" applyFont="1" applyFill="1" applyBorder="1" applyAlignment="1" applyProtection="1">
      <alignment horizontal="left" vertical="center" wrapText="1" indent="3"/>
      <protection locked="0"/>
    </xf>
    <xf numFmtId="0" fontId="17" fillId="13" borderId="2" xfId="0" applyFont="1" applyFill="1" applyBorder="1" applyAlignment="1" applyProtection="1">
      <alignment horizontal="left" vertical="center" wrapText="1" indent="2"/>
      <protection locked="0"/>
    </xf>
    <xf numFmtId="0" fontId="17" fillId="13" borderId="3" xfId="0" applyFont="1" applyFill="1" applyBorder="1" applyAlignment="1" applyProtection="1">
      <alignment horizontal="left" vertical="center" wrapText="1" indent="2"/>
      <protection locked="0"/>
    </xf>
    <xf numFmtId="0" fontId="17" fillId="13" borderId="4" xfId="0" applyFont="1" applyFill="1" applyBorder="1" applyAlignment="1" applyProtection="1">
      <alignment horizontal="left" vertical="center" wrapText="1" indent="2"/>
      <protection locked="0"/>
    </xf>
    <xf numFmtId="0" fontId="8" fillId="23" borderId="5" xfId="10" applyFont="1" applyFill="1" applyBorder="1" applyAlignment="1">
      <alignment horizontal="center" vertical="center" textRotation="90" wrapText="1"/>
    </xf>
    <xf numFmtId="0" fontId="8" fillId="23" borderId="10" xfId="10" applyFont="1" applyFill="1" applyBorder="1" applyAlignment="1">
      <alignment horizontal="center" vertical="center" textRotation="90" wrapText="1"/>
    </xf>
    <xf numFmtId="0" fontId="8" fillId="23" borderId="7" xfId="10" applyFont="1" applyFill="1" applyBorder="1" applyAlignment="1">
      <alignment horizontal="center" vertical="center" textRotation="90" wrapText="1"/>
    </xf>
    <xf numFmtId="0" fontId="8" fillId="0" borderId="1" xfId="10" applyFont="1" applyBorder="1" applyAlignment="1">
      <alignment horizontal="center" vertical="center"/>
    </xf>
    <xf numFmtId="0" fontId="8" fillId="0" borderId="1" xfId="10" applyFont="1" applyBorder="1" applyAlignment="1">
      <alignment horizontal="center" vertical="center" wrapText="1"/>
    </xf>
    <xf numFmtId="0" fontId="23" fillId="6" borderId="2" xfId="10" applyFont="1" applyFill="1" applyBorder="1" applyAlignment="1">
      <alignment horizontal="center" vertical="center" wrapText="1"/>
    </xf>
    <xf numFmtId="0" fontId="23" fillId="6" borderId="3" xfId="10" applyFont="1" applyFill="1" applyBorder="1" applyAlignment="1">
      <alignment horizontal="center" vertical="center" wrapText="1"/>
    </xf>
    <xf numFmtId="0" fontId="23" fillId="6" borderId="4" xfId="10" applyFont="1" applyFill="1" applyBorder="1" applyAlignment="1">
      <alignment horizontal="center" vertical="center" wrapText="1"/>
    </xf>
    <xf numFmtId="0" fontId="8" fillId="19" borderId="15" xfId="10" applyFont="1" applyFill="1" applyBorder="1" applyAlignment="1">
      <alignment horizontal="center" vertical="center" textRotation="90" wrapText="1"/>
    </xf>
    <xf numFmtId="0" fontId="8" fillId="19" borderId="13" xfId="10" applyFont="1" applyFill="1" applyBorder="1" applyAlignment="1">
      <alignment horizontal="center" vertical="center" textRotation="90" wrapText="1"/>
    </xf>
    <xf numFmtId="0" fontId="8" fillId="19" borderId="14" xfId="10" applyFont="1" applyFill="1" applyBorder="1" applyAlignment="1">
      <alignment horizontal="center" vertical="center" textRotation="90" wrapText="1"/>
    </xf>
    <xf numFmtId="0" fontId="8" fillId="0" borderId="6" xfId="10" applyFont="1" applyBorder="1" applyAlignment="1">
      <alignment horizontal="center" vertical="center"/>
    </xf>
    <xf numFmtId="0" fontId="8" fillId="0" borderId="11" xfId="10" applyFont="1" applyBorder="1" applyAlignment="1">
      <alignment horizontal="center" vertical="center"/>
    </xf>
    <xf numFmtId="0" fontId="8" fillId="0" borderId="8" xfId="10" applyFont="1" applyBorder="1" applyAlignment="1">
      <alignment horizontal="center" vertical="center"/>
    </xf>
    <xf numFmtId="0" fontId="8" fillId="0" borderId="15" xfId="10" applyFont="1" applyBorder="1" applyAlignment="1">
      <alignment horizontal="center" vertical="center" wrapText="1"/>
    </xf>
    <xf numFmtId="0" fontId="8" fillId="0" borderId="13" xfId="10" applyFont="1" applyBorder="1" applyAlignment="1">
      <alignment horizontal="center" vertical="center" wrapText="1"/>
    </xf>
    <xf numFmtId="0" fontId="8" fillId="0" borderId="14" xfId="10" applyFont="1" applyBorder="1" applyAlignment="1">
      <alignment horizontal="center" vertical="center" wrapText="1"/>
    </xf>
    <xf numFmtId="0" fontId="8" fillId="12" borderId="15" xfId="10" applyFont="1" applyFill="1" applyBorder="1" applyAlignment="1">
      <alignment horizontal="center" vertical="center" textRotation="90"/>
    </xf>
    <xf numFmtId="0" fontId="8" fillId="12" borderId="13" xfId="10" applyFont="1" applyFill="1" applyBorder="1" applyAlignment="1">
      <alignment horizontal="center" vertical="center" textRotation="90"/>
    </xf>
    <xf numFmtId="0" fontId="8" fillId="0" borderId="15" xfId="10" applyFont="1" applyBorder="1" applyAlignment="1">
      <alignment horizontal="center" vertical="center"/>
    </xf>
    <xf numFmtId="0" fontId="8" fillId="0" borderId="13" xfId="10" applyFont="1" applyBorder="1" applyAlignment="1">
      <alignment horizontal="center" vertical="center"/>
    </xf>
    <xf numFmtId="0" fontId="8" fillId="0" borderId="14" xfId="10" applyFont="1" applyBorder="1" applyAlignment="1">
      <alignment horizontal="center" vertical="center"/>
    </xf>
    <xf numFmtId="0" fontId="8" fillId="0" borderId="15" xfId="11" applyFont="1" applyFill="1" applyBorder="1" applyAlignment="1">
      <alignment horizontal="center" vertical="center" wrapText="1"/>
    </xf>
    <xf numFmtId="0" fontId="8" fillId="0" borderId="13" xfId="11" applyFont="1" applyFill="1" applyBorder="1" applyAlignment="1">
      <alignment horizontal="center" vertical="center" wrapText="1"/>
    </xf>
    <xf numFmtId="0" fontId="8" fillId="0" borderId="14" xfId="11" applyFont="1" applyFill="1" applyBorder="1" applyAlignment="1">
      <alignment horizontal="center" vertical="center" wrapText="1"/>
    </xf>
    <xf numFmtId="0" fontId="8" fillId="0" borderId="1" xfId="11" applyFont="1" applyFill="1" applyBorder="1" applyAlignment="1">
      <alignment horizontal="center" vertical="center" wrapText="1"/>
    </xf>
    <xf numFmtId="0" fontId="8" fillId="0" borderId="1" xfId="11" applyFont="1" applyFill="1" applyBorder="1" applyAlignment="1"/>
    <xf numFmtId="0" fontId="4" fillId="3" borderId="12" xfId="9" applyFont="1" applyFill="1" applyBorder="1" applyAlignment="1">
      <alignment horizontal="center"/>
    </xf>
    <xf numFmtId="4" fontId="8" fillId="14" borderId="1" xfId="9" applyNumberFormat="1" applyFont="1" applyFill="1" applyBorder="1" applyAlignment="1">
      <alignment horizontal="center" vertical="center"/>
    </xf>
    <xf numFmtId="4" fontId="8" fillId="14" borderId="1" xfId="9" applyNumberFormat="1" applyFont="1" applyFill="1" applyBorder="1" applyAlignment="1">
      <alignment horizontal="center"/>
    </xf>
    <xf numFmtId="0" fontId="8" fillId="6" borderId="2" xfId="10" applyFont="1" applyFill="1" applyBorder="1" applyAlignment="1">
      <alignment horizontal="right"/>
    </xf>
    <xf numFmtId="0" fontId="8" fillId="6" borderId="3" xfId="10" applyFont="1" applyFill="1" applyBorder="1" applyAlignment="1">
      <alignment horizontal="right"/>
    </xf>
    <xf numFmtId="0" fontId="8" fillId="6" borderId="4" xfId="10" applyFont="1" applyFill="1" applyBorder="1" applyAlignment="1">
      <alignment horizontal="right"/>
    </xf>
    <xf numFmtId="0" fontId="49" fillId="7" borderId="2" xfId="0" applyFont="1" applyFill="1" applyBorder="1" applyAlignment="1">
      <alignment horizontal="center"/>
    </xf>
    <xf numFmtId="0" fontId="49" fillId="7" borderId="3" xfId="0" applyFont="1" applyFill="1" applyBorder="1" applyAlignment="1">
      <alignment horizontal="center"/>
    </xf>
    <xf numFmtId="0" fontId="49" fillId="7" borderId="4" xfId="0" applyFont="1" applyFill="1" applyBorder="1" applyAlignment="1">
      <alignment horizontal="center"/>
    </xf>
    <xf numFmtId="0" fontId="17" fillId="3" borderId="0" xfId="0" applyFont="1" applyFill="1" applyBorder="1" applyAlignment="1">
      <alignment horizontal="left"/>
    </xf>
    <xf numFmtId="172" fontId="51" fillId="24" borderId="1" xfId="12" applyNumberFormat="1" applyFont="1" applyFill="1" applyBorder="1" applyAlignment="1" applyProtection="1">
      <alignment horizontal="center" vertical="center"/>
    </xf>
    <xf numFmtId="172" fontId="52" fillId="6" borderId="1" xfId="0" applyNumberFormat="1" applyFont="1" applyFill="1" applyBorder="1" applyAlignment="1">
      <alignment horizontal="center" vertical="center"/>
    </xf>
    <xf numFmtId="0" fontId="8" fillId="0" borderId="19" xfId="12" applyFont="1" applyFill="1" applyBorder="1" applyAlignment="1">
      <alignment horizontal="center" vertical="center" wrapText="1"/>
    </xf>
    <xf numFmtId="0" fontId="8" fillId="0" borderId="20" xfId="12" applyFont="1" applyFill="1" applyBorder="1" applyAlignment="1">
      <alignment horizontal="center" vertical="center" wrapText="1"/>
    </xf>
    <xf numFmtId="0" fontId="8" fillId="0" borderId="21" xfId="12" applyFont="1" applyFill="1" applyBorder="1" applyAlignment="1">
      <alignment horizontal="center" vertical="center" wrapText="1"/>
    </xf>
    <xf numFmtId="0" fontId="49" fillId="14" borderId="1" xfId="12" applyFont="1" applyFill="1" applyBorder="1" applyAlignment="1">
      <alignment horizontal="center" vertical="center" wrapText="1"/>
    </xf>
    <xf numFmtId="0" fontId="49" fillId="4" borderId="2" xfId="7" applyFont="1" applyFill="1" applyBorder="1" applyAlignment="1">
      <alignment horizontal="left" vertical="center" wrapText="1"/>
    </xf>
    <xf numFmtId="0" fontId="49" fillId="4" borderId="3" xfId="7" applyFont="1" applyFill="1" applyBorder="1" applyAlignment="1">
      <alignment horizontal="left" vertical="center" wrapText="1"/>
    </xf>
    <xf numFmtId="0" fontId="49" fillId="4" borderId="4" xfId="7" applyFont="1" applyFill="1" applyBorder="1" applyAlignment="1">
      <alignment horizontal="left" vertical="center" wrapText="1"/>
    </xf>
    <xf numFmtId="0" fontId="49" fillId="4" borderId="1" xfId="7" applyFont="1" applyFill="1" applyBorder="1" applyAlignment="1">
      <alignment horizontal="left" vertical="center" wrapText="1"/>
    </xf>
    <xf numFmtId="4" fontId="58" fillId="2" borderId="9" xfId="9" applyNumberFormat="1" applyFont="1" applyFill="1" applyBorder="1" applyAlignment="1">
      <alignment horizontal="left" vertical="center"/>
    </xf>
    <xf numFmtId="4" fontId="58" fillId="2" borderId="0" xfId="9" applyNumberFormat="1" applyFont="1" applyFill="1" applyBorder="1" applyAlignment="1">
      <alignment horizontal="left" vertical="center"/>
    </xf>
    <xf numFmtId="4" fontId="58" fillId="3" borderId="0" xfId="9" applyNumberFormat="1" applyFont="1" applyFill="1" applyBorder="1" applyAlignment="1">
      <alignment horizontal="left"/>
    </xf>
    <xf numFmtId="0" fontId="58" fillId="0" borderId="0" xfId="9" applyFont="1" applyAlignment="1">
      <alignment horizontal="left"/>
    </xf>
    <xf numFmtId="4" fontId="12" fillId="17" borderId="2" xfId="0" applyNumberFormat="1" applyFont="1" applyFill="1" applyBorder="1" applyAlignment="1">
      <alignment horizontal="left"/>
    </xf>
    <xf numFmtId="4" fontId="12" fillId="17" borderId="3" xfId="0" applyNumberFormat="1" applyFont="1" applyFill="1" applyBorder="1" applyAlignment="1">
      <alignment horizontal="left"/>
    </xf>
    <xf numFmtId="4" fontId="12" fillId="17" borderId="4" xfId="0" applyNumberFormat="1" applyFont="1" applyFill="1" applyBorder="1" applyAlignment="1">
      <alignment horizontal="left"/>
    </xf>
    <xf numFmtId="4" fontId="12" fillId="3" borderId="1" xfId="0" applyNumberFormat="1" applyFont="1" applyFill="1" applyBorder="1" applyAlignment="1">
      <alignment horizontal="left"/>
    </xf>
    <xf numFmtId="4" fontId="8" fillId="6" borderId="2" xfId="9" applyNumberFormat="1" applyFont="1" applyFill="1" applyBorder="1" applyAlignment="1">
      <alignment horizontal="center" vertical="center"/>
    </xf>
    <xf numFmtId="4" fontId="8" fillId="6" borderId="3" xfId="9" applyNumberFormat="1" applyFont="1" applyFill="1" applyBorder="1" applyAlignment="1">
      <alignment horizontal="center" vertical="center"/>
    </xf>
    <xf numFmtId="4" fontId="8" fillId="6" borderId="4" xfId="9" applyNumberFormat="1" applyFont="1" applyFill="1" applyBorder="1" applyAlignment="1">
      <alignment horizontal="center" vertical="center"/>
    </xf>
    <xf numFmtId="4" fontId="29" fillId="24" borderId="2" xfId="9" applyNumberFormat="1" applyFont="1" applyFill="1" applyBorder="1" applyAlignment="1">
      <alignment horizontal="center" vertical="center"/>
    </xf>
    <xf numFmtId="4" fontId="29" fillId="24" borderId="3" xfId="9" applyNumberFormat="1" applyFont="1" applyFill="1" applyBorder="1" applyAlignment="1">
      <alignment horizontal="center" vertical="center"/>
    </xf>
    <xf numFmtId="4" fontId="29" fillId="24" borderId="4" xfId="9" applyNumberFormat="1" applyFont="1" applyFill="1" applyBorder="1" applyAlignment="1">
      <alignment horizontal="center" vertical="center"/>
    </xf>
    <xf numFmtId="0" fontId="49" fillId="0" borderId="0" xfId="0" applyFont="1" applyBorder="1" applyAlignment="1">
      <alignment horizontal="center" vertical="center" wrapText="1"/>
    </xf>
    <xf numFmtId="4" fontId="49" fillId="15" borderId="1" xfId="0" applyNumberFormat="1" applyFont="1" applyFill="1" applyBorder="1" applyAlignment="1">
      <alignment horizontal="left" vertical="center"/>
    </xf>
    <xf numFmtId="0" fontId="49" fillId="15" borderId="1" xfId="0" applyFont="1" applyFill="1" applyBorder="1" applyAlignment="1">
      <alignment horizontal="left" vertical="center" wrapText="1"/>
    </xf>
    <xf numFmtId="0" fontId="49" fillId="6" borderId="1" xfId="0" applyFont="1" applyFill="1" applyBorder="1" applyAlignment="1">
      <alignment horizontal="center" vertical="center"/>
    </xf>
    <xf numFmtId="0" fontId="83" fillId="0" borderId="0" xfId="0" applyFont="1" applyBorder="1" applyAlignment="1">
      <alignment horizontal="left" vertical="center"/>
    </xf>
    <xf numFmtId="0" fontId="59" fillId="3" borderId="1" xfId="16" applyNumberFormat="1" applyFont="1" applyFill="1" applyBorder="1" applyAlignment="1" applyProtection="1">
      <alignment horizontal="center" vertical="center"/>
    </xf>
    <xf numFmtId="0" fontId="49" fillId="6" borderId="2" xfId="17" applyNumberFormat="1" applyFont="1" applyFill="1" applyBorder="1" applyAlignment="1" applyProtection="1">
      <alignment horizontal="center" vertical="center" wrapText="1"/>
    </xf>
    <xf numFmtId="0" fontId="49" fillId="6" borderId="3" xfId="17" applyNumberFormat="1" applyFont="1" applyFill="1" applyBorder="1" applyAlignment="1" applyProtection="1">
      <alignment horizontal="center" vertical="center" wrapText="1"/>
    </xf>
    <xf numFmtId="0" fontId="49" fillId="6" borderId="4" xfId="17" applyNumberFormat="1" applyFont="1" applyFill="1" applyBorder="1" applyAlignment="1" applyProtection="1">
      <alignment horizontal="center" vertical="center" wrapText="1"/>
    </xf>
    <xf numFmtId="172" fontId="61" fillId="29" borderId="16" xfId="0" applyNumberFormat="1" applyFont="1" applyFill="1" applyBorder="1" applyAlignment="1">
      <alignment horizontal="center" wrapText="1"/>
    </xf>
    <xf numFmtId="172" fontId="61" fillId="29" borderId="17" xfId="0" applyNumberFormat="1" applyFont="1" applyFill="1" applyBorder="1" applyAlignment="1">
      <alignment horizontal="center" wrapText="1"/>
    </xf>
    <xf numFmtId="172" fontId="61" fillId="29" borderId="22" xfId="0" applyNumberFormat="1" applyFont="1" applyFill="1" applyBorder="1" applyAlignment="1">
      <alignment horizontal="center" wrapText="1"/>
    </xf>
    <xf numFmtId="172" fontId="52" fillId="29" borderId="23" xfId="0" applyNumberFormat="1" applyFont="1" applyFill="1" applyBorder="1" applyAlignment="1">
      <alignment horizontal="center" vertical="center"/>
    </xf>
    <xf numFmtId="172" fontId="52" fillId="29" borderId="3" xfId="0" applyNumberFormat="1" applyFont="1" applyFill="1" applyBorder="1" applyAlignment="1">
      <alignment horizontal="center" vertical="center"/>
    </xf>
    <xf numFmtId="172" fontId="52" fillId="29" borderId="4" xfId="0" applyNumberFormat="1" applyFont="1" applyFill="1" applyBorder="1" applyAlignment="1">
      <alignment horizontal="center" vertical="center"/>
    </xf>
    <xf numFmtId="172" fontId="52" fillId="19" borderId="30" xfId="0" applyNumberFormat="1" applyFont="1" applyFill="1" applyBorder="1" applyAlignment="1">
      <alignment horizontal="left" wrapText="1"/>
    </xf>
    <xf numFmtId="172" fontId="52" fillId="19" borderId="31" xfId="0" applyNumberFormat="1" applyFont="1" applyFill="1" applyBorder="1" applyAlignment="1">
      <alignment horizontal="left" wrapText="1"/>
    </xf>
    <xf numFmtId="172" fontId="52" fillId="19" borderId="32" xfId="0" applyNumberFormat="1" applyFont="1" applyFill="1" applyBorder="1" applyAlignment="1">
      <alignment horizontal="left" wrapText="1"/>
    </xf>
    <xf numFmtId="4" fontId="62" fillId="0" borderId="27" xfId="0" applyNumberFormat="1" applyFont="1" applyBorder="1" applyAlignment="1">
      <alignment horizontal="right" vertical="center" wrapText="1"/>
    </xf>
    <xf numFmtId="4" fontId="62" fillId="0" borderId="28" xfId="0" applyNumberFormat="1" applyFont="1" applyBorder="1" applyAlignment="1">
      <alignment horizontal="right" vertical="center" wrapText="1"/>
    </xf>
    <xf numFmtId="172" fontId="62" fillId="0" borderId="1" xfId="0" applyNumberFormat="1" applyFont="1" applyBorder="1" applyAlignment="1">
      <alignment horizontal="left" wrapText="1"/>
    </xf>
    <xf numFmtId="172" fontId="62" fillId="6" borderId="2" xfId="0" applyNumberFormat="1" applyFont="1" applyFill="1" applyBorder="1" applyAlignment="1">
      <alignment horizontal="left" vertical="center" wrapText="1"/>
    </xf>
    <xf numFmtId="172" fontId="62" fillId="6" borderId="3" xfId="0" applyNumberFormat="1" applyFont="1" applyFill="1" applyBorder="1" applyAlignment="1">
      <alignment horizontal="left" vertical="center" wrapText="1"/>
    </xf>
    <xf numFmtId="172" fontId="62" fillId="6" borderId="4" xfId="0" applyNumberFormat="1" applyFont="1" applyFill="1" applyBorder="1" applyAlignment="1">
      <alignment horizontal="left" vertical="center" wrapText="1"/>
    </xf>
    <xf numFmtId="172" fontId="62" fillId="0" borderId="2" xfId="0" applyNumberFormat="1" applyFont="1" applyBorder="1" applyAlignment="1">
      <alignment horizontal="left" vertical="center" wrapText="1"/>
    </xf>
    <xf numFmtId="172" fontId="62" fillId="0" borderId="3" xfId="0" applyNumberFormat="1" applyFont="1" applyBorder="1" applyAlignment="1">
      <alignment horizontal="left" vertical="center" wrapText="1"/>
    </xf>
    <xf numFmtId="172" fontId="62" fillId="0" borderId="4" xfId="0" applyNumberFormat="1" applyFont="1" applyBorder="1" applyAlignment="1">
      <alignment horizontal="left" vertical="center" wrapText="1"/>
    </xf>
    <xf numFmtId="172" fontId="52" fillId="5" borderId="18" xfId="0" applyNumberFormat="1" applyFont="1" applyFill="1" applyBorder="1" applyAlignment="1">
      <alignment vertical="center"/>
    </xf>
    <xf numFmtId="172" fontId="52" fillId="5" borderId="1" xfId="0" applyNumberFormat="1" applyFont="1" applyFill="1" applyBorder="1" applyAlignment="1">
      <alignment vertical="center"/>
    </xf>
    <xf numFmtId="172" fontId="62" fillId="0" borderId="25" xfId="0" applyNumberFormat="1" applyFont="1" applyBorder="1" applyAlignment="1">
      <alignment horizontal="center" vertical="center" wrapText="1"/>
    </xf>
    <xf numFmtId="172" fontId="62" fillId="0" borderId="26" xfId="0" applyNumberFormat="1" applyFont="1" applyBorder="1" applyAlignment="1">
      <alignment horizontal="center" vertical="center" wrapText="1"/>
    </xf>
    <xf numFmtId="172" fontId="62" fillId="0" borderId="29" xfId="0" applyNumberFormat="1" applyFont="1" applyBorder="1" applyAlignment="1">
      <alignment horizontal="center" vertical="center" wrapText="1"/>
    </xf>
    <xf numFmtId="172" fontId="63" fillId="0" borderId="1" xfId="0" applyNumberFormat="1" applyFont="1" applyBorder="1" applyAlignment="1">
      <alignment horizontal="left" vertical="justify" wrapText="1"/>
    </xf>
    <xf numFmtId="172" fontId="62" fillId="0" borderId="5" xfId="0" applyNumberFormat="1" applyFont="1" applyBorder="1" applyAlignment="1">
      <alignment horizontal="left" vertical="center" wrapText="1"/>
    </xf>
    <xf numFmtId="172" fontId="62" fillId="0" borderId="9" xfId="0" applyNumberFormat="1" applyFont="1" applyBorder="1" applyAlignment="1">
      <alignment horizontal="left" vertical="center" wrapText="1"/>
    </xf>
    <xf numFmtId="172" fontId="62" fillId="0" borderId="6" xfId="0" applyNumberFormat="1" applyFont="1" applyBorder="1" applyAlignment="1">
      <alignment horizontal="left" vertical="center" wrapText="1"/>
    </xf>
    <xf numFmtId="172" fontId="62" fillId="0" borderId="7" xfId="0" applyNumberFormat="1" applyFont="1" applyBorder="1" applyAlignment="1">
      <alignment horizontal="left" vertical="center" wrapText="1"/>
    </xf>
    <xf numFmtId="172" fontId="62" fillId="0" borderId="12" xfId="0" applyNumberFormat="1" applyFont="1" applyBorder="1" applyAlignment="1">
      <alignment horizontal="left" vertical="center" wrapText="1"/>
    </xf>
    <xf numFmtId="172" fontId="62" fillId="0" borderId="8" xfId="0" applyNumberFormat="1" applyFont="1" applyBorder="1" applyAlignment="1">
      <alignment horizontal="left" vertical="center" wrapText="1"/>
    </xf>
    <xf numFmtId="0" fontId="44" fillId="0" borderId="0" xfId="0" applyFont="1"/>
    <xf numFmtId="0" fontId="47" fillId="7" borderId="2" xfId="0" applyFont="1" applyFill="1" applyBorder="1" applyAlignment="1">
      <alignment horizontal="center" vertical="center"/>
    </xf>
    <xf numFmtId="0" fontId="47" fillId="7" borderId="3" xfId="0" applyFont="1" applyFill="1" applyBorder="1" applyAlignment="1">
      <alignment horizontal="center" vertical="center"/>
    </xf>
    <xf numFmtId="0" fontId="47" fillId="7" borderId="4" xfId="0" applyFont="1" applyFill="1" applyBorder="1" applyAlignment="1">
      <alignment horizontal="center" vertical="center"/>
    </xf>
    <xf numFmtId="0" fontId="47" fillId="6" borderId="2" xfId="0" applyFont="1" applyFill="1" applyBorder="1" applyAlignment="1">
      <alignment horizontal="center" vertical="center"/>
    </xf>
    <xf numFmtId="0" fontId="47" fillId="6" borderId="3" xfId="0" applyFont="1" applyFill="1" applyBorder="1" applyAlignment="1">
      <alignment horizontal="center" vertical="center"/>
    </xf>
    <xf numFmtId="0" fontId="47" fillId="6" borderId="4" xfId="0" applyFont="1" applyFill="1" applyBorder="1" applyAlignment="1">
      <alignment horizontal="center" vertical="center"/>
    </xf>
    <xf numFmtId="169" fontId="44" fillId="0" borderId="2" xfId="0" applyNumberFormat="1" applyFont="1" applyBorder="1" applyAlignment="1">
      <alignment horizontal="center" vertical="center"/>
    </xf>
    <xf numFmtId="169" fontId="44" fillId="0" borderId="4" xfId="0" applyNumberFormat="1" applyFont="1" applyBorder="1" applyAlignment="1">
      <alignment horizontal="center" vertical="center"/>
    </xf>
    <xf numFmtId="0" fontId="44" fillId="0" borderId="9" xfId="0" applyFont="1" applyBorder="1" applyAlignment="1">
      <alignment horizontal="left" vertical="center"/>
    </xf>
    <xf numFmtId="0" fontId="49" fillId="0" borderId="34" xfId="0" applyFont="1" applyBorder="1" applyAlignment="1">
      <alignment horizontal="center" vertical="center"/>
    </xf>
    <xf numFmtId="0" fontId="49" fillId="0" borderId="0" xfId="0" applyFont="1" applyBorder="1" applyAlignment="1">
      <alignment horizontal="center"/>
    </xf>
    <xf numFmtId="0" fontId="47" fillId="0" borderId="0" xfId="0" applyFont="1" applyBorder="1" applyAlignment="1">
      <alignment horizontal="center" vertical="center"/>
    </xf>
    <xf numFmtId="0" fontId="46" fillId="14" borderId="1" xfId="0" applyFont="1" applyFill="1" applyBorder="1" applyAlignment="1">
      <alignment horizontal="center"/>
    </xf>
    <xf numFmtId="0" fontId="46" fillId="16" borderId="42" xfId="0" applyFont="1" applyFill="1" applyBorder="1" applyAlignment="1">
      <alignment horizontal="center" vertical="center" textRotation="90"/>
    </xf>
    <xf numFmtId="0" fontId="46" fillId="16" borderId="45" xfId="0" applyFont="1" applyFill="1" applyBorder="1" applyAlignment="1">
      <alignment horizontal="center" vertical="center" textRotation="90"/>
    </xf>
    <xf numFmtId="0" fontId="46" fillId="14" borderId="1" xfId="0" applyFont="1" applyFill="1" applyBorder="1" applyAlignment="1">
      <alignment horizontal="center" vertical="center" textRotation="90"/>
    </xf>
    <xf numFmtId="180" fontId="44" fillId="0" borderId="2" xfId="0" applyNumberFormat="1" applyFont="1" applyBorder="1" applyAlignment="1">
      <alignment horizontal="center" vertical="center"/>
    </xf>
    <xf numFmtId="180" fontId="44" fillId="0" borderId="4" xfId="0" applyNumberFormat="1" applyFont="1" applyBorder="1" applyAlignment="1">
      <alignment horizontal="center" vertical="center"/>
    </xf>
    <xf numFmtId="0" fontId="47" fillId="0" borderId="36" xfId="0" applyFont="1" applyBorder="1" applyAlignment="1">
      <alignment horizontal="center" vertical="center"/>
    </xf>
    <xf numFmtId="0" fontId="47" fillId="0" borderId="12" xfId="0" applyFont="1" applyBorder="1" applyAlignment="1">
      <alignment horizontal="center" vertical="center"/>
    </xf>
    <xf numFmtId="0" fontId="47" fillId="0" borderId="19" xfId="0" applyFont="1" applyBorder="1" applyAlignment="1">
      <alignment horizontal="center" vertical="center"/>
    </xf>
    <xf numFmtId="0" fontId="47" fillId="0" borderId="20" xfId="0" applyFont="1" applyBorder="1" applyAlignment="1">
      <alignment horizontal="center" vertical="center"/>
    </xf>
    <xf numFmtId="0" fontId="47" fillId="0" borderId="21" xfId="0" applyFont="1" applyBorder="1" applyAlignment="1">
      <alignment horizontal="center" vertical="center"/>
    </xf>
    <xf numFmtId="0" fontId="5" fillId="0" borderId="9" xfId="0" applyFont="1" applyBorder="1" applyAlignment="1">
      <alignment horizontal="left" vertical="center"/>
    </xf>
    <xf numFmtId="0" fontId="16" fillId="0" borderId="0" xfId="0" applyFont="1" applyBorder="1" applyAlignment="1">
      <alignment horizontal="left" vertical="center"/>
    </xf>
    <xf numFmtId="0" fontId="15" fillId="0" borderId="9" xfId="0" applyFont="1" applyBorder="1" applyAlignment="1">
      <alignment horizontal="left" vertical="center"/>
    </xf>
    <xf numFmtId="0" fontId="67" fillId="0" borderId="0" xfId="0" applyFont="1" applyBorder="1" applyAlignment="1">
      <alignment horizontal="center"/>
    </xf>
    <xf numFmtId="0" fontId="35" fillId="0" borderId="15" xfId="0" applyFont="1" applyBorder="1" applyAlignment="1">
      <alignment horizontal="left" vertical="center" wrapText="1"/>
    </xf>
    <xf numFmtId="0" fontId="35" fillId="0" borderId="14" xfId="0" applyFont="1" applyBorder="1" applyAlignment="1">
      <alignment horizontal="left" vertical="center" wrapText="1"/>
    </xf>
    <xf numFmtId="3" fontId="15" fillId="3" borderId="1" xfId="0" applyNumberFormat="1" applyFont="1" applyFill="1" applyBorder="1" applyAlignment="1">
      <alignment horizontal="right" vertical="center"/>
    </xf>
    <xf numFmtId="177" fontId="76" fillId="6" borderId="2" xfId="0" applyNumberFormat="1" applyFont="1" applyFill="1" applyBorder="1" applyAlignment="1">
      <alignment horizontal="center"/>
    </xf>
    <xf numFmtId="177" fontId="76" fillId="6" borderId="4" xfId="0" applyNumberFormat="1" applyFont="1" applyFill="1" applyBorder="1" applyAlignment="1">
      <alignment horizontal="center"/>
    </xf>
    <xf numFmtId="177" fontId="76" fillId="6" borderId="1" xfId="0" applyNumberFormat="1" applyFont="1" applyFill="1" applyBorder="1" applyAlignment="1">
      <alignment horizontal="center"/>
    </xf>
    <xf numFmtId="0" fontId="35" fillId="0" borderId="9" xfId="0" applyFont="1" applyBorder="1" applyAlignment="1">
      <alignment horizontal="center"/>
    </xf>
    <xf numFmtId="0" fontId="49" fillId="14" borderId="2" xfId="0" applyFont="1" applyFill="1" applyBorder="1" applyAlignment="1">
      <alignment horizontal="center" vertical="center" wrapText="1"/>
    </xf>
    <xf numFmtId="0" fontId="49" fillId="14" borderId="4" xfId="0" applyFont="1" applyFill="1" applyBorder="1" applyAlignment="1">
      <alignment horizontal="center" vertical="center" wrapText="1"/>
    </xf>
    <xf numFmtId="0" fontId="15" fillId="0" borderId="2" xfId="0" applyFont="1" applyBorder="1" applyAlignment="1">
      <alignment horizontal="center" vertical="center"/>
    </xf>
    <xf numFmtId="0" fontId="15" fillId="0" borderId="4" xfId="0" applyFont="1" applyBorder="1" applyAlignment="1">
      <alignment horizontal="center" vertical="center"/>
    </xf>
    <xf numFmtId="0" fontId="8" fillId="6" borderId="2" xfId="9" applyFont="1" applyFill="1" applyBorder="1" applyAlignment="1">
      <alignment horizontal="center" vertical="center"/>
    </xf>
    <xf numFmtId="0" fontId="8" fillId="6" borderId="3" xfId="9" applyFont="1" applyFill="1" applyBorder="1" applyAlignment="1">
      <alignment horizontal="center" vertical="center"/>
    </xf>
    <xf numFmtId="0" fontId="8" fillId="6" borderId="4" xfId="9" applyFont="1" applyFill="1" applyBorder="1" applyAlignment="1">
      <alignment horizontal="center" vertical="center"/>
    </xf>
    <xf numFmtId="0" fontId="55" fillId="0" borderId="12" xfId="0" applyFont="1" applyBorder="1" applyAlignment="1">
      <alignment horizontal="left"/>
    </xf>
    <xf numFmtId="0" fontId="55" fillId="11" borderId="1" xfId="0" applyFont="1" applyFill="1" applyBorder="1" applyAlignment="1">
      <alignment horizontal="center" vertical="center" wrapText="1"/>
    </xf>
    <xf numFmtId="0" fontId="55" fillId="11" borderId="1" xfId="0" applyFont="1" applyFill="1" applyBorder="1" applyAlignment="1">
      <alignment horizontal="center" vertical="center"/>
    </xf>
    <xf numFmtId="0" fontId="49" fillId="14" borderId="1" xfId="0" applyFont="1" applyFill="1" applyBorder="1" applyAlignment="1">
      <alignment horizontal="center" vertical="center"/>
    </xf>
    <xf numFmtId="0" fontId="49" fillId="7" borderId="1" xfId="0" applyFont="1" applyFill="1" applyBorder="1" applyAlignment="1">
      <alignment horizontal="center" vertical="center" wrapText="1"/>
    </xf>
    <xf numFmtId="0" fontId="46" fillId="14" borderId="1" xfId="0" applyFont="1" applyFill="1" applyBorder="1" applyAlignment="1">
      <alignment horizontal="center" vertical="center"/>
    </xf>
    <xf numFmtId="0" fontId="46" fillId="16" borderId="37" xfId="0" applyFont="1" applyFill="1" applyBorder="1" applyAlignment="1">
      <alignment horizontal="center" vertical="center"/>
    </xf>
    <xf numFmtId="0" fontId="46" fillId="16" borderId="40" xfId="0" applyFont="1" applyFill="1" applyBorder="1" applyAlignment="1">
      <alignment horizontal="center" vertical="center"/>
    </xf>
    <xf numFmtId="0" fontId="46" fillId="16" borderId="43" xfId="0" applyFont="1" applyFill="1" applyBorder="1" applyAlignment="1">
      <alignment horizontal="center" vertical="center"/>
    </xf>
    <xf numFmtId="0" fontId="46" fillId="16" borderId="38" xfId="0" applyFont="1" applyFill="1" applyBorder="1" applyAlignment="1">
      <alignment horizontal="center" vertical="center"/>
    </xf>
    <xf numFmtId="0" fontId="46" fillId="16" borderId="41" xfId="0" applyFont="1" applyFill="1" applyBorder="1" applyAlignment="1">
      <alignment horizontal="center" vertical="center"/>
    </xf>
    <xf numFmtId="0" fontId="46" fillId="16" borderId="44" xfId="0" applyFont="1" applyFill="1" applyBorder="1" applyAlignment="1">
      <alignment horizontal="center" vertical="center"/>
    </xf>
    <xf numFmtId="0" fontId="46" fillId="16" borderId="39" xfId="0" applyFont="1" applyFill="1" applyBorder="1" applyAlignment="1">
      <alignment horizontal="center" vertical="center"/>
    </xf>
    <xf numFmtId="0" fontId="79" fillId="14" borderId="1" xfId="21" applyFont="1" applyFill="1" applyBorder="1" applyAlignment="1">
      <alignment horizontal="center" vertical="center"/>
    </xf>
    <xf numFmtId="0" fontId="72" fillId="0" borderId="2" xfId="21" applyFont="1" applyBorder="1" applyAlignment="1">
      <alignment horizontal="center" vertical="center"/>
    </xf>
    <xf numFmtId="0" fontId="72" fillId="0" borderId="4" xfId="21" applyFont="1" applyBorder="1" applyAlignment="1">
      <alignment horizontal="center" vertical="center"/>
    </xf>
    <xf numFmtId="0" fontId="79" fillId="0" borderId="2" xfId="21" applyFont="1" applyBorder="1" applyAlignment="1">
      <alignment horizontal="center" vertical="center"/>
    </xf>
    <xf numFmtId="0" fontId="79" fillId="0" borderId="4" xfId="21" applyFont="1" applyBorder="1" applyAlignment="1">
      <alignment horizontal="center" vertical="center"/>
    </xf>
    <xf numFmtId="0" fontId="72" fillId="0" borderId="15" xfId="21" applyFont="1" applyBorder="1" applyAlignment="1">
      <alignment horizontal="left" vertical="center"/>
    </xf>
    <xf numFmtId="0" fontId="79" fillId="15" borderId="2" xfId="21" applyFont="1" applyFill="1" applyBorder="1" applyAlignment="1">
      <alignment horizontal="left" vertical="center"/>
    </xf>
    <xf numFmtId="0" fontId="79" fillId="15" borderId="3" xfId="21" applyFont="1" applyFill="1" applyBorder="1" applyAlignment="1">
      <alignment horizontal="left" vertical="center"/>
    </xf>
    <xf numFmtId="0" fontId="79" fillId="15" borderId="4" xfId="21" applyFont="1" applyFill="1" applyBorder="1" applyAlignment="1">
      <alignment horizontal="left" vertical="center"/>
    </xf>
    <xf numFmtId="0" fontId="79" fillId="7" borderId="1" xfId="21" applyFont="1" applyFill="1" applyBorder="1" applyAlignment="1">
      <alignment horizontal="left" vertical="center"/>
    </xf>
    <xf numFmtId="0" fontId="79" fillId="0" borderId="1" xfId="21" applyFont="1" applyBorder="1" applyAlignment="1">
      <alignment horizontal="left" vertical="center"/>
    </xf>
    <xf numFmtId="0" fontId="72" fillId="0" borderId="1" xfId="21" applyFont="1" applyBorder="1" applyAlignment="1">
      <alignment horizontal="left" vertical="center"/>
    </xf>
    <xf numFmtId="0" fontId="72" fillId="0" borderId="1" xfId="21" applyFont="1" applyBorder="1" applyAlignment="1">
      <alignment horizontal="left" vertical="center" wrapText="1"/>
    </xf>
    <xf numFmtId="0" fontId="72" fillId="3" borderId="2" xfId="21" applyFont="1" applyFill="1" applyBorder="1" applyAlignment="1">
      <alignment horizontal="left" vertical="center"/>
    </xf>
    <xf numFmtId="0" fontId="72" fillId="3" borderId="4" xfId="21" applyFont="1" applyFill="1" applyBorder="1" applyAlignment="1">
      <alignment horizontal="left" vertical="center"/>
    </xf>
    <xf numFmtId="0" fontId="72" fillId="3" borderId="1" xfId="21" applyFont="1" applyFill="1" applyBorder="1" applyAlignment="1">
      <alignment horizontal="left" vertical="center"/>
    </xf>
    <xf numFmtId="0" fontId="72" fillId="0" borderId="2" xfId="21" applyFont="1" applyBorder="1" applyAlignment="1">
      <alignment horizontal="left" vertical="center"/>
    </xf>
    <xf numFmtId="0" fontId="72" fillId="0" borderId="4" xfId="21" applyFont="1" applyBorder="1" applyAlignment="1">
      <alignment horizontal="left" vertical="center"/>
    </xf>
    <xf numFmtId="0" fontId="79" fillId="0" borderId="0" xfId="21" applyFont="1" applyBorder="1" applyAlignment="1">
      <alignment horizontal="center" vertical="center"/>
    </xf>
    <xf numFmtId="0" fontId="80" fillId="0" borderId="46" xfId="0" applyFont="1" applyFill="1" applyBorder="1" applyAlignment="1">
      <alignment horizontal="left"/>
    </xf>
    <xf numFmtId="0" fontId="81" fillId="0" borderId="48" xfId="0" applyFont="1" applyBorder="1" applyAlignment="1">
      <alignment horizontal="left" vertical="center" wrapText="1"/>
    </xf>
    <xf numFmtId="0" fontId="81" fillId="0" borderId="49" xfId="0" applyFont="1" applyBorder="1" applyAlignment="1">
      <alignment horizontal="left" vertical="center" wrapText="1"/>
    </xf>
    <xf numFmtId="0" fontId="81" fillId="0" borderId="50" xfId="0" applyFont="1" applyBorder="1" applyAlignment="1">
      <alignment horizontal="left" vertical="center" wrapText="1"/>
    </xf>
    <xf numFmtId="0" fontId="81" fillId="0" borderId="51" xfId="0" applyFont="1" applyBorder="1" applyAlignment="1">
      <alignment horizontal="left" vertical="center" wrapText="1"/>
    </xf>
    <xf numFmtId="0" fontId="81" fillId="0" borderId="52" xfId="0" applyFont="1" applyBorder="1" applyAlignment="1">
      <alignment horizontal="left" vertical="center" wrapText="1"/>
    </xf>
    <xf numFmtId="0" fontId="81" fillId="0" borderId="53" xfId="0" applyFont="1" applyBorder="1" applyAlignment="1">
      <alignment horizontal="left" vertical="center" wrapText="1"/>
    </xf>
    <xf numFmtId="0" fontId="81" fillId="0" borderId="54" xfId="0" applyFont="1" applyBorder="1" applyAlignment="1">
      <alignment horizontal="left" wrapText="1"/>
    </xf>
    <xf numFmtId="0" fontId="81" fillId="0" borderId="55" xfId="0" applyFont="1" applyBorder="1" applyAlignment="1">
      <alignment horizontal="left" wrapText="1"/>
    </xf>
    <xf numFmtId="0" fontId="4" fillId="0" borderId="12"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87" fillId="0" borderId="0" xfId="0" applyFont="1" applyBorder="1" applyAlignment="1">
      <alignment horizontal="center" vertical="center"/>
    </xf>
    <xf numFmtId="0" fontId="87" fillId="0" borderId="0" xfId="0" applyFont="1" applyAlignment="1">
      <alignment horizontal="center" vertical="center"/>
    </xf>
    <xf numFmtId="0" fontId="87" fillId="0" borderId="0" xfId="0" applyFont="1" applyBorder="1" applyAlignment="1">
      <alignment vertical="center"/>
    </xf>
    <xf numFmtId="167" fontId="43" fillId="0" borderId="59" xfId="0" applyNumberFormat="1" applyFont="1" applyBorder="1" applyAlignment="1">
      <alignment horizontal="center" vertical="center"/>
    </xf>
    <xf numFmtId="167" fontId="43" fillId="0" borderId="61" xfId="0" applyNumberFormat="1" applyFont="1" applyBorder="1" applyAlignment="1">
      <alignment horizontal="center" vertical="center"/>
    </xf>
    <xf numFmtId="167" fontId="43" fillId="0" borderId="60" xfId="0" applyNumberFormat="1" applyFont="1" applyBorder="1" applyAlignment="1">
      <alignment horizontal="center" vertical="center"/>
    </xf>
    <xf numFmtId="0" fontId="43" fillId="0" borderId="59" xfId="0" applyFont="1" applyBorder="1" applyAlignment="1">
      <alignment horizontal="center" vertical="center"/>
    </xf>
    <xf numFmtId="0" fontId="43" fillId="0" borderId="61" xfId="0" applyFont="1" applyBorder="1" applyAlignment="1">
      <alignment horizontal="center" vertical="center"/>
    </xf>
    <xf numFmtId="0" fontId="43" fillId="0" borderId="60" xfId="0" applyFont="1" applyBorder="1" applyAlignment="1">
      <alignment horizontal="center" vertical="center"/>
    </xf>
    <xf numFmtId="0" fontId="87" fillId="0" borderId="1" xfId="0" applyFont="1" applyBorder="1" applyAlignment="1">
      <alignment horizontal="center" vertical="center"/>
    </xf>
    <xf numFmtId="0" fontId="43" fillId="3" borderId="59" xfId="0" applyFont="1" applyFill="1" applyBorder="1" applyAlignment="1">
      <alignment horizontal="center" vertical="center"/>
    </xf>
    <xf numFmtId="0" fontId="43" fillId="3" borderId="60" xfId="0" applyFont="1" applyFill="1" applyBorder="1" applyAlignment="1">
      <alignment horizontal="center" vertical="center"/>
    </xf>
    <xf numFmtId="0" fontId="43" fillId="0" borderId="59" xfId="0" applyFont="1" applyBorder="1" applyAlignment="1">
      <alignment horizontal="center" vertical="center" wrapText="1"/>
    </xf>
    <xf numFmtId="0" fontId="43" fillId="0" borderId="60" xfId="0" applyFont="1" applyBorder="1" applyAlignment="1">
      <alignment horizontal="center" vertical="center" wrapText="1"/>
    </xf>
    <xf numFmtId="0" fontId="43" fillId="9" borderId="59" xfId="0" applyFont="1" applyFill="1" applyBorder="1" applyAlignment="1">
      <alignment horizontal="center" vertical="center"/>
    </xf>
    <xf numFmtId="0" fontId="43" fillId="9" borderId="60" xfId="0" applyFont="1" applyFill="1" applyBorder="1" applyAlignment="1">
      <alignment horizontal="center" vertical="center"/>
    </xf>
    <xf numFmtId="0" fontId="20" fillId="0" borderId="0" xfId="0" applyFont="1" applyAlignment="1">
      <alignment horizontal="center" vertical="center" wrapText="1"/>
    </xf>
    <xf numFmtId="0" fontId="76" fillId="5" borderId="58" xfId="0" applyFont="1" applyFill="1" applyBorder="1" applyAlignment="1">
      <alignment horizontal="center"/>
    </xf>
    <xf numFmtId="0" fontId="4" fillId="5" borderId="0" xfId="0" applyFont="1" applyFill="1" applyAlignment="1">
      <alignment horizontal="center" vertical="center"/>
    </xf>
    <xf numFmtId="0" fontId="43" fillId="0" borderId="59" xfId="0" applyFont="1" applyBorder="1" applyAlignment="1">
      <alignment horizontal="center" wrapText="1"/>
    </xf>
    <xf numFmtId="0" fontId="43" fillId="0" borderId="60" xfId="0" applyFont="1" applyBorder="1" applyAlignment="1">
      <alignment horizontal="center" wrapText="1"/>
    </xf>
    <xf numFmtId="0" fontId="125" fillId="7" borderId="2" xfId="0" applyFont="1" applyFill="1" applyBorder="1" applyAlignment="1" applyProtection="1">
      <alignment horizontal="center" vertical="center" wrapText="1"/>
      <protection hidden="1"/>
    </xf>
    <xf numFmtId="0" fontId="125" fillId="7" borderId="3" xfId="0" applyFont="1" applyFill="1" applyBorder="1" applyAlignment="1" applyProtection="1">
      <alignment horizontal="center" vertical="center" wrapText="1"/>
      <protection hidden="1"/>
    </xf>
    <xf numFmtId="0" fontId="125" fillId="7" borderId="4" xfId="0" applyFont="1" applyFill="1" applyBorder="1" applyAlignment="1" applyProtection="1">
      <alignment horizontal="center" vertical="center" wrapText="1"/>
      <protection hidden="1"/>
    </xf>
    <xf numFmtId="3" fontId="17" fillId="7" borderId="1" xfId="6" applyNumberFormat="1" applyFont="1" applyFill="1" applyBorder="1" applyAlignment="1" applyProtection="1">
      <alignment horizontal="right" vertical="center" wrapText="1"/>
      <protection hidden="1"/>
    </xf>
    <xf numFmtId="0" fontId="125" fillId="7" borderId="1" xfId="0" applyFont="1" applyFill="1" applyBorder="1" applyAlignment="1" applyProtection="1">
      <alignment horizontal="left" vertical="center" wrapText="1" indent="2"/>
      <protection hidden="1"/>
    </xf>
    <xf numFmtId="0" fontId="125" fillId="7" borderId="2" xfId="0" applyFont="1" applyFill="1" applyBorder="1" applyAlignment="1" applyProtection="1">
      <alignment horizontal="left" vertical="center" indent="2"/>
      <protection hidden="1"/>
    </xf>
    <xf numFmtId="0" fontId="125" fillId="7" borderId="3" xfId="0" applyFont="1" applyFill="1" applyBorder="1" applyAlignment="1" applyProtection="1">
      <alignment horizontal="left" vertical="center" indent="2"/>
      <protection hidden="1"/>
    </xf>
    <xf numFmtId="0" fontId="125" fillId="7" borderId="4" xfId="0" applyFont="1" applyFill="1" applyBorder="1" applyAlignment="1" applyProtection="1">
      <alignment horizontal="left" vertical="center" indent="2"/>
      <protection hidden="1"/>
    </xf>
    <xf numFmtId="0" fontId="125" fillId="7" borderId="2" xfId="0" applyFont="1" applyFill="1" applyBorder="1" applyAlignment="1" applyProtection="1">
      <alignment horizontal="left" vertical="center" wrapText="1" indent="2"/>
      <protection hidden="1"/>
    </xf>
    <xf numFmtId="0" fontId="125" fillId="7" borderId="3" xfId="0" applyFont="1" applyFill="1" applyBorder="1" applyAlignment="1" applyProtection="1">
      <alignment horizontal="left" vertical="center" wrapText="1" indent="2"/>
      <protection hidden="1"/>
    </xf>
    <xf numFmtId="0" fontId="125" fillId="7" borderId="4" xfId="0" applyFont="1" applyFill="1" applyBorder="1" applyAlignment="1" applyProtection="1">
      <alignment horizontal="left" vertical="center" wrapText="1" indent="2"/>
      <protection hidden="1"/>
    </xf>
    <xf numFmtId="0" fontId="43" fillId="7" borderId="1" xfId="0" applyFont="1" applyFill="1" applyBorder="1" applyAlignment="1" applyProtection="1">
      <alignment horizontal="center" vertical="center" wrapText="1"/>
      <protection hidden="1"/>
    </xf>
    <xf numFmtId="3" fontId="17" fillId="7" borderId="1" xfId="6" applyNumberFormat="1" applyFont="1" applyFill="1" applyBorder="1" applyAlignment="1" applyProtection="1">
      <alignment horizontal="center" vertical="center" wrapText="1"/>
      <protection hidden="1"/>
    </xf>
    <xf numFmtId="0" fontId="17" fillId="7" borderId="15" xfId="0" applyFont="1" applyFill="1" applyBorder="1" applyAlignment="1" applyProtection="1">
      <alignment horizontal="center" vertical="center"/>
      <protection hidden="1"/>
    </xf>
    <xf numFmtId="168" fontId="17" fillId="7" borderId="15" xfId="0" applyNumberFormat="1" applyFont="1" applyFill="1" applyBorder="1" applyAlignment="1" applyProtection="1">
      <alignment horizontal="center" vertical="center"/>
      <protection hidden="1"/>
    </xf>
    <xf numFmtId="0" fontId="17" fillId="7" borderId="13" xfId="0" applyFont="1" applyFill="1" applyBorder="1" applyAlignment="1" applyProtection="1">
      <alignment horizontal="center" vertical="center"/>
      <protection hidden="1"/>
    </xf>
    <xf numFmtId="168" fontId="17" fillId="7" borderId="13" xfId="0" applyNumberFormat="1" applyFont="1" applyFill="1" applyBorder="1" applyAlignment="1" applyProtection="1">
      <alignment horizontal="center" vertical="center"/>
      <protection hidden="1"/>
    </xf>
    <xf numFmtId="0" fontId="17" fillId="7" borderId="14" xfId="0" applyFont="1" applyFill="1" applyBorder="1" applyAlignment="1" applyProtection="1">
      <alignment horizontal="center" vertical="center"/>
      <protection hidden="1"/>
    </xf>
    <xf numFmtId="168" fontId="17" fillId="7" borderId="14" xfId="0" applyNumberFormat="1" applyFont="1" applyFill="1" applyBorder="1" applyAlignment="1" applyProtection="1">
      <alignment horizontal="center" vertical="center"/>
      <protection hidden="1"/>
    </xf>
    <xf numFmtId="4" fontId="17" fillId="7" borderId="15" xfId="0" applyNumberFormat="1" applyFont="1" applyFill="1" applyBorder="1" applyAlignment="1" applyProtection="1">
      <alignment horizontal="center" vertical="center"/>
      <protection hidden="1"/>
    </xf>
    <xf numFmtId="4" fontId="17" fillId="7" borderId="13" xfId="0" applyNumberFormat="1" applyFont="1" applyFill="1" applyBorder="1" applyAlignment="1" applyProtection="1">
      <alignment horizontal="center" vertical="center"/>
      <protection hidden="1"/>
    </xf>
    <xf numFmtId="4" fontId="17" fillId="7" borderId="14" xfId="0" applyNumberFormat="1" applyFont="1" applyFill="1" applyBorder="1" applyAlignment="1" applyProtection="1">
      <alignment horizontal="center" vertical="center"/>
      <protection hidden="1"/>
    </xf>
    <xf numFmtId="3" fontId="17" fillId="7" borderId="1" xfId="0" applyNumberFormat="1" applyFont="1" applyFill="1" applyBorder="1" applyAlignment="1" applyProtection="1">
      <alignment horizontal="center" vertical="center"/>
      <protection hidden="1"/>
    </xf>
    <xf numFmtId="0" fontId="12" fillId="3" borderId="1" xfId="0" applyFont="1" applyFill="1" applyBorder="1" applyAlignment="1" applyProtection="1">
      <alignment vertical="center" wrapText="1"/>
      <protection hidden="1"/>
    </xf>
    <xf numFmtId="0" fontId="17" fillId="3" borderId="1" xfId="0" applyFont="1" applyFill="1" applyBorder="1" applyAlignment="1" applyProtection="1">
      <alignment horizontal="center" vertical="center" wrapText="1"/>
      <protection hidden="1"/>
    </xf>
  </cellXfs>
  <cellStyles count="26">
    <cellStyle name="Encabezado 1" xfId="22" builtinId="16"/>
    <cellStyle name="Entrada" xfId="23" builtinId="20"/>
    <cellStyle name="Millares" xfId="2" builtinId="3"/>
    <cellStyle name="Millares 2" xfId="24"/>
    <cellStyle name="Millares 2 3" xfId="18"/>
    <cellStyle name="Millares 4" xfId="20"/>
    <cellStyle name="Millares 5" xfId="13"/>
    <cellStyle name="Millares 6 2" xfId="15"/>
    <cellStyle name="Moneda" xfId="6" builtinId="4"/>
    <cellStyle name="Moneda 2" xfId="19"/>
    <cellStyle name="Normal" xfId="0" builtinId="0"/>
    <cellStyle name="Normal 10 2 3" xfId="4"/>
    <cellStyle name="Normal 11" xfId="7"/>
    <cellStyle name="Normal 15" xfId="17"/>
    <cellStyle name="Normal 16" xfId="10"/>
    <cellStyle name="Normal 2" xfId="3"/>
    <cellStyle name="Normal 2 2" xfId="9"/>
    <cellStyle name="Normal 2 2 2" xfId="16"/>
    <cellStyle name="Normal 2 2 3" xfId="12"/>
    <cellStyle name="Normal 3" xfId="5"/>
    <cellStyle name="Normal 3 2" xfId="25"/>
    <cellStyle name="Normal 3 2 2" xfId="8"/>
    <cellStyle name="Normal 6" xfId="11"/>
    <cellStyle name="Normal_10 DE MARZO 1" xfId="21"/>
    <cellStyle name="Porcentaje" xfId="1" builtinId="5"/>
    <cellStyle name="Porcentaje 4 2" xfId="14"/>
  </cellStyles>
  <dxfs count="23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9" tint="0.79998168889431442"/>
      </font>
    </dxf>
  </dxfs>
  <tableStyles count="0" defaultTableStyle="TableStyleMedium9" defaultPivotStyle="PivotStyleLight16"/>
  <colors>
    <mruColors>
      <color rgb="FF0000FF"/>
      <color rgb="FF9F9F9F"/>
      <color rgb="FFA7A7A7"/>
      <color rgb="FFB6B6B6"/>
      <color rgb="FFE1FFE1"/>
      <color rgb="FFCDFFCD"/>
      <color rgb="FFBDFFBD"/>
      <color rgb="FF9FF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hyperlink" Target="http://censos.inei.gob.pe/Censos2007/redatam/" TargetMode="External"/><Relationship Id="rId1" Type="http://schemas.openxmlformats.org/officeDocument/2006/relationships/hyperlink" Target="http://censos.inei.gob.pe/censos1993/redata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19050</xdr:colOff>
      <xdr:row>50</xdr:row>
      <xdr:rowOff>161925</xdr:rowOff>
    </xdr:from>
    <xdr:to>
      <xdr:col>9</xdr:col>
      <xdr:colOff>704850</xdr:colOff>
      <xdr:row>50</xdr:row>
      <xdr:rowOff>161925</xdr:rowOff>
    </xdr:to>
    <xdr:cxnSp macro="">
      <xdr:nvCxnSpPr>
        <xdr:cNvPr id="8" name="Conector recto de flecha 7"/>
        <xdr:cNvCxnSpPr/>
      </xdr:nvCxnSpPr>
      <xdr:spPr>
        <a:xfrm>
          <a:off x="3571875" y="10601325"/>
          <a:ext cx="68580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66675</xdr:colOff>
      <xdr:row>2</xdr:row>
      <xdr:rowOff>85725</xdr:rowOff>
    </xdr:from>
    <xdr:to>
      <xdr:col>7</xdr:col>
      <xdr:colOff>800100</xdr:colOff>
      <xdr:row>4</xdr:row>
      <xdr:rowOff>114300</xdr:rowOff>
    </xdr:to>
    <xdr:pic>
      <xdr:nvPicPr>
        <xdr:cNvPr id="2" name="Imagen 1" descr="LOGOMED_hojamembretada">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54361" b="4939"/>
        <a:stretch>
          <a:fillRect/>
        </a:stretch>
      </xdr:blipFill>
      <xdr:spPr bwMode="auto">
        <a:xfrm>
          <a:off x="1047750" y="523875"/>
          <a:ext cx="2286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219075</xdr:colOff>
      <xdr:row>42</xdr:row>
      <xdr:rowOff>9525</xdr:rowOff>
    </xdr:from>
    <xdr:to>
      <xdr:col>27</xdr:col>
      <xdr:colOff>400050</xdr:colOff>
      <xdr:row>67</xdr:row>
      <xdr:rowOff>247650</xdr:rowOff>
    </xdr:to>
    <xdr:sp macro="" textlink="">
      <xdr:nvSpPr>
        <xdr:cNvPr id="3" name="Cerrar llave 2">
          <a:extLst>
            <a:ext uri="{FF2B5EF4-FFF2-40B4-BE49-F238E27FC236}">
              <a16:creationId xmlns:a16="http://schemas.microsoft.com/office/drawing/2014/main" xmlns="" id="{00000000-0008-0000-0300-000003000000}"/>
            </a:ext>
          </a:extLst>
        </xdr:cNvPr>
        <xdr:cNvSpPr>
          <a:spLocks/>
        </xdr:cNvSpPr>
      </xdr:nvSpPr>
      <xdr:spPr bwMode="auto">
        <a:xfrm>
          <a:off x="15249525" y="10696575"/>
          <a:ext cx="1162050" cy="7143750"/>
        </a:xfrm>
        <a:prstGeom prst="rightBrace">
          <a:avLst>
            <a:gd name="adj1" fmla="val 8460"/>
            <a:gd name="adj2" fmla="val 50000"/>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238125</xdr:colOff>
      <xdr:row>101</xdr:row>
      <xdr:rowOff>28575</xdr:rowOff>
    </xdr:from>
    <xdr:to>
      <xdr:col>27</xdr:col>
      <xdr:colOff>11206</xdr:colOff>
      <xdr:row>112</xdr:row>
      <xdr:rowOff>3922</xdr:rowOff>
    </xdr:to>
    <xdr:sp macro="" textlink="">
      <xdr:nvSpPr>
        <xdr:cNvPr id="4" name="Cerrar llave 4">
          <a:extLst>
            <a:ext uri="{FF2B5EF4-FFF2-40B4-BE49-F238E27FC236}">
              <a16:creationId xmlns:a16="http://schemas.microsoft.com/office/drawing/2014/main" xmlns="" id="{00000000-0008-0000-0300-000004000000}"/>
            </a:ext>
          </a:extLst>
        </xdr:cNvPr>
        <xdr:cNvSpPr>
          <a:spLocks/>
        </xdr:cNvSpPr>
      </xdr:nvSpPr>
      <xdr:spPr bwMode="auto">
        <a:xfrm>
          <a:off x="15268575" y="26565225"/>
          <a:ext cx="754156" cy="2928097"/>
        </a:xfrm>
        <a:prstGeom prst="rightBrace">
          <a:avLst>
            <a:gd name="adj1" fmla="val 8367"/>
            <a:gd name="adj2" fmla="val 43671"/>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209550</xdr:colOff>
      <xdr:row>27</xdr:row>
      <xdr:rowOff>304800</xdr:rowOff>
    </xdr:from>
    <xdr:to>
      <xdr:col>27</xdr:col>
      <xdr:colOff>266700</xdr:colOff>
      <xdr:row>37</xdr:row>
      <xdr:rowOff>285750</xdr:rowOff>
    </xdr:to>
    <xdr:sp macro="" textlink="">
      <xdr:nvSpPr>
        <xdr:cNvPr id="5" name="Cerrar llave 5">
          <a:extLst>
            <a:ext uri="{FF2B5EF4-FFF2-40B4-BE49-F238E27FC236}">
              <a16:creationId xmlns:a16="http://schemas.microsoft.com/office/drawing/2014/main" xmlns="" id="{00000000-0008-0000-0300-000005000000}"/>
            </a:ext>
          </a:extLst>
        </xdr:cNvPr>
        <xdr:cNvSpPr>
          <a:spLocks/>
        </xdr:cNvSpPr>
      </xdr:nvSpPr>
      <xdr:spPr bwMode="auto">
        <a:xfrm>
          <a:off x="15240000" y="6591300"/>
          <a:ext cx="1038225" cy="3200400"/>
        </a:xfrm>
        <a:prstGeom prst="rightBrace">
          <a:avLst>
            <a:gd name="adj1" fmla="val 8337"/>
            <a:gd name="adj2" fmla="val 50000"/>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13608</xdr:colOff>
      <xdr:row>10</xdr:row>
      <xdr:rowOff>249250</xdr:rowOff>
    </xdr:from>
    <xdr:to>
      <xdr:col>26</xdr:col>
      <xdr:colOff>716375</xdr:colOff>
      <xdr:row>22</xdr:row>
      <xdr:rowOff>258535</xdr:rowOff>
    </xdr:to>
    <xdr:sp macro="" textlink="">
      <xdr:nvSpPr>
        <xdr:cNvPr id="6" name="Cerrar llave 6">
          <a:extLst>
            <a:ext uri="{FF2B5EF4-FFF2-40B4-BE49-F238E27FC236}">
              <a16:creationId xmlns:a16="http://schemas.microsoft.com/office/drawing/2014/main" xmlns="" id="{00000000-0008-0000-0300-000006000000}"/>
            </a:ext>
          </a:extLst>
        </xdr:cNvPr>
        <xdr:cNvSpPr>
          <a:spLocks/>
        </xdr:cNvSpPr>
      </xdr:nvSpPr>
      <xdr:spPr bwMode="auto">
        <a:xfrm>
          <a:off x="15291708" y="2287600"/>
          <a:ext cx="702767" cy="3209685"/>
        </a:xfrm>
        <a:prstGeom prst="rightBrace">
          <a:avLst>
            <a:gd name="adj1" fmla="val 8304"/>
            <a:gd name="adj2" fmla="val 50000"/>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235324</xdr:colOff>
      <xdr:row>88</xdr:row>
      <xdr:rowOff>268940</xdr:rowOff>
    </xdr:from>
    <xdr:to>
      <xdr:col>26</xdr:col>
      <xdr:colOff>680356</xdr:colOff>
      <xdr:row>97</xdr:row>
      <xdr:rowOff>268941</xdr:rowOff>
    </xdr:to>
    <xdr:sp macro="" textlink="">
      <xdr:nvSpPr>
        <xdr:cNvPr id="7" name="Cerrar llave 4">
          <a:extLst>
            <a:ext uri="{FF2B5EF4-FFF2-40B4-BE49-F238E27FC236}">
              <a16:creationId xmlns:a16="http://schemas.microsoft.com/office/drawing/2014/main" xmlns="" id="{00000000-0008-0000-0300-000007000000}"/>
            </a:ext>
          </a:extLst>
        </xdr:cNvPr>
        <xdr:cNvSpPr>
          <a:spLocks/>
        </xdr:cNvSpPr>
      </xdr:nvSpPr>
      <xdr:spPr bwMode="auto">
        <a:xfrm>
          <a:off x="15265774" y="23414690"/>
          <a:ext cx="692682" cy="2486026"/>
        </a:xfrm>
        <a:prstGeom prst="rightBrace">
          <a:avLst>
            <a:gd name="adj1" fmla="val 8367"/>
            <a:gd name="adj2" fmla="val 43671"/>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246529</xdr:colOff>
      <xdr:row>72</xdr:row>
      <xdr:rowOff>257735</xdr:rowOff>
    </xdr:from>
    <xdr:to>
      <xdr:col>26</xdr:col>
      <xdr:colOff>657944</xdr:colOff>
      <xdr:row>85</xdr:row>
      <xdr:rowOff>276363</xdr:rowOff>
    </xdr:to>
    <xdr:sp macro="" textlink="">
      <xdr:nvSpPr>
        <xdr:cNvPr id="8" name="Cerrar llave 4">
          <a:extLst>
            <a:ext uri="{FF2B5EF4-FFF2-40B4-BE49-F238E27FC236}">
              <a16:creationId xmlns:a16="http://schemas.microsoft.com/office/drawing/2014/main" xmlns="" id="{00000000-0008-0000-0300-000008000000}"/>
            </a:ext>
          </a:extLst>
        </xdr:cNvPr>
        <xdr:cNvSpPr>
          <a:spLocks/>
        </xdr:cNvSpPr>
      </xdr:nvSpPr>
      <xdr:spPr bwMode="auto">
        <a:xfrm>
          <a:off x="15276979" y="19155335"/>
          <a:ext cx="659065" cy="3609553"/>
        </a:xfrm>
        <a:prstGeom prst="rightBrace">
          <a:avLst>
            <a:gd name="adj1" fmla="val 8367"/>
            <a:gd name="adj2" fmla="val 43671"/>
          </a:avLst>
        </a:prstGeom>
        <a:solidFill>
          <a:srgbClr xmlns:mc="http://schemas.openxmlformats.org/markup-compatibility/2006" xmlns:a14="http://schemas.microsoft.com/office/drawing/2010/main" val="FFFFFF" mc:Ignorable="a14" a14:legacySpreadsheetColorIndex="9"/>
        </a:solidFill>
        <a:ln w="38100"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152400</xdr:colOff>
      <xdr:row>11</xdr:row>
      <xdr:rowOff>95251</xdr:rowOff>
    </xdr:from>
    <xdr:to>
      <xdr:col>9</xdr:col>
      <xdr:colOff>200025</xdr:colOff>
      <xdr:row>12</xdr:row>
      <xdr:rowOff>215349</xdr:rowOff>
    </xdr:to>
    <xdr:sp macro="" textlink="">
      <xdr:nvSpPr>
        <xdr:cNvPr id="4" name="Rectángulo redondeado 3">
          <a:hlinkClick xmlns:r="http://schemas.openxmlformats.org/officeDocument/2006/relationships" r:id="rId1"/>
          <a:extLst>
            <a:ext uri="{FF2B5EF4-FFF2-40B4-BE49-F238E27FC236}">
              <a16:creationId xmlns:a16="http://schemas.microsoft.com/office/drawing/2014/main" xmlns="" id="{00000000-0008-0000-0400-000004000000}"/>
            </a:ext>
          </a:extLst>
        </xdr:cNvPr>
        <xdr:cNvSpPr/>
      </xdr:nvSpPr>
      <xdr:spPr>
        <a:xfrm>
          <a:off x="3059596" y="2331555"/>
          <a:ext cx="1347994" cy="418272"/>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PE" sz="1400" b="1">
              <a:solidFill>
                <a:schemeClr val="tx2">
                  <a:lumMod val="75000"/>
                </a:schemeClr>
              </a:solidFill>
              <a:effectLst/>
              <a:latin typeface="Agency FB" panose="020B0503020202020204" pitchFamily="34" charset="0"/>
            </a:rPr>
            <a:t>CENSO</a:t>
          </a:r>
          <a:r>
            <a:rPr lang="es-PE" sz="1400" b="1" baseline="0">
              <a:solidFill>
                <a:schemeClr val="tx2">
                  <a:lumMod val="75000"/>
                </a:schemeClr>
              </a:solidFill>
              <a:effectLst/>
              <a:latin typeface="Agency FB" panose="020B0503020202020204" pitchFamily="34" charset="0"/>
            </a:rPr>
            <a:t> 1993</a:t>
          </a:r>
          <a:endParaRPr lang="es-PE" sz="1400" b="1">
            <a:solidFill>
              <a:schemeClr val="tx2">
                <a:lumMod val="75000"/>
              </a:schemeClr>
            </a:solidFill>
            <a:effectLst/>
            <a:latin typeface="Agency FB" panose="020B0503020202020204" pitchFamily="34" charset="0"/>
          </a:endParaRPr>
        </a:p>
      </xdr:txBody>
    </xdr:sp>
    <xdr:clientData/>
  </xdr:twoCellAnchor>
  <xdr:twoCellAnchor>
    <xdr:from>
      <xdr:col>6</xdr:col>
      <xdr:colOff>161925</xdr:colOff>
      <xdr:row>13</xdr:row>
      <xdr:rowOff>141633</xdr:rowOff>
    </xdr:from>
    <xdr:to>
      <xdr:col>9</xdr:col>
      <xdr:colOff>209550</xdr:colOff>
      <xdr:row>14</xdr:row>
      <xdr:rowOff>132522</xdr:rowOff>
    </xdr:to>
    <xdr:sp macro="" textlink="">
      <xdr:nvSpPr>
        <xdr:cNvPr id="5" name="Rectángulo redondeado 4">
          <a:hlinkClick xmlns:r="http://schemas.openxmlformats.org/officeDocument/2006/relationships" r:id="rId2"/>
          <a:extLst>
            <a:ext uri="{FF2B5EF4-FFF2-40B4-BE49-F238E27FC236}">
              <a16:creationId xmlns:a16="http://schemas.microsoft.com/office/drawing/2014/main" xmlns="" id="{00000000-0008-0000-0400-000005000000}"/>
            </a:ext>
          </a:extLst>
        </xdr:cNvPr>
        <xdr:cNvSpPr/>
      </xdr:nvSpPr>
      <xdr:spPr>
        <a:xfrm>
          <a:off x="3069121" y="2932872"/>
          <a:ext cx="1347994" cy="247650"/>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s-PE" sz="1400" b="1">
              <a:solidFill>
                <a:schemeClr val="tx2">
                  <a:lumMod val="75000"/>
                </a:schemeClr>
              </a:solidFill>
              <a:effectLst/>
              <a:latin typeface="Agency FB" panose="020B0503020202020204" pitchFamily="34" charset="0"/>
            </a:rPr>
            <a:t>CENSO</a:t>
          </a:r>
          <a:r>
            <a:rPr lang="es-PE" sz="1400" b="1" baseline="0">
              <a:solidFill>
                <a:schemeClr val="tx2">
                  <a:lumMod val="75000"/>
                </a:schemeClr>
              </a:solidFill>
              <a:effectLst/>
              <a:latin typeface="Agency FB" panose="020B0503020202020204" pitchFamily="34" charset="0"/>
            </a:rPr>
            <a:t> 2007</a:t>
          </a:r>
          <a:endParaRPr lang="es-PE" sz="1400" b="1">
            <a:solidFill>
              <a:schemeClr val="tx2">
                <a:lumMod val="75000"/>
              </a:schemeClr>
            </a:solidFill>
            <a:effectLst/>
            <a:latin typeface="Agency FB" panose="020B0503020202020204" pitchFamily="34" charset="0"/>
          </a:endParaRPr>
        </a:p>
      </xdr:txBody>
    </xdr:sp>
    <xdr:clientData/>
  </xdr:twoCellAnchor>
  <xdr:twoCellAnchor>
    <xdr:from>
      <xdr:col>51</xdr:col>
      <xdr:colOff>121104</xdr:colOff>
      <xdr:row>81</xdr:row>
      <xdr:rowOff>114300</xdr:rowOff>
    </xdr:from>
    <xdr:to>
      <xdr:col>53</xdr:col>
      <xdr:colOff>185058</xdr:colOff>
      <xdr:row>84</xdr:row>
      <xdr:rowOff>10886</xdr:rowOff>
    </xdr:to>
    <xdr:sp macro="" textlink="">
      <xdr:nvSpPr>
        <xdr:cNvPr id="9" name="Flecha a la derecha con bandas 8">
          <a:extLst>
            <a:ext uri="{FF2B5EF4-FFF2-40B4-BE49-F238E27FC236}">
              <a16:creationId xmlns:a16="http://schemas.microsoft.com/office/drawing/2014/main" xmlns="" id="{00000000-0008-0000-0400-000009000000}"/>
            </a:ext>
          </a:extLst>
        </xdr:cNvPr>
        <xdr:cNvSpPr/>
      </xdr:nvSpPr>
      <xdr:spPr>
        <a:xfrm>
          <a:off x="18771054" y="21555075"/>
          <a:ext cx="521154" cy="458561"/>
        </a:xfrm>
        <a:prstGeom prst="stripedRight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r>
            <a:rPr lang="es-PE" sz="900" b="1"/>
            <a:t>CP</a:t>
          </a:r>
        </a:p>
      </xdr:txBody>
    </xdr:sp>
    <xdr:clientData/>
  </xdr:twoCellAnchor>
  <mc:AlternateContent xmlns:mc="http://schemas.openxmlformats.org/markup-compatibility/2006">
    <mc:Choice xmlns:a14="http://schemas.microsoft.com/office/drawing/2010/main" Requires="a14">
      <xdr:twoCellAnchor>
        <xdr:from>
          <xdr:col>1</xdr:col>
          <xdr:colOff>266700</xdr:colOff>
          <xdr:row>0</xdr:row>
          <xdr:rowOff>95250</xdr:rowOff>
        </xdr:from>
        <xdr:to>
          <xdr:col>4</xdr:col>
          <xdr:colOff>361950</xdr:colOff>
          <xdr:row>5</xdr:row>
          <xdr:rowOff>9525</xdr:rowOff>
        </xdr:to>
        <xdr:sp macro="" textlink="">
          <xdr:nvSpPr>
            <xdr:cNvPr id="3083" name="Button 11" hidden="1">
              <a:extLst>
                <a:ext uri="{63B3BB69-23CF-44E3-9099-C40C66FF867C}">
                  <a14:compatExt spid="_x0000_s3083"/>
                </a:ext>
                <a:ext uri="{FF2B5EF4-FFF2-40B4-BE49-F238E27FC236}">
                  <a16:creationId xmlns:a16="http://schemas.microsoft.com/office/drawing/2014/main" xmlns="" id="{00000000-0008-0000-0400-00000B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PE" sz="1200" b="1" i="0" u="none" strike="noStrike" baseline="0">
                  <a:solidFill>
                    <a:srgbClr val="003366"/>
                  </a:solidFill>
                  <a:latin typeface="Agency FB"/>
                </a:rPr>
                <a:t>RESETEAR PARA INGRESO DE NUEVOS DATOS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619125</xdr:colOff>
          <xdr:row>65</xdr:row>
          <xdr:rowOff>142875</xdr:rowOff>
        </xdr:from>
        <xdr:to>
          <xdr:col>5</xdr:col>
          <xdr:colOff>314325</xdr:colOff>
          <xdr:row>70</xdr:row>
          <xdr:rowOff>57150</xdr:rowOff>
        </xdr:to>
        <xdr:sp macro="" textlink="">
          <xdr:nvSpPr>
            <xdr:cNvPr id="3084" name="Button 12" hidden="1">
              <a:extLst>
                <a:ext uri="{63B3BB69-23CF-44E3-9099-C40C66FF867C}">
                  <a14:compatExt spid="_x0000_s3084"/>
                </a:ext>
                <a:ext uri="{FF2B5EF4-FFF2-40B4-BE49-F238E27FC236}">
                  <a16:creationId xmlns:a16="http://schemas.microsoft.com/office/drawing/2014/main" xmlns="" id="{00000000-0008-0000-0400-00000C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PE" sz="1200" b="1" i="0" u="none" strike="noStrike" baseline="0">
                  <a:solidFill>
                    <a:srgbClr val="003366"/>
                  </a:solidFill>
                  <a:latin typeface="Agency FB"/>
                </a:rPr>
                <a:t>GUARDAR REGISTRO DE INFORMACIÓN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619125</xdr:colOff>
          <xdr:row>189</xdr:row>
          <xdr:rowOff>142875</xdr:rowOff>
        </xdr:from>
        <xdr:to>
          <xdr:col>5</xdr:col>
          <xdr:colOff>314325</xdr:colOff>
          <xdr:row>194</xdr:row>
          <xdr:rowOff>57150</xdr:rowOff>
        </xdr:to>
        <xdr:sp macro="" textlink="">
          <xdr:nvSpPr>
            <xdr:cNvPr id="3085" name="Button 13" hidden="1">
              <a:extLst>
                <a:ext uri="{63B3BB69-23CF-44E3-9099-C40C66FF867C}">
                  <a14:compatExt spid="_x0000_s3085"/>
                </a:ext>
                <a:ext uri="{FF2B5EF4-FFF2-40B4-BE49-F238E27FC236}">
                  <a16:creationId xmlns:a16="http://schemas.microsoft.com/office/drawing/2014/main" xmlns="" id="{00000000-0008-0000-0400-00000D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PE" sz="1200" b="1" i="0" u="none" strike="noStrike" baseline="0">
                  <a:solidFill>
                    <a:srgbClr val="003366"/>
                  </a:solidFill>
                  <a:latin typeface="Agency FB"/>
                </a:rPr>
                <a:t>GUARDAR RESULTADOS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35</xdr:col>
      <xdr:colOff>668868</xdr:colOff>
      <xdr:row>0</xdr:row>
      <xdr:rowOff>0</xdr:rowOff>
    </xdr:from>
    <xdr:ext cx="5753100" cy="7994651"/>
    <xdr:pic>
      <xdr:nvPicPr>
        <xdr:cNvPr id="6" name="Imagen 5">
          <a:extLst>
            <a:ext uri="{FF2B5EF4-FFF2-40B4-BE49-F238E27FC236}">
              <a16:creationId xmlns:a16="http://schemas.microsoft.com/office/drawing/2014/main" xmlns="" id="{00000000-0008-0000-0500-000006000000}"/>
            </a:ext>
          </a:extLst>
        </xdr:cNvPr>
        <xdr:cNvPicPr>
          <a:picLocks noChangeAspect="1"/>
        </xdr:cNvPicPr>
      </xdr:nvPicPr>
      <xdr:blipFill rotWithShape="1">
        <a:blip xmlns:r="http://schemas.openxmlformats.org/officeDocument/2006/relationships" r:embed="rId1"/>
        <a:srcRect l="36411" t="12316" r="32127" b="9897"/>
        <a:stretch/>
      </xdr:blipFill>
      <xdr:spPr>
        <a:xfrm>
          <a:off x="32377593" y="746123"/>
          <a:ext cx="5753100" cy="7994651"/>
        </a:xfrm>
        <a:prstGeom prst="rect">
          <a:avLst/>
        </a:prstGeom>
      </xdr:spPr>
    </xdr:pic>
    <xdr:clientData/>
  </xdr:oneCellAnchor>
  <xdr:twoCellAnchor editAs="oneCell">
    <xdr:from>
      <xdr:col>1</xdr:col>
      <xdr:colOff>34637</xdr:colOff>
      <xdr:row>29</xdr:row>
      <xdr:rowOff>34636</xdr:rowOff>
    </xdr:from>
    <xdr:to>
      <xdr:col>5</xdr:col>
      <xdr:colOff>1143000</xdr:colOff>
      <xdr:row>44</xdr:row>
      <xdr:rowOff>225622</xdr:rowOff>
    </xdr:to>
    <xdr:pic>
      <xdr:nvPicPr>
        <xdr:cNvPr id="7" name="Imagen 6"/>
        <xdr:cNvPicPr>
          <a:picLocks noChangeAspect="1"/>
        </xdr:cNvPicPr>
      </xdr:nvPicPr>
      <xdr:blipFill rotWithShape="1">
        <a:blip xmlns:r="http://schemas.openxmlformats.org/officeDocument/2006/relationships" r:embed="rId2"/>
        <a:srcRect l="27087" t="9259" r="15425" b="5545"/>
        <a:stretch/>
      </xdr:blipFill>
      <xdr:spPr>
        <a:xfrm>
          <a:off x="5126182" y="9230591"/>
          <a:ext cx="12278591" cy="102355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65056</xdr:colOff>
      <xdr:row>2</xdr:row>
      <xdr:rowOff>146527</xdr:rowOff>
    </xdr:from>
    <xdr:ext cx="4297394" cy="4835048"/>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xmlns="" id="{00000000-0008-0000-0800-000002000000}"/>
                </a:ext>
              </a:extLst>
            </xdr:cNvPr>
            <xdr:cNvSpPr txBox="1"/>
          </xdr:nvSpPr>
          <xdr:spPr>
            <a:xfrm>
              <a:off x="236506" y="556102"/>
              <a:ext cx="4297394" cy="4835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14:m>
                <m:oMath xmlns:m="http://schemas.openxmlformats.org/officeDocument/2006/math">
                  <m:r>
                    <a:rPr lang="es-PE" sz="1100" b="1" i="1">
                      <a:latin typeface="Cambria Math" panose="02040503050406030204" pitchFamily="18" charset="0"/>
                    </a:rPr>
                    <m:t>𝒇</m:t>
                  </m:r>
                  <m:d>
                    <m:dPr>
                      <m:ctrlPr>
                        <a:rPr lang="es-PE" sz="1100" b="1" i="1">
                          <a:latin typeface="Cambria Math" panose="02040503050406030204" pitchFamily="18" charset="0"/>
                        </a:rPr>
                      </m:ctrlPr>
                    </m:dPr>
                    <m:e>
                      <m:r>
                        <a:rPr lang="es-PE" sz="1100" b="1" i="1">
                          <a:latin typeface="Cambria Math" panose="02040503050406030204" pitchFamily="18" charset="0"/>
                        </a:rPr>
                        <m:t>𝑬𝑩𝑹</m:t>
                      </m:r>
                    </m:e>
                  </m:d>
                  <m:r>
                    <a:rPr lang="es-PE" sz="1100" b="1" i="1">
                      <a:latin typeface="Cambria Math" panose="02040503050406030204" pitchFamily="18" charset="0"/>
                    </a:rPr>
                    <m:t>=</m:t>
                  </m:r>
                  <m:sSub>
                    <m:sSubPr>
                      <m:ctrlPr>
                        <a:rPr lang="es-PE" sz="1100" b="1" i="1">
                          <a:latin typeface="Cambria Math" panose="02040503050406030204" pitchFamily="18" charset="0"/>
                        </a:rPr>
                      </m:ctrlPr>
                    </m:sSubPr>
                    <m:e>
                      <m:r>
                        <a:rPr lang="es-PE" sz="1100" b="1" i="1">
                          <a:latin typeface="Cambria Math" panose="02040503050406030204" pitchFamily="18" charset="0"/>
                        </a:rPr>
                        <m:t>𝑸𝒊</m:t>
                      </m:r>
                    </m:e>
                    <m:sub>
                      <m:r>
                        <a:rPr lang="es-PE" sz="1100" b="1" i="1">
                          <a:latin typeface="Cambria Math" panose="02040503050406030204" pitchFamily="18" charset="0"/>
                        </a:rPr>
                        <m:t>𝒐</m:t>
                      </m:r>
                    </m:sub>
                  </m:sSub>
                </m:oMath>
              </a14:m>
              <a:r>
                <a:rPr lang="es-PE" sz="1100" b="1"/>
                <a:t>+ </a:t>
              </a:r>
              <a14:m>
                <m:oMath xmlns:m="http://schemas.openxmlformats.org/officeDocument/2006/math">
                  <m:sSub>
                    <m:sSubPr>
                      <m:ctrlPr>
                        <a:rPr lang="es-PE" sz="1100" b="1" i="1">
                          <a:solidFill>
                            <a:schemeClr val="tx1"/>
                          </a:solidFill>
                          <a:effectLst/>
                          <a:latin typeface="Cambria Math" panose="02040503050406030204" pitchFamily="18" charset="0"/>
                          <a:ea typeface="+mn-ea"/>
                          <a:cs typeface="+mn-cs"/>
                        </a:rPr>
                      </m:ctrlPr>
                    </m:sSubPr>
                    <m:e>
                      <m:r>
                        <a:rPr lang="es-PE" sz="1100" b="1" i="1">
                          <a:solidFill>
                            <a:schemeClr val="tx1"/>
                          </a:solidFill>
                          <a:effectLst/>
                          <a:latin typeface="Cambria Math" panose="02040503050406030204" pitchFamily="18" charset="0"/>
                          <a:ea typeface="+mn-ea"/>
                          <a:cs typeface="+mn-cs"/>
                        </a:rPr>
                        <m:t>𝑸𝑫𝒐</m:t>
                      </m:r>
                    </m:e>
                    <m:sub>
                      <m:r>
                        <a:rPr lang="es-PE" sz="1100" b="1" i="1">
                          <a:solidFill>
                            <a:schemeClr val="tx1"/>
                          </a:solidFill>
                          <a:effectLst/>
                          <a:latin typeface="Cambria Math" panose="02040503050406030204" pitchFamily="18" charset="0"/>
                          <a:ea typeface="+mn-ea"/>
                          <a:cs typeface="+mn-cs"/>
                        </a:rPr>
                        <m:t>𝒐</m:t>
                      </m:r>
                    </m:sub>
                  </m:sSub>
                  <m:r>
                    <a:rPr lang="es-PE" sz="1100" b="1" i="1">
                      <a:solidFill>
                        <a:schemeClr val="tx1"/>
                      </a:solidFill>
                      <a:effectLst/>
                      <a:latin typeface="Cambria Math" panose="02040503050406030204" pitchFamily="18" charset="0"/>
                      <a:ea typeface="+mn-ea"/>
                      <a:cs typeface="+mn-cs"/>
                    </a:rPr>
                    <m:t>+</m:t>
                  </m:r>
                  <m:sSub>
                    <m:sSubPr>
                      <m:ctrlPr>
                        <a:rPr lang="es-PE" sz="1100" b="1" i="1">
                          <a:solidFill>
                            <a:schemeClr val="tx1"/>
                          </a:solidFill>
                          <a:effectLst/>
                          <a:latin typeface="Cambria Math" panose="02040503050406030204" pitchFamily="18" charset="0"/>
                          <a:ea typeface="+mn-ea"/>
                          <a:cs typeface="+mn-cs"/>
                        </a:rPr>
                      </m:ctrlPr>
                    </m:sSubPr>
                    <m:e>
                      <m:r>
                        <a:rPr lang="es-PE" sz="1100" b="1" i="1">
                          <a:solidFill>
                            <a:schemeClr val="tx1"/>
                          </a:solidFill>
                          <a:effectLst/>
                          <a:latin typeface="Cambria Math" panose="02040503050406030204" pitchFamily="18" charset="0"/>
                          <a:ea typeface="+mn-ea"/>
                          <a:cs typeface="+mn-cs"/>
                        </a:rPr>
                        <m:t>𝑸𝒎𝒆</m:t>
                      </m:r>
                    </m:e>
                    <m:sub>
                      <m:r>
                        <a:rPr lang="es-PE" sz="1100" b="1" i="1">
                          <a:solidFill>
                            <a:schemeClr val="tx1"/>
                          </a:solidFill>
                          <a:effectLst/>
                          <a:latin typeface="Cambria Math" panose="02040503050406030204" pitchFamily="18" charset="0"/>
                          <a:ea typeface="+mn-ea"/>
                          <a:cs typeface="+mn-cs"/>
                        </a:rPr>
                        <m:t>𝒐</m:t>
                      </m:r>
                    </m:sub>
                  </m:sSub>
                </m:oMath>
              </a14:m>
              <a:r>
                <a:rPr lang="es-PE" sz="1100" b="1"/>
                <a:t>+ </a:t>
              </a:r>
              <a14:m>
                <m:oMath xmlns:m="http://schemas.openxmlformats.org/officeDocument/2006/math">
                  <m:sSub>
                    <m:sSubPr>
                      <m:ctrlPr>
                        <a:rPr lang="es-PE" sz="1100" b="1" i="1">
                          <a:solidFill>
                            <a:schemeClr val="tx1"/>
                          </a:solidFill>
                          <a:effectLst/>
                          <a:latin typeface="Cambria Math" panose="02040503050406030204" pitchFamily="18" charset="0"/>
                          <a:ea typeface="+mn-ea"/>
                          <a:cs typeface="+mn-cs"/>
                        </a:rPr>
                      </m:ctrlPr>
                    </m:sSubPr>
                    <m:e>
                      <m:r>
                        <a:rPr lang="es-PE" sz="1100" b="1" i="1">
                          <a:solidFill>
                            <a:schemeClr val="tx1"/>
                          </a:solidFill>
                          <a:effectLst/>
                          <a:latin typeface="Cambria Math" panose="02040503050406030204" pitchFamily="18" charset="0"/>
                          <a:ea typeface="+mn-ea"/>
                          <a:cs typeface="+mn-cs"/>
                        </a:rPr>
                        <m:t>𝑸𝑷𝒆</m:t>
                      </m:r>
                    </m:e>
                    <m:sub>
                      <m:r>
                        <a:rPr lang="es-PE" sz="1100" b="1" i="1">
                          <a:solidFill>
                            <a:schemeClr val="tx1"/>
                          </a:solidFill>
                          <a:effectLst/>
                          <a:latin typeface="Cambria Math" panose="02040503050406030204" pitchFamily="18" charset="0"/>
                          <a:ea typeface="+mn-ea"/>
                          <a:cs typeface="+mn-cs"/>
                        </a:rPr>
                        <m:t>𝒐</m:t>
                      </m:r>
                    </m:sub>
                  </m:sSub>
                </m:oMath>
              </a14:m>
              <a:r>
                <a:rPr lang="es-PE" sz="1100" b="1"/>
                <a:t>+</a:t>
              </a:r>
              <a14:m>
                <m:oMath xmlns:m="http://schemas.openxmlformats.org/officeDocument/2006/math">
                  <m:sSub>
                    <m:sSubPr>
                      <m:ctrlPr>
                        <a:rPr lang="es-PE" sz="1100" b="1" i="1">
                          <a:solidFill>
                            <a:schemeClr val="tx1"/>
                          </a:solidFill>
                          <a:effectLst/>
                          <a:latin typeface="Cambria Math" panose="02040503050406030204" pitchFamily="18" charset="0"/>
                          <a:ea typeface="+mn-ea"/>
                          <a:cs typeface="+mn-cs"/>
                        </a:rPr>
                      </m:ctrlPr>
                    </m:sSubPr>
                    <m:e>
                      <m:r>
                        <a:rPr lang="es-PE" sz="1100" b="1" i="1">
                          <a:solidFill>
                            <a:schemeClr val="tx1"/>
                          </a:solidFill>
                          <a:effectLst/>
                          <a:latin typeface="Cambria Math" panose="02040503050406030204" pitchFamily="18" charset="0"/>
                          <a:ea typeface="+mn-ea"/>
                          <a:cs typeface="+mn-cs"/>
                        </a:rPr>
                        <m:t>𝑸𝑴𝒅</m:t>
                      </m:r>
                    </m:e>
                    <m:sub>
                      <m:r>
                        <a:rPr lang="es-PE" sz="1100" b="1" i="1">
                          <a:solidFill>
                            <a:schemeClr val="tx1"/>
                          </a:solidFill>
                          <a:effectLst/>
                          <a:latin typeface="Cambria Math" panose="02040503050406030204" pitchFamily="18" charset="0"/>
                          <a:ea typeface="+mn-ea"/>
                          <a:cs typeface="+mn-cs"/>
                        </a:rPr>
                        <m:t>𝒐</m:t>
                      </m:r>
                    </m:sub>
                  </m:sSub>
                </m:oMath>
              </a14:m>
              <a:endParaRPr lang="es-PE" sz="1100" b="1"/>
            </a:p>
            <a:p>
              <a:endParaRPr lang="es-PE" sz="1100"/>
            </a:p>
            <a:p>
              <a:r>
                <a:rPr lang="es-PE" sz="1100"/>
                <a:t>s.a. modelo pedagógico</a:t>
              </a:r>
              <a:r>
                <a:rPr lang="es-PE" sz="1100" baseline="0"/>
                <a:t> y normativo permanece constante,</a:t>
              </a:r>
            </a:p>
            <a:p>
              <a:endParaRPr lang="es-PE" sz="1100" baseline="0"/>
            </a:p>
            <a:p>
              <a:r>
                <a:rPr lang="es-PE" sz="1100" b="1" baseline="0"/>
                <a:t>donde:</a:t>
              </a:r>
            </a:p>
            <a:p>
              <a:endParaRPr lang="es-PE" sz="1100" baseline="0"/>
            </a:p>
            <a:p>
              <a:r>
                <a:rPr lang="es-PE" sz="1100" b="0">
                  <a:solidFill>
                    <a:schemeClr val="tx1"/>
                  </a:solidFill>
                  <a:effectLst/>
                  <a:ea typeface="+mn-ea"/>
                  <a:cs typeface="+mn-cs"/>
                </a:rPr>
                <a:t>  </a:t>
              </a:r>
              <a14:m>
                <m:oMath xmlns:m="http://schemas.openxmlformats.org/officeDocument/2006/math">
                  <m:sSub>
                    <m:sSubPr>
                      <m:ctrlPr>
                        <a:rPr lang="es-PE" sz="1100" b="0" i="1">
                          <a:solidFill>
                            <a:schemeClr val="tx1"/>
                          </a:solidFill>
                          <a:effectLst/>
                          <a:latin typeface="Cambria Math" panose="02040503050406030204" pitchFamily="18" charset="0"/>
                          <a:ea typeface="+mn-ea"/>
                          <a:cs typeface="+mn-cs"/>
                        </a:rPr>
                      </m:ctrlPr>
                    </m:sSubPr>
                    <m:e>
                      <m:r>
                        <a:rPr lang="es-PE" sz="1100" b="0" i="1">
                          <a:solidFill>
                            <a:schemeClr val="tx1"/>
                          </a:solidFill>
                          <a:effectLst/>
                          <a:latin typeface="Cambria Math" panose="02040503050406030204" pitchFamily="18" charset="0"/>
                          <a:ea typeface="+mn-ea"/>
                          <a:cs typeface="+mn-cs"/>
                        </a:rPr>
                        <m:t>𝑄𝑖</m:t>
                      </m:r>
                    </m:e>
                    <m:sub>
                      <m:r>
                        <a:rPr lang="es-PE" sz="1100" b="0" i="1">
                          <a:solidFill>
                            <a:schemeClr val="tx1"/>
                          </a:solidFill>
                          <a:effectLst/>
                          <a:latin typeface="Cambria Math" panose="02040503050406030204" pitchFamily="18" charset="0"/>
                          <a:ea typeface="+mn-ea"/>
                          <a:cs typeface="+mn-cs"/>
                        </a:rPr>
                        <m:t>𝑜</m:t>
                      </m:r>
                    </m:sub>
                  </m:sSub>
                </m:oMath>
              </a14:m>
              <a:r>
                <a:rPr lang="es-PE" sz="1100"/>
                <a:t>   : Cantidad de infraestructura adecuada.</a:t>
              </a:r>
            </a:p>
            <a:p>
              <a:r>
                <a:rPr lang="es-PE" sz="1100"/>
                <a:t> </a:t>
              </a:r>
              <a14:m>
                <m:oMath xmlns:m="http://schemas.openxmlformats.org/officeDocument/2006/math">
                  <m:sSub>
                    <m:sSubPr>
                      <m:ctrlPr>
                        <a:rPr lang="es-PE" sz="1100" b="0" i="1">
                          <a:solidFill>
                            <a:schemeClr val="tx1"/>
                          </a:solidFill>
                          <a:effectLst/>
                          <a:latin typeface="Cambria Math" panose="02040503050406030204" pitchFamily="18" charset="0"/>
                          <a:ea typeface="+mn-ea"/>
                          <a:cs typeface="+mn-cs"/>
                        </a:rPr>
                      </m:ctrlPr>
                    </m:sSubPr>
                    <m:e>
                      <m:r>
                        <a:rPr lang="es-PE" sz="1100" b="0" i="1">
                          <a:solidFill>
                            <a:schemeClr val="tx1"/>
                          </a:solidFill>
                          <a:effectLst/>
                          <a:latin typeface="Cambria Math" panose="02040503050406030204" pitchFamily="18" charset="0"/>
                          <a:ea typeface="+mn-ea"/>
                          <a:cs typeface="+mn-cs"/>
                        </a:rPr>
                        <m:t>𝑄𝐷𝑜</m:t>
                      </m:r>
                    </m:e>
                    <m:sub>
                      <m:r>
                        <a:rPr lang="es-PE" sz="1100" b="0" i="1">
                          <a:solidFill>
                            <a:schemeClr val="tx1"/>
                          </a:solidFill>
                          <a:effectLst/>
                          <a:latin typeface="Cambria Math" panose="02040503050406030204" pitchFamily="18" charset="0"/>
                          <a:ea typeface="+mn-ea"/>
                          <a:cs typeface="+mn-cs"/>
                        </a:rPr>
                        <m:t>𝑜</m:t>
                      </m:r>
                    </m:sub>
                  </m:sSub>
                </m:oMath>
              </a14:m>
              <a:r>
                <a:rPr lang="es-PE" sz="1100"/>
                <a:t>: Cantidad de docentes con capacidades actualizadas. </a:t>
              </a:r>
            </a:p>
            <a:p>
              <a:r>
                <a:rPr lang="es-PE" sz="1100"/>
                <a:t> </a:t>
              </a:r>
              <a14:m>
                <m:oMath xmlns:m="http://schemas.openxmlformats.org/officeDocument/2006/math">
                  <m:sSub>
                    <m:sSubPr>
                      <m:ctrlPr>
                        <a:rPr lang="es-PE" sz="1100" b="0" i="1">
                          <a:solidFill>
                            <a:schemeClr val="tx1"/>
                          </a:solidFill>
                          <a:effectLst/>
                          <a:latin typeface="Cambria Math" panose="02040503050406030204" pitchFamily="18" charset="0"/>
                          <a:ea typeface="+mn-ea"/>
                          <a:cs typeface="+mn-cs"/>
                        </a:rPr>
                      </m:ctrlPr>
                    </m:sSubPr>
                    <m:e>
                      <m:r>
                        <a:rPr lang="es-PE" sz="1100" b="0" i="1">
                          <a:solidFill>
                            <a:schemeClr val="tx1"/>
                          </a:solidFill>
                          <a:effectLst/>
                          <a:latin typeface="Cambria Math" panose="02040503050406030204" pitchFamily="18" charset="0"/>
                          <a:ea typeface="+mn-ea"/>
                          <a:cs typeface="+mn-cs"/>
                        </a:rPr>
                        <m:t>𝑄𝑚𝑒</m:t>
                      </m:r>
                    </m:e>
                    <m:sub>
                      <m:r>
                        <a:rPr lang="es-PE" sz="1100" b="0" i="1">
                          <a:solidFill>
                            <a:schemeClr val="tx1"/>
                          </a:solidFill>
                          <a:effectLst/>
                          <a:latin typeface="Cambria Math" panose="02040503050406030204" pitchFamily="18" charset="0"/>
                          <a:ea typeface="+mn-ea"/>
                          <a:cs typeface="+mn-cs"/>
                        </a:rPr>
                        <m:t>𝑜</m:t>
                      </m:r>
                    </m:sub>
                  </m:sSub>
                </m:oMath>
              </a14:m>
              <a:r>
                <a:rPr lang="es-PE" sz="1100"/>
                <a:t>: Cantidad de módulo de equipamiento adecuados. </a:t>
              </a:r>
            </a:p>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s-PE" sz="1100" b="0" i="1">
                          <a:solidFill>
                            <a:schemeClr val="tx1"/>
                          </a:solidFill>
                          <a:effectLst/>
                          <a:latin typeface="Cambria Math" panose="02040503050406030204" pitchFamily="18" charset="0"/>
                          <a:ea typeface="+mn-ea"/>
                          <a:cs typeface="+mn-cs"/>
                        </a:rPr>
                      </m:ctrlPr>
                    </m:sSubPr>
                    <m:e>
                      <m:r>
                        <a:rPr lang="es-PE" sz="1100" b="0" i="1">
                          <a:solidFill>
                            <a:schemeClr val="tx1"/>
                          </a:solidFill>
                          <a:effectLst/>
                          <a:latin typeface="Cambria Math" panose="02040503050406030204" pitchFamily="18" charset="0"/>
                          <a:ea typeface="+mn-ea"/>
                          <a:cs typeface="+mn-cs"/>
                        </a:rPr>
                        <m:t> </m:t>
                      </m:r>
                      <m:r>
                        <a:rPr lang="es-PE" sz="1100" b="0" i="1">
                          <a:solidFill>
                            <a:schemeClr val="tx1"/>
                          </a:solidFill>
                          <a:effectLst/>
                          <a:latin typeface="Cambria Math" panose="02040503050406030204" pitchFamily="18" charset="0"/>
                          <a:ea typeface="+mn-ea"/>
                          <a:cs typeface="+mn-cs"/>
                        </a:rPr>
                        <m:t>𝑄𝑃𝑒</m:t>
                      </m:r>
                    </m:e>
                    <m:sub>
                      <m:r>
                        <a:rPr lang="es-PE" sz="1100" b="0" i="1">
                          <a:solidFill>
                            <a:schemeClr val="tx1"/>
                          </a:solidFill>
                          <a:effectLst/>
                          <a:latin typeface="Cambria Math" panose="02040503050406030204" pitchFamily="18" charset="0"/>
                          <a:ea typeface="+mn-ea"/>
                          <a:cs typeface="+mn-cs"/>
                        </a:rPr>
                        <m:t>𝑜</m:t>
                      </m:r>
                    </m:sub>
                  </m:sSub>
                </m:oMath>
              </a14:m>
              <a:r>
                <a:rPr lang="es-PE" sz="1100">
                  <a:solidFill>
                    <a:schemeClr val="tx1"/>
                  </a:solidFill>
                  <a:effectLst/>
                  <a:latin typeface="+mn-lt"/>
                  <a:ea typeface="+mn-ea"/>
                  <a:cs typeface="+mn-cs"/>
                </a:rPr>
                <a:t>: Cantidad de personal</a:t>
              </a:r>
              <a:r>
                <a:rPr lang="es-PE" sz="1100" baseline="0">
                  <a:solidFill>
                    <a:schemeClr val="tx1"/>
                  </a:solidFill>
                  <a:effectLst/>
                  <a:latin typeface="+mn-lt"/>
                  <a:ea typeface="+mn-ea"/>
                  <a:cs typeface="+mn-cs"/>
                </a:rPr>
                <a:t> auxiliar y directivo capacitados</a:t>
              </a:r>
              <a:r>
                <a:rPr lang="es-PE" sz="1100">
                  <a:solidFill>
                    <a:schemeClr val="tx1"/>
                  </a:solidFill>
                  <a:effectLst/>
                  <a:latin typeface="+mn-lt"/>
                  <a:ea typeface="+mn-ea"/>
                  <a:cs typeface="+mn-cs"/>
                </a:rPr>
                <a:t>. </a:t>
              </a:r>
              <a:endParaRPr lang="es-PE">
                <a:effectLst/>
              </a:endParaRPr>
            </a:p>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s-PE" sz="1100" b="0" i="1">
                          <a:solidFill>
                            <a:schemeClr val="tx1"/>
                          </a:solidFill>
                          <a:effectLst/>
                          <a:latin typeface="Cambria Math" panose="02040503050406030204" pitchFamily="18" charset="0"/>
                          <a:ea typeface="+mn-ea"/>
                          <a:cs typeface="+mn-cs"/>
                        </a:rPr>
                      </m:ctrlPr>
                    </m:sSubPr>
                    <m:e>
                      <m:r>
                        <a:rPr lang="es-PE" sz="1100" b="0" i="1">
                          <a:solidFill>
                            <a:schemeClr val="tx1"/>
                          </a:solidFill>
                          <a:effectLst/>
                          <a:latin typeface="Cambria Math" panose="02040503050406030204" pitchFamily="18" charset="0"/>
                          <a:ea typeface="+mn-ea"/>
                          <a:cs typeface="+mn-cs"/>
                        </a:rPr>
                        <m:t> </m:t>
                      </m:r>
                      <m:r>
                        <a:rPr lang="es-PE" sz="1100" b="0" i="1">
                          <a:solidFill>
                            <a:schemeClr val="tx1"/>
                          </a:solidFill>
                          <a:effectLst/>
                          <a:latin typeface="Cambria Math" panose="02040503050406030204" pitchFamily="18" charset="0"/>
                          <a:ea typeface="+mn-ea"/>
                          <a:cs typeface="+mn-cs"/>
                        </a:rPr>
                        <m:t>𝑄𝑀𝑑</m:t>
                      </m:r>
                    </m:e>
                    <m:sub>
                      <m:r>
                        <a:rPr lang="es-PE" sz="1100" b="0" i="1">
                          <a:solidFill>
                            <a:schemeClr val="tx1"/>
                          </a:solidFill>
                          <a:effectLst/>
                          <a:latin typeface="Cambria Math" panose="02040503050406030204" pitchFamily="18" charset="0"/>
                          <a:ea typeface="+mn-ea"/>
                          <a:cs typeface="+mn-cs"/>
                        </a:rPr>
                        <m:t>𝑜</m:t>
                      </m:r>
                    </m:sub>
                  </m:sSub>
                </m:oMath>
              </a14:m>
              <a:r>
                <a:rPr lang="es-PE" sz="1100">
                  <a:solidFill>
                    <a:schemeClr val="tx1"/>
                  </a:solidFill>
                  <a:effectLst/>
                  <a:latin typeface="+mn-lt"/>
                  <a:ea typeface="+mn-ea"/>
                  <a:cs typeface="+mn-cs"/>
                </a:rPr>
                <a:t>: Cantidad de materiales</a:t>
              </a:r>
              <a:r>
                <a:rPr lang="es-PE" sz="1100" baseline="0">
                  <a:solidFill>
                    <a:schemeClr val="tx1"/>
                  </a:solidFill>
                  <a:effectLst/>
                  <a:latin typeface="+mn-lt"/>
                  <a:ea typeface="+mn-ea"/>
                  <a:cs typeface="+mn-cs"/>
                </a:rPr>
                <a:t> didácticos actualizado</a:t>
              </a:r>
              <a:r>
                <a:rPr lang="es-PE" sz="1100">
                  <a:solidFill>
                    <a:schemeClr val="tx1"/>
                  </a:solidFill>
                  <a:effectLst/>
                  <a:latin typeface="+mn-lt"/>
                  <a:ea typeface="+mn-ea"/>
                  <a:cs typeface="+mn-cs"/>
                </a:rPr>
                <a:t>. </a:t>
              </a:r>
              <a:endParaRPr lang="es-PE">
                <a:effectLst/>
              </a:endParaRPr>
            </a:p>
            <a:p>
              <a:endParaRPr lang="es-PE" sz="1100"/>
            </a:p>
            <a:p>
              <a:endParaRPr lang="es-PE" sz="1100" b="1"/>
            </a:p>
            <a:p>
              <a:r>
                <a:rPr lang="es-PE" sz="1100" b="1"/>
                <a:t>Rango de</a:t>
              </a:r>
              <a:r>
                <a:rPr lang="es-PE" sz="1100" b="1" baseline="0"/>
                <a:t> calidad:</a:t>
              </a:r>
            </a:p>
            <a:p>
              <a:endParaRPr lang="es-PE" sz="1100" baseline="0"/>
            </a:p>
            <a:p>
              <a:r>
                <a:rPr lang="es-PE" sz="1100" baseline="0"/>
                <a:t>Infraestructura adecuada: mínimo el 80% en buen estado por ambiente (normas técnicas de edifciaciones).</a:t>
              </a:r>
            </a:p>
            <a:p>
              <a:endParaRPr lang="es-PE" sz="1100" baseline="0"/>
            </a:p>
            <a:p>
              <a:r>
                <a:rPr lang="es-PE" sz="1100" baseline="0"/>
                <a:t>Docentes actualizados: mínimo una capacitación pedagógica en el penúltimo año.</a:t>
              </a:r>
            </a:p>
            <a:p>
              <a:endParaRPr lang="es-PE" sz="1100" baseline="0"/>
            </a:p>
            <a:p>
              <a:r>
                <a:rPr lang="es-PE" sz="1100" baseline="0"/>
                <a:t>Módulos de equipamiento: mínimo un 80% de equipamiento por ambiente en buen estado.</a:t>
              </a:r>
            </a:p>
            <a:p>
              <a:endParaRPr lang="es-PE" sz="1100" baseline="0"/>
            </a:p>
            <a:p>
              <a:r>
                <a:rPr lang="es-PE" sz="1100" baseline="0"/>
                <a:t>Personal Auxiliar: mínimo con una capacitación pedagógica en el penúltimo año.</a:t>
              </a:r>
            </a:p>
            <a:p>
              <a:endParaRPr lang="es-PE" sz="1100" baseline="0"/>
            </a:p>
            <a:p>
              <a:r>
                <a:rPr lang="es-PE" sz="1100" baseline="0"/>
                <a:t>Materiales didácticos: mínimo con una atiguedad de x años.</a:t>
              </a:r>
              <a:endParaRPr lang="es-PE" sz="1100"/>
            </a:p>
            <a:p>
              <a:endParaRPr lang="es-PE" sz="1100"/>
            </a:p>
          </xdr:txBody>
        </xdr:sp>
      </mc:Choice>
      <mc:Fallback xmlns="">
        <xdr:sp macro="" textlink="">
          <xdr:nvSpPr>
            <xdr:cNvPr id="2" name="CuadroTexto 1"/>
            <xdr:cNvSpPr txBox="1"/>
          </xdr:nvSpPr>
          <xdr:spPr>
            <a:xfrm>
              <a:off x="236506" y="556102"/>
              <a:ext cx="4297394" cy="4835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s-PE" sz="1100" b="1" i="0">
                  <a:latin typeface="Cambria Math" panose="02040503050406030204" pitchFamily="18" charset="0"/>
                </a:rPr>
                <a:t>𝒇(𝑬𝑩𝑹)=〖𝑸𝒊〗_𝒐</a:t>
              </a:r>
              <a:r>
                <a:rPr lang="es-PE" sz="1100" b="1"/>
                <a:t>+ </a:t>
              </a:r>
              <a:r>
                <a:rPr lang="es-PE" sz="1100" b="1" i="0">
                  <a:solidFill>
                    <a:schemeClr val="tx1"/>
                  </a:solidFill>
                  <a:effectLst/>
                  <a:latin typeface="Cambria Math" panose="02040503050406030204" pitchFamily="18" charset="0"/>
                  <a:ea typeface="+mn-ea"/>
                  <a:cs typeface="+mn-cs"/>
                </a:rPr>
                <a:t>〖𝑸𝑫𝒐〗_𝒐+〖𝑸𝒎𝒆〗_𝒐</a:t>
              </a:r>
              <a:r>
                <a:rPr lang="es-PE" sz="1100" b="1"/>
                <a:t>+ </a:t>
              </a:r>
              <a:r>
                <a:rPr lang="es-PE" sz="1100" b="1" i="0">
                  <a:solidFill>
                    <a:schemeClr val="tx1"/>
                  </a:solidFill>
                  <a:effectLst/>
                  <a:latin typeface="Cambria Math" panose="02040503050406030204" pitchFamily="18" charset="0"/>
                  <a:ea typeface="+mn-ea"/>
                  <a:cs typeface="+mn-cs"/>
                </a:rPr>
                <a:t>〖𝑸𝑷𝒆〗_𝒐</a:t>
              </a:r>
              <a:r>
                <a:rPr lang="es-PE" sz="1100" b="1"/>
                <a:t>+</a:t>
              </a:r>
              <a:r>
                <a:rPr lang="es-PE" sz="1100" b="1" i="0">
                  <a:solidFill>
                    <a:schemeClr val="tx1"/>
                  </a:solidFill>
                  <a:effectLst/>
                  <a:latin typeface="Cambria Math" panose="02040503050406030204" pitchFamily="18" charset="0"/>
                  <a:ea typeface="+mn-ea"/>
                  <a:cs typeface="+mn-cs"/>
                </a:rPr>
                <a:t>〖𝑸𝑴𝒅〗_𝒐</a:t>
              </a:r>
              <a:endParaRPr lang="es-PE" sz="1100" b="1"/>
            </a:p>
            <a:p>
              <a:endParaRPr lang="es-PE" sz="1100"/>
            </a:p>
            <a:p>
              <a:r>
                <a:rPr lang="es-PE" sz="1100"/>
                <a:t>s.a. modelo pedagógico</a:t>
              </a:r>
              <a:r>
                <a:rPr lang="es-PE" sz="1100" baseline="0"/>
                <a:t> y normativo permanece constante,</a:t>
              </a:r>
            </a:p>
            <a:p>
              <a:endParaRPr lang="es-PE" sz="1100" baseline="0"/>
            </a:p>
            <a:p>
              <a:r>
                <a:rPr lang="es-PE" sz="1100" b="1" baseline="0"/>
                <a:t>donde:</a:t>
              </a:r>
            </a:p>
            <a:p>
              <a:endParaRPr lang="es-PE" sz="1100" baseline="0"/>
            </a:p>
            <a:p>
              <a:r>
                <a:rPr lang="es-PE" sz="1100" b="0">
                  <a:solidFill>
                    <a:schemeClr val="tx1"/>
                  </a:solidFill>
                  <a:effectLst/>
                  <a:ea typeface="+mn-ea"/>
                  <a:cs typeface="+mn-cs"/>
                </a:rPr>
                <a:t>  </a:t>
              </a:r>
              <a:r>
                <a:rPr lang="es-PE" sz="1100" b="0" i="0">
                  <a:solidFill>
                    <a:schemeClr val="tx1"/>
                  </a:solidFill>
                  <a:effectLst/>
                  <a:latin typeface="Cambria Math" panose="02040503050406030204" pitchFamily="18" charset="0"/>
                  <a:ea typeface="+mn-ea"/>
                  <a:cs typeface="+mn-cs"/>
                </a:rPr>
                <a:t>〖𝑄𝑖〗_𝑜</a:t>
              </a:r>
              <a:r>
                <a:rPr lang="es-PE" sz="1100"/>
                <a:t>   : Cantidad de infraestructura adecuada.</a:t>
              </a:r>
            </a:p>
            <a:p>
              <a:r>
                <a:rPr lang="es-PE" sz="1100"/>
                <a:t> </a:t>
              </a:r>
              <a:r>
                <a:rPr lang="es-PE" sz="1100" b="0" i="0">
                  <a:solidFill>
                    <a:schemeClr val="tx1"/>
                  </a:solidFill>
                  <a:effectLst/>
                  <a:latin typeface="Cambria Math" panose="02040503050406030204" pitchFamily="18" charset="0"/>
                  <a:ea typeface="+mn-ea"/>
                  <a:cs typeface="+mn-cs"/>
                </a:rPr>
                <a:t>〖𝑄𝐷𝑜〗_𝑜</a:t>
              </a:r>
              <a:r>
                <a:rPr lang="es-PE" sz="1100"/>
                <a:t>: Cantidad de docentes con capacidades actualizadas. </a:t>
              </a:r>
            </a:p>
            <a:p>
              <a:r>
                <a:rPr lang="es-PE" sz="1100"/>
                <a:t> </a:t>
              </a:r>
              <a:r>
                <a:rPr lang="es-PE" sz="1100" b="0" i="0">
                  <a:solidFill>
                    <a:schemeClr val="tx1"/>
                  </a:solidFill>
                  <a:effectLst/>
                  <a:latin typeface="Cambria Math" panose="02040503050406030204" pitchFamily="18" charset="0"/>
                  <a:ea typeface="+mn-ea"/>
                  <a:cs typeface="+mn-cs"/>
                </a:rPr>
                <a:t>〖𝑄𝑚𝑒〗_𝑜</a:t>
              </a:r>
              <a:r>
                <a:rPr lang="es-PE" sz="1100"/>
                <a:t>: Cantidad de módulo de equipamiento adecuados. </a:t>
              </a:r>
            </a:p>
            <a:p>
              <a:pPr marL="0" marR="0" indent="0" defTabSz="914400" eaLnBrk="1" fontAlgn="auto" latinLnBrk="0" hangingPunct="1">
                <a:lnSpc>
                  <a:spcPct val="100000"/>
                </a:lnSpc>
                <a:spcBef>
                  <a:spcPts val="0"/>
                </a:spcBef>
                <a:spcAft>
                  <a:spcPts val="0"/>
                </a:spcAft>
                <a:buClrTx/>
                <a:buSzTx/>
                <a:buFontTx/>
                <a:buNone/>
                <a:tabLst/>
                <a:defRPr/>
              </a:pPr>
              <a:r>
                <a:rPr lang="es-PE" sz="1100" b="0" i="0">
                  <a:solidFill>
                    <a:schemeClr val="tx1"/>
                  </a:solidFill>
                  <a:effectLst/>
                  <a:latin typeface="Cambria Math" panose="02040503050406030204" pitchFamily="18" charset="0"/>
                  <a:ea typeface="+mn-ea"/>
                  <a:cs typeface="+mn-cs"/>
                </a:rPr>
                <a:t>〖 𝑄𝑃𝑒〗_𝑜</a:t>
              </a:r>
              <a:r>
                <a:rPr lang="es-PE" sz="1100">
                  <a:solidFill>
                    <a:schemeClr val="tx1"/>
                  </a:solidFill>
                  <a:effectLst/>
                  <a:latin typeface="+mn-lt"/>
                  <a:ea typeface="+mn-ea"/>
                  <a:cs typeface="+mn-cs"/>
                </a:rPr>
                <a:t>: Cantidad de personal</a:t>
              </a:r>
              <a:r>
                <a:rPr lang="es-PE" sz="1100" baseline="0">
                  <a:solidFill>
                    <a:schemeClr val="tx1"/>
                  </a:solidFill>
                  <a:effectLst/>
                  <a:latin typeface="+mn-lt"/>
                  <a:ea typeface="+mn-ea"/>
                  <a:cs typeface="+mn-cs"/>
                </a:rPr>
                <a:t> auxiliar y directivo capacitados</a:t>
              </a:r>
              <a:r>
                <a:rPr lang="es-PE" sz="1100">
                  <a:solidFill>
                    <a:schemeClr val="tx1"/>
                  </a:solidFill>
                  <a:effectLst/>
                  <a:latin typeface="+mn-lt"/>
                  <a:ea typeface="+mn-ea"/>
                  <a:cs typeface="+mn-cs"/>
                </a:rPr>
                <a:t>. </a:t>
              </a:r>
              <a:endParaRPr lang="es-PE">
                <a:effectLst/>
              </a:endParaRPr>
            </a:p>
            <a:p>
              <a:pPr marL="0" marR="0" indent="0" defTabSz="914400" eaLnBrk="1" fontAlgn="auto" latinLnBrk="0" hangingPunct="1">
                <a:lnSpc>
                  <a:spcPct val="100000"/>
                </a:lnSpc>
                <a:spcBef>
                  <a:spcPts val="0"/>
                </a:spcBef>
                <a:spcAft>
                  <a:spcPts val="0"/>
                </a:spcAft>
                <a:buClrTx/>
                <a:buSzTx/>
                <a:buFontTx/>
                <a:buNone/>
                <a:tabLst/>
                <a:defRPr/>
              </a:pPr>
              <a:r>
                <a:rPr lang="es-PE" sz="1100" b="0" i="0">
                  <a:solidFill>
                    <a:schemeClr val="tx1"/>
                  </a:solidFill>
                  <a:effectLst/>
                  <a:latin typeface="Cambria Math" panose="02040503050406030204" pitchFamily="18" charset="0"/>
                  <a:ea typeface="+mn-ea"/>
                  <a:cs typeface="+mn-cs"/>
                </a:rPr>
                <a:t>〖 𝑄𝑀𝑑〗_𝑜</a:t>
              </a:r>
              <a:r>
                <a:rPr lang="es-PE" sz="1100">
                  <a:solidFill>
                    <a:schemeClr val="tx1"/>
                  </a:solidFill>
                  <a:effectLst/>
                  <a:latin typeface="+mn-lt"/>
                  <a:ea typeface="+mn-ea"/>
                  <a:cs typeface="+mn-cs"/>
                </a:rPr>
                <a:t>: Cantidad de materiales</a:t>
              </a:r>
              <a:r>
                <a:rPr lang="es-PE" sz="1100" baseline="0">
                  <a:solidFill>
                    <a:schemeClr val="tx1"/>
                  </a:solidFill>
                  <a:effectLst/>
                  <a:latin typeface="+mn-lt"/>
                  <a:ea typeface="+mn-ea"/>
                  <a:cs typeface="+mn-cs"/>
                </a:rPr>
                <a:t> didácticos actualizado</a:t>
              </a:r>
              <a:r>
                <a:rPr lang="es-PE" sz="1100">
                  <a:solidFill>
                    <a:schemeClr val="tx1"/>
                  </a:solidFill>
                  <a:effectLst/>
                  <a:latin typeface="+mn-lt"/>
                  <a:ea typeface="+mn-ea"/>
                  <a:cs typeface="+mn-cs"/>
                </a:rPr>
                <a:t>. </a:t>
              </a:r>
              <a:endParaRPr lang="es-PE">
                <a:effectLst/>
              </a:endParaRPr>
            </a:p>
            <a:p>
              <a:endParaRPr lang="es-PE" sz="1100"/>
            </a:p>
            <a:p>
              <a:endParaRPr lang="es-PE" sz="1100" b="1"/>
            </a:p>
            <a:p>
              <a:r>
                <a:rPr lang="es-PE" sz="1100" b="1"/>
                <a:t>Rango de</a:t>
              </a:r>
              <a:r>
                <a:rPr lang="es-PE" sz="1100" b="1" baseline="0"/>
                <a:t> calidad:</a:t>
              </a:r>
            </a:p>
            <a:p>
              <a:endParaRPr lang="es-PE" sz="1100" baseline="0"/>
            </a:p>
            <a:p>
              <a:r>
                <a:rPr lang="es-PE" sz="1100" baseline="0"/>
                <a:t>Infraestructura adecuada: mínimo el 80% en buen estado por ambiente (normas técnicas de edifciaciones).</a:t>
              </a:r>
            </a:p>
            <a:p>
              <a:endParaRPr lang="es-PE" sz="1100" baseline="0"/>
            </a:p>
            <a:p>
              <a:r>
                <a:rPr lang="es-PE" sz="1100" baseline="0"/>
                <a:t>Docentes actualizados: mínimo una capacitación pedagógica en el penúltimo año.</a:t>
              </a:r>
            </a:p>
            <a:p>
              <a:endParaRPr lang="es-PE" sz="1100" baseline="0"/>
            </a:p>
            <a:p>
              <a:r>
                <a:rPr lang="es-PE" sz="1100" baseline="0"/>
                <a:t>Módulos de equipamiento: mínimo un 80% de equipamiento por ambiente en buen estado.</a:t>
              </a:r>
            </a:p>
            <a:p>
              <a:endParaRPr lang="es-PE" sz="1100" baseline="0"/>
            </a:p>
            <a:p>
              <a:r>
                <a:rPr lang="es-PE" sz="1100" baseline="0"/>
                <a:t>Personal Auxiliar: mínimo con una capacitación pedagógica en el penúltimo año.</a:t>
              </a:r>
            </a:p>
            <a:p>
              <a:endParaRPr lang="es-PE" sz="1100" baseline="0"/>
            </a:p>
            <a:p>
              <a:r>
                <a:rPr lang="es-PE" sz="1100" baseline="0"/>
                <a:t>Materiales didácticos: mínimo con una atiguedad de x años.</a:t>
              </a:r>
              <a:endParaRPr lang="es-PE" sz="1100"/>
            </a:p>
            <a:p>
              <a:endParaRPr lang="es-PE"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sistenteup0\Desktop\BECHER_2017\0.%20METODOLOGIAS_EDUCACION\3.%20FICHA%20ESTANDAR\F_Estandar_18.05.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SISTENTEUP0\AppData\Roaming\Microsoft\Excel\FICHA_TECNICA_SIMPLIFICADA%20(version%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Propietario\Desktop\INVIERTE.PE\FICHA_NOPIP_V10.0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ropietario\Desktop\pip%20modelo_jacky\CD%20Presentado_31_03\PIP\I.E.%207075%20Juan%20Pablo%20II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ESTANDAR"/>
      <sheetName val="OFERTA IEI"/>
      <sheetName val="Prop_ambientes"/>
      <sheetName val="ALTERNO"/>
      <sheetName val="O-D"/>
      <sheetName val="Anexo 1_Diag"/>
      <sheetName val="Anexo 2_O-D"/>
      <sheetName val="Base_datos"/>
      <sheetName val="Anexo 3_Arq"/>
      <sheetName val="Anexo 4_Ppto"/>
      <sheetName val="Anexo 5_Cronog"/>
      <sheetName val="Anexo 6_Arreglos"/>
      <sheetName val="Anexo 7_Otros Doc"/>
      <sheetName val="D1"/>
      <sheetName val="ESCONDER"/>
    </sheetNames>
    <sheetDataSet>
      <sheetData sheetId="0"/>
      <sheetData sheetId="1"/>
      <sheetData sheetId="2"/>
      <sheetData sheetId="3"/>
      <sheetData sheetId="4"/>
      <sheetData sheetId="5"/>
      <sheetData sheetId="6"/>
      <sheetData sheetId="7">
        <row r="2">
          <cell r="D2" t="str">
            <v>Zona</v>
          </cell>
        </row>
        <row r="3">
          <cell r="C3" t="str">
            <v>Inicial</v>
          </cell>
        </row>
        <row r="4">
          <cell r="C4" t="str">
            <v>Primaria</v>
          </cell>
        </row>
        <row r="5">
          <cell r="C5" t="str">
            <v>Secundaria</v>
          </cell>
        </row>
      </sheetData>
      <sheetData sheetId="8"/>
      <sheetData sheetId="9"/>
      <sheetData sheetId="10"/>
      <sheetData sheetId="11"/>
      <sheetData sheetId="12"/>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SIMPLIFICAD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_FICHA_REGISTRO INVERSION"/>
      <sheetName val="F_OPTIMIZACIÓN"/>
      <sheetName val="F_AMPLIACIÓN_M"/>
      <sheetName val="F_REPOSICIÓN"/>
      <sheetName val="F_REHABILITACIÓN"/>
      <sheetName val="Tipos de intervencion"/>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ituciones"/>
      <sheetName val="Cpv 1993"/>
      <sheetName val="Censo PV 2007-Chorrillos"/>
      <sheetName val="Cpv 2007"/>
      <sheetName val="Pobl. Ref."/>
      <sheetName val="Pobl. Potencial"/>
      <sheetName val="Area_Influencia_SIGE"/>
      <sheetName val="Proyección población"/>
      <sheetName val="Població EESS"/>
      <sheetName val="NOMINAS "/>
      <sheetName val="Pobl. Demandante efectiva"/>
      <sheetName val="PIP "/>
      <sheetName val="Encuesta"/>
      <sheetName val="Cálculo participación"/>
      <sheetName val="Demanda de poblacion potencial"/>
      <sheetName val="Demanda Efectiva sin proyecto"/>
      <sheetName val="Demanda efectiva con proyecto"/>
      <sheetName val="oferta equi y mobil"/>
      <sheetName val="Oferta Infra.(aulas y comple.) "/>
      <sheetName val="Oferta de RR.HH"/>
      <sheetName val="Optimiza RRHH"/>
      <sheetName val="Optimi Infraes"/>
      <sheetName val="opt equi y mob"/>
      <sheetName val="Optimi Alumnos"/>
      <sheetName val="Brecha alumnos"/>
      <sheetName val="brecha infraestr"/>
      <sheetName val="Brecha RR HH"/>
      <sheetName val="Metas-equip y mobil"/>
      <sheetName val="Hoja1"/>
      <sheetName val="Brecha"/>
      <sheetName val="Brecha de mobiliario"/>
      <sheetName val="Programacion de Ambientes "/>
      <sheetName val="Gestión y Prov.Serv"/>
      <sheetName val="Brecha Muebles  en el horizonte"/>
      <sheetName val="Gastos de Gestión "/>
      <sheetName val="Expediente Tecnico"/>
      <sheetName val="SUPERV "/>
      <sheetName val="GG "/>
      <sheetName val="Mitigacion Impacto Amb"/>
      <sheetName val="Costo Mobiliario y Equipo"/>
      <sheetName val="Costo Total Inversion"/>
      <sheetName val="Presupuesto a PP &amp; PS"/>
      <sheetName val="Resumen Presupuesto"/>
      <sheetName val="Costo de O&amp;M (Datos)"/>
      <sheetName val="CO&amp;M"/>
      <sheetName val="O&amp;M sin PIP privado"/>
      <sheetName val="O y M"/>
      <sheetName val="O&amp;M sin PIP Social"/>
      <sheetName val="O&amp;M con PIP priv y soc"/>
      <sheetName val="EVAL_PP"/>
      <sheetName val="EVAL_PS"/>
      <sheetName val="SENSIBILIDAD"/>
      <sheetName val="Indicadores Rentabilidad"/>
      <sheetName val="Financiamiento"/>
      <sheetName val="Cronograma Financiero "/>
      <sheetName val="Cronograma Financiero PP"/>
      <sheetName val="Cronograma Financiero PS"/>
      <sheetName val="Cronograma Fisico"/>
      <sheetName val="Proceso de Ejecucion"/>
      <sheetName val="Marco Logico"/>
      <sheetName val="Hoja5"/>
      <sheetName val="Hoja3"/>
      <sheetName val="Cronograma"/>
      <sheetName val="Finan."/>
      <sheetName val="Hoja2"/>
      <sheetName val="FICHA_ESTANDAR"/>
      <sheetName val="D1"/>
      <sheetName val="Base_datos"/>
      <sheetName val="Anexo 1_Diag"/>
      <sheetName val="Anexo 2_O-D"/>
      <sheetName val="Anexo 3_Arq"/>
      <sheetName val="Anexo 4_Ppto"/>
      <sheetName val="Anexo 5_EVAL"/>
      <sheetName val="PROG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49">
          <cell r="Q49">
            <v>2469</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5">
          <cell r="B45" t="str">
            <v>Cerco e Ingresos</v>
          </cell>
        </row>
      </sheetData>
      <sheetData sheetId="32"/>
      <sheetData sheetId="33"/>
      <sheetData sheetId="34">
        <row r="22">
          <cell r="I22">
            <v>62476.5</v>
          </cell>
        </row>
      </sheetData>
      <sheetData sheetId="35">
        <row r="40">
          <cell r="I40">
            <v>93550.399999999994</v>
          </cell>
        </row>
      </sheetData>
      <sheetData sheetId="36">
        <row r="50">
          <cell r="G50">
            <v>129164.98407499329</v>
          </cell>
        </row>
      </sheetData>
      <sheetData sheetId="37">
        <row r="61">
          <cell r="I61">
            <v>254709.31275578536</v>
          </cell>
        </row>
      </sheetData>
      <sheetData sheetId="38">
        <row r="16">
          <cell r="H16">
            <v>17815</v>
          </cell>
        </row>
      </sheetData>
      <sheetData sheetId="39">
        <row r="120">
          <cell r="I120">
            <v>180285</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57">
          <cell r="D57">
            <v>0</v>
          </cell>
        </row>
        <row r="63">
          <cell r="D63">
            <v>0</v>
          </cell>
        </row>
        <row r="69">
          <cell r="I69">
            <v>0</v>
          </cell>
        </row>
        <row r="82">
          <cell r="H82">
            <v>0</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theme="9" tint="-0.249977111117893"/>
    <outlinePr summaryBelow="0"/>
  </sheetPr>
  <dimension ref="B2:S442"/>
  <sheetViews>
    <sheetView showGridLines="0" tabSelected="1" view="pageBreakPreview" topLeftCell="C1" zoomScaleNormal="100" zoomScaleSheetLayoutView="100" workbookViewId="0">
      <selection activeCell="H106" sqref="H106:I106"/>
    </sheetView>
  </sheetViews>
  <sheetFormatPr baseColWidth="10" defaultColWidth="11.42578125" defaultRowHeight="12.75" outlineLevelRow="3"/>
  <cols>
    <col min="1" max="1" width="8.7109375" style="934" customWidth="1"/>
    <col min="2" max="2" width="7" style="934" customWidth="1"/>
    <col min="3" max="3" width="3" style="934" customWidth="1"/>
    <col min="4" max="4" width="11.7109375" style="969" customWidth="1"/>
    <col min="5" max="5" width="12.85546875" style="934" customWidth="1"/>
    <col min="6" max="6" width="10.28515625" style="934" customWidth="1"/>
    <col min="7" max="7" width="11.140625" style="934" customWidth="1"/>
    <col min="8" max="8" width="13.42578125" style="934" customWidth="1"/>
    <col min="9" max="9" width="16.28515625" style="934" customWidth="1"/>
    <col min="10" max="10" width="12.85546875" style="934" customWidth="1"/>
    <col min="11" max="11" width="12.5703125" style="934" customWidth="1"/>
    <col min="12" max="12" width="11.28515625" style="934" customWidth="1"/>
    <col min="13" max="13" width="13.85546875" style="1066" customWidth="1"/>
    <col min="14" max="14" width="16.5703125" style="934" customWidth="1"/>
    <col min="15" max="15" width="12.28515625" style="934" customWidth="1"/>
    <col min="16" max="16" width="14" style="934" customWidth="1"/>
    <col min="17" max="17" width="1" style="934" customWidth="1"/>
    <col min="18" max="18" width="16.28515625" style="934" customWidth="1"/>
    <col min="19" max="16384" width="11.42578125" style="934"/>
  </cols>
  <sheetData>
    <row r="2" spans="3:17" ht="50.25" customHeight="1">
      <c r="C2" s="1603" t="s">
        <v>1810</v>
      </c>
      <c r="D2" s="1604"/>
      <c r="E2" s="1604"/>
      <c r="F2" s="1604"/>
      <c r="G2" s="1604"/>
      <c r="H2" s="1604"/>
      <c r="I2" s="1604"/>
      <c r="J2" s="1604"/>
      <c r="K2" s="1604"/>
      <c r="L2" s="1604"/>
      <c r="M2" s="1604"/>
      <c r="N2" s="1604"/>
      <c r="O2" s="1604"/>
      <c r="P2" s="1604"/>
      <c r="Q2" s="1605"/>
    </row>
    <row r="3" spans="3:17" ht="12.75" customHeight="1">
      <c r="C3" s="1606" t="s">
        <v>1501</v>
      </c>
      <c r="D3" s="1607"/>
      <c r="E3" s="1607"/>
      <c r="F3" s="1607"/>
      <c r="G3" s="1607"/>
      <c r="H3" s="1607"/>
      <c r="I3" s="1607"/>
      <c r="J3" s="1607"/>
      <c r="K3" s="1607"/>
      <c r="L3" s="1607"/>
      <c r="M3" s="1607"/>
      <c r="N3" s="1607"/>
      <c r="O3" s="1607"/>
      <c r="P3" s="1607"/>
      <c r="Q3" s="1373"/>
    </row>
    <row r="4" spans="3:17">
      <c r="C4" s="1608" t="s">
        <v>201</v>
      </c>
      <c r="D4" s="1609"/>
      <c r="E4" s="1609"/>
      <c r="F4" s="1609"/>
      <c r="G4" s="1609"/>
      <c r="H4" s="1609"/>
      <c r="I4" s="1609"/>
      <c r="J4" s="1609"/>
      <c r="K4" s="1609"/>
      <c r="L4" s="1609"/>
      <c r="M4" s="1609"/>
      <c r="N4" s="1609"/>
      <c r="O4" s="1609"/>
      <c r="P4" s="1609"/>
      <c r="Q4" s="1610"/>
    </row>
    <row r="5" spans="3:17" ht="15" customHeight="1">
      <c r="C5" s="1343"/>
      <c r="D5" s="1341"/>
      <c r="E5" s="1341"/>
      <c r="F5" s="1341"/>
      <c r="G5" s="1341"/>
      <c r="H5" s="1341"/>
      <c r="I5" s="1341"/>
      <c r="J5" s="1341"/>
      <c r="K5" s="1341"/>
      <c r="L5" s="1341"/>
      <c r="M5" s="1341"/>
      <c r="N5" s="1341"/>
      <c r="O5" s="1341"/>
      <c r="P5" s="1341"/>
      <c r="Q5" s="1342"/>
    </row>
    <row r="6" spans="3:17" ht="15">
      <c r="C6" s="1197" t="s">
        <v>83</v>
      </c>
      <c r="D6" s="1095"/>
      <c r="E6" s="1096"/>
      <c r="F6" s="1096"/>
      <c r="G6" s="1096"/>
      <c r="H6" s="1096"/>
      <c r="I6" s="1096"/>
      <c r="J6" s="1096"/>
      <c r="K6" s="1096"/>
      <c r="L6" s="1096"/>
      <c r="M6" s="1097"/>
      <c r="N6" s="1096"/>
      <c r="O6" s="1096"/>
      <c r="P6" s="1096"/>
      <c r="Q6" s="1098"/>
    </row>
    <row r="7" spans="3:17" s="944" customFormat="1" ht="9.75" customHeight="1" outlineLevel="1">
      <c r="C7" s="936"/>
      <c r="D7" s="937"/>
      <c r="E7" s="938"/>
      <c r="F7" s="938"/>
      <c r="G7" s="939"/>
      <c r="H7" s="939"/>
      <c r="I7" s="939"/>
      <c r="J7" s="939"/>
      <c r="K7" s="940"/>
      <c r="L7" s="941"/>
      <c r="M7" s="942"/>
      <c r="N7" s="939"/>
      <c r="O7" s="939"/>
      <c r="P7" s="939"/>
      <c r="Q7" s="943"/>
    </row>
    <row r="8" spans="3:17" s="944" customFormat="1" outlineLevel="1">
      <c r="C8" s="936"/>
      <c r="D8" s="945" t="s">
        <v>84</v>
      </c>
      <c r="E8" s="938"/>
      <c r="F8" s="938"/>
      <c r="G8" s="939"/>
      <c r="H8" s="939"/>
      <c r="I8" s="939"/>
      <c r="J8" s="939"/>
      <c r="K8" s="940"/>
      <c r="L8" s="941"/>
      <c r="M8" s="946"/>
      <c r="N8" s="947"/>
      <c r="O8" s="940"/>
      <c r="P8" s="939"/>
      <c r="Q8" s="948"/>
    </row>
    <row r="9" spans="3:17" s="944" customFormat="1" ht="9.75" customHeight="1" outlineLevel="2">
      <c r="C9" s="936"/>
      <c r="D9" s="945"/>
      <c r="E9" s="938"/>
      <c r="F9" s="938"/>
      <c r="G9" s="939"/>
      <c r="H9" s="939"/>
      <c r="I9" s="939"/>
      <c r="J9" s="939"/>
      <c r="K9" s="939"/>
      <c r="L9" s="939"/>
      <c r="M9" s="939"/>
      <c r="N9" s="939"/>
      <c r="O9" s="939"/>
      <c r="P9" s="939"/>
      <c r="Q9" s="948"/>
    </row>
    <row r="10" spans="3:17" s="951" customFormat="1" ht="15.75" customHeight="1" outlineLevel="2">
      <c r="C10" s="949"/>
      <c r="D10" s="1620" t="s">
        <v>1308</v>
      </c>
      <c r="E10" s="1620"/>
      <c r="F10" s="1620"/>
      <c r="G10" s="1620"/>
      <c r="H10" s="1620"/>
      <c r="I10" s="1620"/>
      <c r="J10" s="1615" t="s">
        <v>1309</v>
      </c>
      <c r="K10" s="1615"/>
      <c r="L10" s="1615" t="s">
        <v>1310</v>
      </c>
      <c r="M10" s="1615"/>
      <c r="N10" s="1615"/>
      <c r="O10" s="1295"/>
      <c r="P10" s="1083"/>
      <c r="Q10" s="950"/>
    </row>
    <row r="11" spans="3:17" s="944" customFormat="1" ht="33" customHeight="1" outlineLevel="2">
      <c r="C11" s="936"/>
      <c r="D11" s="1619" t="s">
        <v>119</v>
      </c>
      <c r="E11" s="1619"/>
      <c r="F11" s="1619"/>
      <c r="G11" s="1619"/>
      <c r="H11" s="1619"/>
      <c r="I11" s="1619"/>
      <c r="J11" s="1617" t="s">
        <v>1600</v>
      </c>
      <c r="K11" s="1618"/>
      <c r="L11" s="1616" t="s">
        <v>1601</v>
      </c>
      <c r="M11" s="1616"/>
      <c r="N11" s="1616"/>
      <c r="O11" s="1295"/>
      <c r="P11" s="939"/>
      <c r="Q11" s="952"/>
    </row>
    <row r="12" spans="3:17" s="944" customFormat="1" ht="13.5" customHeight="1" outlineLevel="2">
      <c r="C12" s="936"/>
      <c r="D12" s="1101"/>
      <c r="E12" s="1101"/>
      <c r="F12" s="1101"/>
      <c r="G12" s="1101"/>
      <c r="H12" s="1101"/>
      <c r="I12" s="1101"/>
      <c r="J12" s="1295"/>
      <c r="K12" s="1093"/>
      <c r="L12" s="1296"/>
      <c r="M12" s="1296"/>
      <c r="N12" s="939"/>
      <c r="O12" s="939"/>
      <c r="P12" s="939"/>
      <c r="Q12" s="952"/>
    </row>
    <row r="13" spans="3:17" s="944" customFormat="1" outlineLevel="1">
      <c r="C13" s="936"/>
      <c r="D13" s="945" t="s">
        <v>67</v>
      </c>
      <c r="E13" s="938"/>
      <c r="F13" s="938"/>
      <c r="G13" s="939"/>
      <c r="H13" s="939"/>
      <c r="I13" s="939"/>
      <c r="J13" s="939"/>
      <c r="K13" s="940"/>
      <c r="L13" s="941"/>
      <c r="M13" s="953"/>
      <c r="N13" s="941"/>
      <c r="O13" s="940"/>
      <c r="P13" s="939"/>
      <c r="Q13" s="948"/>
    </row>
    <row r="14" spans="3:17" s="944" customFormat="1" ht="5.25" customHeight="1" outlineLevel="1">
      <c r="C14" s="936"/>
      <c r="D14" s="945"/>
      <c r="E14" s="938"/>
      <c r="F14" s="938"/>
      <c r="G14" s="939"/>
      <c r="H14" s="939"/>
      <c r="I14" s="939"/>
      <c r="J14" s="939"/>
      <c r="K14" s="940"/>
      <c r="L14" s="941"/>
      <c r="M14" s="953"/>
      <c r="N14" s="941"/>
      <c r="O14" s="940"/>
      <c r="P14" s="939"/>
      <c r="Q14" s="948"/>
    </row>
    <row r="15" spans="3:17" s="944" customFormat="1" outlineLevel="2">
      <c r="C15" s="936"/>
      <c r="D15" s="1621" t="s">
        <v>196</v>
      </c>
      <c r="E15" s="1621"/>
      <c r="F15" s="1621"/>
      <c r="G15" s="1612" t="s">
        <v>197</v>
      </c>
      <c r="H15" s="1613"/>
      <c r="I15" s="1613"/>
      <c r="J15" s="1613"/>
      <c r="K15" s="1612" t="s">
        <v>200</v>
      </c>
      <c r="L15" s="1613"/>
      <c r="M15" s="1613"/>
      <c r="N15" s="1613"/>
      <c r="O15" s="1613"/>
      <c r="P15" s="1614"/>
      <c r="Q15" s="948"/>
    </row>
    <row r="16" spans="3:17" s="944" customFormat="1" ht="23.25" customHeight="1" outlineLevel="2">
      <c r="C16" s="936"/>
      <c r="D16" s="1439"/>
      <c r="E16" s="1439"/>
      <c r="F16" s="1439"/>
      <c r="G16" s="1439"/>
      <c r="H16" s="1439"/>
      <c r="I16" s="1439"/>
      <c r="J16" s="1439"/>
      <c r="K16" s="1464"/>
      <c r="L16" s="1570"/>
      <c r="M16" s="1570"/>
      <c r="N16" s="1570"/>
      <c r="O16" s="1570"/>
      <c r="P16" s="1465"/>
      <c r="Q16" s="954"/>
    </row>
    <row r="17" spans="3:17" s="944" customFormat="1" ht="12" customHeight="1" outlineLevel="2">
      <c r="C17" s="936"/>
      <c r="D17" s="961"/>
      <c r="E17" s="961"/>
      <c r="F17" s="938"/>
      <c r="G17" s="960"/>
      <c r="H17" s="946"/>
      <c r="I17" s="946"/>
      <c r="J17" s="946"/>
      <c r="K17" s="946"/>
      <c r="L17" s="946"/>
      <c r="M17" s="946"/>
      <c r="N17" s="946"/>
      <c r="O17" s="946"/>
      <c r="P17" s="960"/>
      <c r="Q17" s="962"/>
    </row>
    <row r="18" spans="3:17" outlineLevel="1">
      <c r="C18" s="935"/>
      <c r="D18" s="945" t="s">
        <v>85</v>
      </c>
      <c r="E18" s="961"/>
      <c r="F18" s="963"/>
      <c r="G18" s="963"/>
      <c r="H18" s="1355"/>
      <c r="I18" s="1355"/>
      <c r="J18" s="1355"/>
      <c r="K18" s="1355"/>
      <c r="L18" s="1355"/>
      <c r="M18" s="964"/>
      <c r="N18" s="1355"/>
      <c r="O18" s="1355"/>
      <c r="P18" s="1355"/>
      <c r="Q18" s="965"/>
    </row>
    <row r="19" spans="3:17" outlineLevel="2">
      <c r="C19" s="935"/>
      <c r="D19" s="1040" t="s">
        <v>1651</v>
      </c>
      <c r="E19" s="969"/>
      <c r="F19" s="1203"/>
      <c r="G19" s="1611" t="s">
        <v>1305</v>
      </c>
      <c r="H19" s="1611"/>
      <c r="I19" s="1611"/>
      <c r="J19" s="1611"/>
      <c r="K19" s="1611"/>
      <c r="L19" s="1611"/>
      <c r="M19" s="1611"/>
      <c r="N19" s="1295"/>
      <c r="O19" s="1295"/>
      <c r="P19" s="1295"/>
      <c r="Q19" s="966"/>
    </row>
    <row r="20" spans="3:17" outlineLevel="2">
      <c r="C20" s="935"/>
      <c r="D20" s="1040" t="s">
        <v>1650</v>
      </c>
      <c r="F20" s="1203"/>
      <c r="G20" s="1611" t="s">
        <v>1306</v>
      </c>
      <c r="H20" s="1611"/>
      <c r="I20" s="1611"/>
      <c r="J20" s="1611"/>
      <c r="K20" s="1611"/>
      <c r="L20" s="1611"/>
      <c r="M20" s="1611"/>
      <c r="N20" s="1295"/>
      <c r="O20" s="1295"/>
      <c r="P20" s="1295"/>
      <c r="Q20" s="966"/>
    </row>
    <row r="21" spans="3:17" outlineLevel="2">
      <c r="C21" s="935"/>
      <c r="D21" s="1040" t="s">
        <v>1652</v>
      </c>
      <c r="F21" s="1203"/>
      <c r="G21" s="1611" t="s">
        <v>1613</v>
      </c>
      <c r="H21" s="1611"/>
      <c r="I21" s="1611"/>
      <c r="J21" s="1611"/>
      <c r="K21" s="1611"/>
      <c r="L21" s="1611"/>
      <c r="M21" s="1611"/>
      <c r="N21" s="1295"/>
      <c r="O21" s="1295"/>
      <c r="P21" s="1295"/>
      <c r="Q21" s="967"/>
    </row>
    <row r="22" spans="3:17" outlineLevel="2">
      <c r="C22" s="935"/>
      <c r="D22" s="1040" t="s">
        <v>1653</v>
      </c>
      <c r="F22" s="1203"/>
      <c r="G22" s="1611" t="s">
        <v>1304</v>
      </c>
      <c r="H22" s="1611"/>
      <c r="I22" s="1611"/>
      <c r="J22" s="1611"/>
      <c r="K22" s="1611"/>
      <c r="L22" s="1611"/>
      <c r="M22" s="1611"/>
      <c r="N22" s="1295"/>
      <c r="O22" s="1295"/>
      <c r="P22" s="1295"/>
      <c r="Q22" s="966"/>
    </row>
    <row r="23" spans="3:17" outlineLevel="2">
      <c r="C23" s="935"/>
      <c r="D23" s="1040" t="s">
        <v>1654</v>
      </c>
      <c r="F23" s="1203"/>
      <c r="G23" s="1611" t="s">
        <v>1655</v>
      </c>
      <c r="H23" s="1611"/>
      <c r="I23" s="1611"/>
      <c r="J23" s="1611"/>
      <c r="K23" s="1611"/>
      <c r="L23" s="1611"/>
      <c r="M23" s="1611"/>
      <c r="N23" s="1295"/>
      <c r="O23" s="1295"/>
      <c r="P23" s="1295"/>
      <c r="Q23" s="966"/>
    </row>
    <row r="24" spans="3:17" ht="8.25" customHeight="1" outlineLevel="2">
      <c r="C24" s="935"/>
      <c r="D24" s="963"/>
      <c r="E24" s="963"/>
      <c r="F24" s="963"/>
      <c r="G24" s="1355"/>
      <c r="H24" s="1355"/>
      <c r="I24" s="1355"/>
      <c r="J24" s="1355"/>
      <c r="K24" s="1355"/>
      <c r="L24" s="1355"/>
      <c r="M24" s="964"/>
      <c r="N24" s="1295"/>
      <c r="O24" s="1295"/>
      <c r="P24" s="1295"/>
      <c r="Q24" s="965"/>
    </row>
    <row r="25" spans="3:17" outlineLevel="1">
      <c r="C25" s="935"/>
      <c r="D25" s="968" t="s">
        <v>202</v>
      </c>
      <c r="E25" s="969"/>
      <c r="F25" s="969"/>
      <c r="G25" s="969"/>
      <c r="H25" s="969"/>
      <c r="I25" s="969"/>
      <c r="J25" s="969"/>
      <c r="K25" s="969"/>
      <c r="L25" s="969"/>
      <c r="M25" s="970"/>
      <c r="N25" s="969"/>
      <c r="O25" s="969"/>
      <c r="P25" s="969"/>
      <c r="Q25" s="971"/>
    </row>
    <row r="26" spans="3:17" outlineLevel="2">
      <c r="C26" s="935"/>
      <c r="D26" s="972" t="s">
        <v>1785</v>
      </c>
      <c r="E26" s="973"/>
      <c r="F26" s="974"/>
      <c r="G26" s="1574"/>
      <c r="H26" s="1575"/>
      <c r="I26" s="1575"/>
      <c r="J26" s="1575"/>
      <c r="K26" s="1575"/>
      <c r="L26" s="1575"/>
      <c r="M26" s="1575"/>
      <c r="N26" s="1575"/>
      <c r="O26" s="1575"/>
      <c r="P26" s="1576"/>
      <c r="Q26" s="975"/>
    </row>
    <row r="27" spans="3:17" ht="12.75" customHeight="1" outlineLevel="2">
      <c r="C27" s="935"/>
      <c r="D27" s="1622" t="s">
        <v>1783</v>
      </c>
      <c r="E27" s="1622"/>
      <c r="F27" s="1623"/>
      <c r="G27" s="1574"/>
      <c r="H27" s="1575"/>
      <c r="I27" s="1575"/>
      <c r="J27" s="1575"/>
      <c r="K27" s="1575"/>
      <c r="L27" s="1575"/>
      <c r="M27" s="1575"/>
      <c r="N27" s="1575"/>
      <c r="O27" s="1575"/>
      <c r="P27" s="1576"/>
      <c r="Q27" s="975"/>
    </row>
    <row r="28" spans="3:17" outlineLevel="2">
      <c r="C28" s="935"/>
      <c r="D28" s="972" t="s">
        <v>16</v>
      </c>
      <c r="E28" s="977"/>
      <c r="F28" s="978"/>
      <c r="G28" s="1573"/>
      <c r="H28" s="1573"/>
      <c r="I28" s="1573"/>
      <c r="J28" s="1573"/>
      <c r="K28" s="1573"/>
      <c r="L28" s="1573"/>
      <c r="M28" s="1573"/>
      <c r="N28" s="1573"/>
      <c r="O28" s="1573"/>
      <c r="P28" s="1573"/>
      <c r="Q28" s="979"/>
    </row>
    <row r="29" spans="3:17" ht="7.5" customHeight="1" outlineLevel="2">
      <c r="C29" s="935"/>
      <c r="E29" s="969"/>
      <c r="F29" s="969"/>
      <c r="G29" s="969"/>
      <c r="H29" s="969"/>
      <c r="I29" s="969"/>
      <c r="J29" s="969"/>
      <c r="K29" s="969"/>
      <c r="L29" s="969"/>
      <c r="M29" s="970"/>
      <c r="N29" s="969"/>
      <c r="O29" s="969"/>
      <c r="P29" s="969"/>
      <c r="Q29" s="980"/>
    </row>
    <row r="30" spans="3:17" outlineLevel="1">
      <c r="C30" s="935"/>
      <c r="D30" s="968" t="s">
        <v>232</v>
      </c>
      <c r="E30" s="969"/>
      <c r="F30" s="969"/>
      <c r="G30" s="981"/>
      <c r="H30" s="969"/>
      <c r="I30" s="969"/>
      <c r="J30" s="969"/>
      <c r="K30" s="969"/>
      <c r="L30" s="969"/>
      <c r="M30" s="970"/>
      <c r="N30" s="969"/>
      <c r="O30" s="969"/>
      <c r="P30" s="969"/>
      <c r="Q30" s="980"/>
    </row>
    <row r="31" spans="3:17" outlineLevel="2">
      <c r="C31" s="935"/>
      <c r="D31" s="972" t="s">
        <v>1785</v>
      </c>
      <c r="E31" s="973"/>
      <c r="F31" s="974"/>
      <c r="G31" s="1574"/>
      <c r="H31" s="1575"/>
      <c r="I31" s="1575"/>
      <c r="J31" s="1575"/>
      <c r="K31" s="1575"/>
      <c r="L31" s="1575"/>
      <c r="M31" s="1575"/>
      <c r="N31" s="1575"/>
      <c r="O31" s="1575"/>
      <c r="P31" s="1576"/>
      <c r="Q31" s="975"/>
    </row>
    <row r="32" spans="3:17" ht="14.25" customHeight="1" outlineLevel="2">
      <c r="C32" s="935"/>
      <c r="D32" s="1622" t="s">
        <v>1784</v>
      </c>
      <c r="E32" s="1622"/>
      <c r="F32" s="1623"/>
      <c r="G32" s="1528"/>
      <c r="H32" s="1529"/>
      <c r="I32" s="1529"/>
      <c r="J32" s="1529"/>
      <c r="K32" s="1529"/>
      <c r="L32" s="1529"/>
      <c r="M32" s="1529"/>
      <c r="N32" s="1529"/>
      <c r="O32" s="1529"/>
      <c r="P32" s="1530"/>
      <c r="Q32" s="975"/>
    </row>
    <row r="33" spans="3:19" outlineLevel="2">
      <c r="C33" s="935"/>
      <c r="D33" s="976" t="s">
        <v>1307</v>
      </c>
      <c r="E33" s="977"/>
      <c r="F33" s="978"/>
      <c r="G33" s="1573"/>
      <c r="H33" s="1573"/>
      <c r="I33" s="1573"/>
      <c r="J33" s="1573"/>
      <c r="K33" s="1573"/>
      <c r="L33" s="1573"/>
      <c r="M33" s="1573"/>
      <c r="N33" s="1573"/>
      <c r="O33" s="1573"/>
      <c r="P33" s="1573"/>
      <c r="Q33" s="979"/>
    </row>
    <row r="34" spans="3:19" ht="9.75" customHeight="1" outlineLevel="2">
      <c r="C34" s="935"/>
      <c r="E34" s="969"/>
      <c r="F34" s="969"/>
      <c r="G34" s="969"/>
      <c r="H34" s="969"/>
      <c r="I34" s="969"/>
      <c r="J34" s="969"/>
      <c r="K34" s="969"/>
      <c r="L34" s="969"/>
      <c r="M34" s="970"/>
      <c r="N34" s="969"/>
      <c r="O34" s="969"/>
      <c r="P34" s="969"/>
      <c r="Q34" s="980"/>
    </row>
    <row r="35" spans="3:19" s="944" customFormat="1" outlineLevel="1">
      <c r="C35" s="936"/>
      <c r="D35" s="945" t="s">
        <v>231</v>
      </c>
      <c r="E35" s="961"/>
      <c r="F35" s="938"/>
      <c r="G35" s="955"/>
      <c r="H35" s="955"/>
      <c r="I35" s="955"/>
      <c r="J35" s="955"/>
      <c r="K35" s="955"/>
      <c r="L35" s="955"/>
      <c r="M35" s="982"/>
      <c r="N35" s="955"/>
      <c r="O35" s="955"/>
      <c r="P35" s="955"/>
      <c r="Q35" s="983"/>
    </row>
    <row r="36" spans="3:19" s="944" customFormat="1" outlineLevel="2">
      <c r="C36" s="936"/>
      <c r="D36" s="972" t="s">
        <v>1656</v>
      </c>
      <c r="E36" s="984"/>
      <c r="F36" s="984"/>
      <c r="G36" s="1625"/>
      <c r="H36" s="1626"/>
      <c r="I36" s="1626"/>
      <c r="J36" s="1626"/>
      <c r="K36" s="1626"/>
      <c r="L36" s="1626"/>
      <c r="M36" s="1626"/>
      <c r="N36" s="1626"/>
      <c r="O36" s="1626"/>
      <c r="P36" s="1627"/>
      <c r="Q36" s="985"/>
    </row>
    <row r="37" spans="3:19" s="944" customFormat="1" outlineLevel="2">
      <c r="C37" s="936"/>
      <c r="D37" s="972" t="s">
        <v>9</v>
      </c>
      <c r="E37" s="984"/>
      <c r="F37" s="984"/>
      <c r="G37" s="1495"/>
      <c r="H37" s="1495"/>
      <c r="I37" s="1495"/>
      <c r="J37" s="1495"/>
      <c r="K37" s="1495"/>
      <c r="L37" s="1495"/>
      <c r="M37" s="1495"/>
      <c r="N37" s="1495"/>
      <c r="O37" s="1495"/>
      <c r="P37" s="1528"/>
      <c r="Q37" s="985"/>
    </row>
    <row r="38" spans="3:19" s="944" customFormat="1" outlineLevel="2">
      <c r="C38" s="936"/>
      <c r="D38" s="972" t="s">
        <v>8</v>
      </c>
      <c r="E38" s="984"/>
      <c r="F38" s="984"/>
      <c r="G38" s="1495"/>
      <c r="H38" s="1495"/>
      <c r="I38" s="1495"/>
      <c r="J38" s="1495"/>
      <c r="K38" s="1495"/>
      <c r="L38" s="1495"/>
      <c r="M38" s="1495"/>
      <c r="N38" s="1495"/>
      <c r="O38" s="1495"/>
      <c r="P38" s="1528"/>
      <c r="Q38" s="985"/>
    </row>
    <row r="39" spans="3:19" s="944" customFormat="1" outlineLevel="2">
      <c r="C39" s="936"/>
      <c r="D39" s="972" t="s">
        <v>13</v>
      </c>
      <c r="E39" s="984"/>
      <c r="F39" s="984"/>
      <c r="G39" s="1495"/>
      <c r="H39" s="1495"/>
      <c r="I39" s="1495"/>
      <c r="J39" s="1495"/>
      <c r="K39" s="1495"/>
      <c r="L39" s="1495"/>
      <c r="M39" s="1495"/>
      <c r="N39" s="1495"/>
      <c r="O39" s="1495"/>
      <c r="P39" s="1528"/>
      <c r="Q39" s="985"/>
    </row>
    <row r="40" spans="3:19" s="944" customFormat="1" outlineLevel="2">
      <c r="C40" s="936"/>
      <c r="D40" s="972" t="s">
        <v>15</v>
      </c>
      <c r="E40" s="984"/>
      <c r="F40" s="984"/>
      <c r="G40" s="1495"/>
      <c r="H40" s="1495"/>
      <c r="I40" s="1495"/>
      <c r="J40" s="1495"/>
      <c r="K40" s="1495"/>
      <c r="L40" s="1495"/>
      <c r="M40" s="1495"/>
      <c r="N40" s="1495"/>
      <c r="O40" s="1495"/>
      <c r="P40" s="1528"/>
      <c r="Q40" s="985"/>
    </row>
    <row r="41" spans="3:19" s="944" customFormat="1" outlineLevel="2">
      <c r="C41" s="936"/>
      <c r="D41" s="972" t="s">
        <v>1475</v>
      </c>
      <c r="E41" s="984"/>
      <c r="F41" s="986"/>
      <c r="G41" s="1198" t="s">
        <v>1477</v>
      </c>
      <c r="H41" s="1528"/>
      <c r="I41" s="1530"/>
      <c r="J41" s="1199" t="s">
        <v>1476</v>
      </c>
      <c r="K41" s="1528"/>
      <c r="L41" s="1530"/>
      <c r="M41" s="1199" t="s">
        <v>239</v>
      </c>
      <c r="N41" s="1464"/>
      <c r="O41" s="1570"/>
      <c r="P41" s="1570"/>
      <c r="Q41" s="985"/>
    </row>
    <row r="42" spans="3:19" s="944" customFormat="1" outlineLevel="2">
      <c r="C42" s="936"/>
      <c r="D42" s="972" t="s">
        <v>66</v>
      </c>
      <c r="E42" s="972"/>
      <c r="F42" s="986"/>
      <c r="G42" s="1577"/>
      <c r="H42" s="1578"/>
      <c r="I42" s="1578"/>
      <c r="J42" s="1578"/>
      <c r="K42" s="1578"/>
      <c r="L42" s="1578"/>
      <c r="M42" s="1578"/>
      <c r="N42" s="1578"/>
      <c r="O42" s="1578"/>
      <c r="P42" s="1579"/>
      <c r="Q42" s="987"/>
    </row>
    <row r="43" spans="3:19" s="944" customFormat="1" outlineLevel="2">
      <c r="C43" s="936"/>
      <c r="D43" s="972" t="s">
        <v>1786</v>
      </c>
      <c r="E43" s="972"/>
      <c r="F43" s="986"/>
      <c r="G43" s="1577"/>
      <c r="H43" s="1578"/>
      <c r="I43" s="1578"/>
      <c r="J43" s="1578"/>
      <c r="K43" s="1578"/>
      <c r="L43" s="1578"/>
      <c r="M43" s="1578"/>
      <c r="N43" s="1578"/>
      <c r="O43" s="1578"/>
      <c r="P43" s="1579"/>
      <c r="Q43" s="987"/>
    </row>
    <row r="44" spans="3:19" s="944" customFormat="1" outlineLevel="2">
      <c r="C44" s="936"/>
      <c r="D44" s="972"/>
      <c r="E44" s="1092"/>
      <c r="F44" s="986"/>
      <c r="G44" s="988"/>
      <c r="H44" s="989"/>
      <c r="I44" s="989"/>
      <c r="J44" s="989"/>
      <c r="K44" s="989"/>
      <c r="L44" s="989"/>
      <c r="M44" s="989"/>
      <c r="N44" s="989"/>
      <c r="O44" s="961"/>
      <c r="P44" s="961"/>
      <c r="Q44" s="980"/>
    </row>
    <row r="45" spans="3:19" s="944" customFormat="1" ht="27" customHeight="1" outlineLevel="2">
      <c r="C45" s="936"/>
      <c r="D45" s="945"/>
      <c r="E45" s="1561" t="s">
        <v>80</v>
      </c>
      <c r="F45" s="1561" t="s">
        <v>1505</v>
      </c>
      <c r="G45" s="1394" t="s">
        <v>1788</v>
      </c>
      <c r="H45" s="1394"/>
      <c r="I45" s="1394"/>
      <c r="J45" s="1592" t="s">
        <v>1754</v>
      </c>
      <c r="K45" s="1593"/>
      <c r="L45" s="1601"/>
      <c r="M45" s="1592" t="s">
        <v>1787</v>
      </c>
      <c r="N45" s="1593"/>
      <c r="O45" s="1394" t="s">
        <v>1755</v>
      </c>
      <c r="P45" s="1394"/>
      <c r="Q45" s="956"/>
    </row>
    <row r="46" spans="3:19" s="944" customFormat="1" ht="94.5" customHeight="1" outlineLevel="2">
      <c r="C46" s="936"/>
      <c r="D46" s="945"/>
      <c r="E46" s="1562"/>
      <c r="F46" s="1562"/>
      <c r="G46" s="1205" t="s">
        <v>1673</v>
      </c>
      <c r="H46" s="1205" t="s">
        <v>1752</v>
      </c>
      <c r="I46" s="1208" t="s">
        <v>1753</v>
      </c>
      <c r="J46" s="1594"/>
      <c r="K46" s="1595"/>
      <c r="L46" s="1602"/>
      <c r="M46" s="1594"/>
      <c r="N46" s="1595"/>
      <c r="O46" s="1394"/>
      <c r="P46" s="1394"/>
      <c r="Q46" s="956"/>
    </row>
    <row r="47" spans="3:19" s="944" customFormat="1" ht="108.75" customHeight="1" outlineLevel="2">
      <c r="C47" s="936"/>
      <c r="D47" s="955"/>
      <c r="E47" s="1209"/>
      <c r="F47" s="1210"/>
      <c r="G47" s="1359"/>
      <c r="H47" s="1360"/>
      <c r="I47" s="1297"/>
      <c r="J47" s="1589"/>
      <c r="K47" s="1590"/>
      <c r="L47" s="1591"/>
      <c r="M47" s="1596"/>
      <c r="N47" s="1596"/>
      <c r="O47" s="1590"/>
      <c r="P47" s="1591"/>
      <c r="Q47" s="956"/>
      <c r="S47" s="946"/>
    </row>
    <row r="48" spans="3:19" s="944" customFormat="1" ht="12.75" customHeight="1" outlineLevel="2">
      <c r="C48" s="936"/>
      <c r="D48" s="955"/>
      <c r="E48" s="955"/>
      <c r="F48" s="955"/>
      <c r="G48" s="955"/>
      <c r="H48" s="955"/>
      <c r="I48" s="955"/>
      <c r="J48" s="955"/>
      <c r="K48" s="955"/>
      <c r="L48" s="955"/>
      <c r="M48" s="955"/>
      <c r="N48" s="955"/>
      <c r="O48" s="955"/>
      <c r="P48" s="955"/>
      <c r="Q48" s="957"/>
    </row>
    <row r="49" spans="3:18" s="944" customFormat="1" ht="22.5" customHeight="1" outlineLevel="2">
      <c r="C49" s="936"/>
      <c r="D49" s="1204"/>
      <c r="F49" s="1597" t="s">
        <v>1674</v>
      </c>
      <c r="G49" s="1598"/>
      <c r="H49" s="1599"/>
      <c r="I49" s="1353"/>
      <c r="J49" s="1051"/>
      <c r="K49" s="1295"/>
      <c r="L49" s="1295"/>
      <c r="M49" s="1295"/>
      <c r="N49" s="1051"/>
      <c r="O49" s="1051"/>
      <c r="P49" s="1051"/>
      <c r="Q49" s="957"/>
    </row>
    <row r="50" spans="3:18" s="944" customFormat="1" ht="9.75" customHeight="1" outlineLevel="2">
      <c r="C50" s="1051"/>
      <c r="D50" s="1051"/>
      <c r="E50" s="1051"/>
      <c r="F50" s="1051"/>
      <c r="G50" s="1051"/>
      <c r="H50" s="1051"/>
      <c r="I50" s="1051"/>
      <c r="J50" s="1051"/>
      <c r="K50" s="1051"/>
      <c r="L50" s="1051"/>
      <c r="M50" s="1051"/>
      <c r="N50" s="1051"/>
      <c r="O50" s="1051"/>
      <c r="P50" s="1051"/>
      <c r="Q50" s="957"/>
    </row>
    <row r="51" spans="3:18" s="944" customFormat="1" ht="22.5" customHeight="1" outlineLevel="2">
      <c r="C51" s="936"/>
      <c r="D51" s="1204"/>
      <c r="F51" s="1600" t="s">
        <v>1665</v>
      </c>
      <c r="G51" s="1600"/>
      <c r="H51" s="1600"/>
      <c r="I51" s="1353"/>
      <c r="J51" s="1051"/>
      <c r="K51" s="1583" t="s">
        <v>1666</v>
      </c>
      <c r="L51" s="1584"/>
      <c r="M51" s="1353"/>
      <c r="N51" s="959"/>
      <c r="P51" s="960"/>
      <c r="Q51" s="957"/>
    </row>
    <row r="52" spans="3:18" s="944" customFormat="1" ht="9.75" customHeight="1" outlineLevel="2">
      <c r="C52" s="936"/>
      <c r="D52" s="955"/>
      <c r="E52" s="1092"/>
      <c r="F52" s="1100"/>
      <c r="G52" s="1101"/>
      <c r="H52" s="1101"/>
      <c r="I52" s="1101"/>
      <c r="J52" s="1101"/>
      <c r="K52" s="1101"/>
      <c r="L52" s="958"/>
      <c r="M52" s="958"/>
      <c r="N52" s="959"/>
      <c r="O52" s="946"/>
      <c r="P52" s="960"/>
      <c r="Q52" s="957"/>
    </row>
    <row r="53" spans="3:18" s="944" customFormat="1" ht="24.75" customHeight="1" outlineLevel="2">
      <c r="C53" s="936"/>
      <c r="D53" s="1588" t="s">
        <v>1667</v>
      </c>
      <c r="E53" s="1588"/>
      <c r="F53" s="1588"/>
      <c r="G53" s="1588"/>
      <c r="H53" s="958"/>
      <c r="I53" s="1586" t="s">
        <v>1684</v>
      </c>
      <c r="J53" s="1587"/>
      <c r="K53" s="1209" t="s">
        <v>123</v>
      </c>
      <c r="L53" s="961"/>
      <c r="M53" s="961"/>
      <c r="N53" s="961"/>
      <c r="O53" s="961"/>
      <c r="P53" s="961"/>
      <c r="Q53" s="980"/>
    </row>
    <row r="54" spans="3:18" ht="15" customHeight="1" outlineLevel="2">
      <c r="C54" s="935"/>
      <c r="D54" s="963"/>
      <c r="E54" s="963"/>
      <c r="F54" s="963"/>
      <c r="G54" s="1355"/>
      <c r="H54" s="1355"/>
      <c r="I54" s="1355"/>
      <c r="J54" s="1355"/>
      <c r="K54" s="1355"/>
      <c r="L54" s="1355"/>
      <c r="M54" s="964"/>
      <c r="N54" s="1355"/>
      <c r="O54" s="1355"/>
      <c r="P54" s="1355"/>
      <c r="Q54" s="980"/>
    </row>
    <row r="55" spans="3:18" ht="18.75" customHeight="1">
      <c r="C55" s="1102" t="s">
        <v>1724</v>
      </c>
      <c r="D55" s="1103"/>
      <c r="E55" s="1104"/>
      <c r="F55" s="1104"/>
      <c r="G55" s="1104"/>
      <c r="H55" s="1104"/>
      <c r="I55" s="1104"/>
      <c r="J55" s="1104"/>
      <c r="K55" s="1104"/>
      <c r="L55" s="1104"/>
      <c r="M55" s="1105"/>
      <c r="N55" s="1104"/>
      <c r="O55" s="1104"/>
      <c r="P55" s="1104"/>
      <c r="Q55" s="980"/>
    </row>
    <row r="56" spans="3:18" ht="7.5" customHeight="1" outlineLevel="1">
      <c r="C56" s="935"/>
      <c r="E56" s="969"/>
      <c r="F56" s="969"/>
      <c r="G56" s="969"/>
      <c r="H56" s="969"/>
      <c r="I56" s="969"/>
      <c r="J56" s="969"/>
      <c r="K56" s="969"/>
      <c r="L56" s="969"/>
      <c r="M56" s="970"/>
      <c r="N56" s="969"/>
      <c r="O56" s="969"/>
      <c r="P56" s="969"/>
      <c r="Q56" s="980"/>
    </row>
    <row r="57" spans="3:18" ht="15" customHeight="1" outlineLevel="1">
      <c r="C57" s="935"/>
      <c r="D57" s="991" t="s">
        <v>1479</v>
      </c>
      <c r="E57" s="969"/>
      <c r="F57" s="969"/>
      <c r="G57" s="969"/>
      <c r="H57" s="969"/>
      <c r="I57" s="969"/>
      <c r="J57" s="969"/>
      <c r="K57" s="969"/>
      <c r="L57" s="969"/>
      <c r="M57" s="970"/>
      <c r="N57" s="969"/>
      <c r="O57" s="994"/>
      <c r="P57" s="994"/>
      <c r="Q57" s="980"/>
      <c r="R57" s="994"/>
    </row>
    <row r="58" spans="3:18" outlineLevel="2">
      <c r="C58" s="935"/>
      <c r="D58" s="991"/>
      <c r="E58" s="969"/>
      <c r="F58" s="969"/>
      <c r="G58" s="969"/>
      <c r="H58" s="969"/>
      <c r="I58" s="969"/>
      <c r="J58" s="969"/>
      <c r="K58" s="969"/>
      <c r="L58" s="969"/>
      <c r="M58" s="970"/>
      <c r="N58" s="969"/>
      <c r="O58" s="994"/>
      <c r="P58" s="994"/>
      <c r="Q58" s="980"/>
      <c r="R58" s="994"/>
    </row>
    <row r="59" spans="3:18" ht="24" customHeight="1" outlineLevel="2">
      <c r="C59" s="935"/>
      <c r="D59" s="1201" t="s">
        <v>1621</v>
      </c>
      <c r="E59" s="1201"/>
      <c r="F59" s="1201"/>
      <c r="G59" s="995"/>
      <c r="H59" s="996"/>
      <c r="I59" s="1000"/>
      <c r="J59" s="997"/>
      <c r="K59" s="1580" t="s">
        <v>1614</v>
      </c>
      <c r="L59" s="1581"/>
      <c r="M59" s="1582"/>
      <c r="N59" s="1571" t="s">
        <v>1670</v>
      </c>
      <c r="O59" s="1572"/>
      <c r="P59" s="1295"/>
      <c r="Q59" s="998"/>
    </row>
    <row r="60" spans="3:18" s="1069" customFormat="1" ht="24.75" customHeight="1" outlineLevel="2">
      <c r="C60" s="1068"/>
      <c r="D60" s="1569" t="s">
        <v>1668</v>
      </c>
      <c r="E60" s="1569"/>
      <c r="F60" s="1569"/>
      <c r="G60" s="1585"/>
      <c r="H60" s="1585"/>
      <c r="I60" s="1585"/>
      <c r="J60" s="1585"/>
      <c r="K60" s="1569" t="s">
        <v>1672</v>
      </c>
      <c r="L60" s="1569"/>
      <c r="M60" s="1569"/>
      <c r="N60" s="1567"/>
      <c r="O60" s="1568"/>
      <c r="P60" s="1295"/>
      <c r="Q60" s="1070"/>
    </row>
    <row r="61" spans="3:18" s="1069" customFormat="1" ht="24.75" customHeight="1" outlineLevel="2">
      <c r="C61" s="1068"/>
      <c r="D61" s="1569"/>
      <c r="E61" s="1569"/>
      <c r="F61" s="1569"/>
      <c r="G61" s="1585"/>
      <c r="H61" s="1585"/>
      <c r="I61" s="1585"/>
      <c r="J61" s="1585"/>
      <c r="K61" s="1569" t="s">
        <v>1671</v>
      </c>
      <c r="L61" s="1569"/>
      <c r="M61" s="1569"/>
      <c r="N61" s="1567"/>
      <c r="O61" s="1568"/>
      <c r="P61" s="1295"/>
      <c r="Q61" s="1070"/>
    </row>
    <row r="62" spans="3:18" ht="10.5" customHeight="1" outlineLevel="2">
      <c r="C62" s="935"/>
      <c r="E62" s="969"/>
      <c r="F62" s="969"/>
      <c r="G62" s="969"/>
      <c r="H62" s="969"/>
      <c r="I62" s="969"/>
      <c r="J62" s="969"/>
      <c r="K62" s="969"/>
      <c r="L62" s="969"/>
      <c r="M62" s="970"/>
      <c r="N62" s="969"/>
      <c r="O62" s="969"/>
      <c r="P62" s="969"/>
      <c r="Q62" s="980"/>
    </row>
    <row r="63" spans="3:18" outlineLevel="2">
      <c r="C63" s="935"/>
      <c r="D63" s="995" t="s">
        <v>1480</v>
      </c>
      <c r="E63" s="992"/>
      <c r="F63" s="992"/>
      <c r="G63" s="999"/>
      <c r="H63" s="1295"/>
      <c r="I63" s="995" t="s">
        <v>1482</v>
      </c>
      <c r="J63" s="996"/>
      <c r="K63" s="1000"/>
      <c r="L63" s="992"/>
      <c r="M63" s="992"/>
      <c r="N63" s="992"/>
      <c r="O63" s="992"/>
      <c r="P63" s="1295"/>
      <c r="Q63" s="993"/>
    </row>
    <row r="64" spans="3:18" ht="14.25" customHeight="1" outlineLevel="2">
      <c r="C64" s="935"/>
      <c r="D64" s="1531"/>
      <c r="E64" s="1531"/>
      <c r="F64" s="1531"/>
      <c r="G64" s="1531"/>
      <c r="H64" s="1206"/>
      <c r="I64" s="1549"/>
      <c r="J64" s="1550"/>
      <c r="K64" s="1550"/>
      <c r="L64" s="1550"/>
      <c r="M64" s="1550"/>
      <c r="N64" s="1550"/>
      <c r="O64" s="1551"/>
      <c r="P64" s="1295"/>
      <c r="Q64" s="979"/>
    </row>
    <row r="65" spans="3:17" ht="14.25" customHeight="1" outlineLevel="2">
      <c r="C65" s="935"/>
      <c r="D65" s="1531"/>
      <c r="E65" s="1531"/>
      <c r="F65" s="1531"/>
      <c r="G65" s="1531"/>
      <c r="H65" s="1206"/>
      <c r="I65" s="1555"/>
      <c r="J65" s="1556"/>
      <c r="K65" s="1556"/>
      <c r="L65" s="1556"/>
      <c r="M65" s="1556"/>
      <c r="N65" s="1556"/>
      <c r="O65" s="1557"/>
      <c r="P65" s="1295"/>
      <c r="Q65" s="979"/>
    </row>
    <row r="66" spans="3:17" ht="14.25" customHeight="1" outlineLevel="2">
      <c r="C66" s="935"/>
      <c r="D66" s="1531"/>
      <c r="E66" s="1531"/>
      <c r="F66" s="1531"/>
      <c r="G66" s="1531"/>
      <c r="H66" s="1206"/>
      <c r="I66" s="1549"/>
      <c r="J66" s="1550"/>
      <c r="K66" s="1550"/>
      <c r="L66" s="1550"/>
      <c r="M66" s="1550"/>
      <c r="N66" s="1550"/>
      <c r="O66" s="1551"/>
      <c r="P66" s="1295"/>
      <c r="Q66" s="979"/>
    </row>
    <row r="67" spans="3:17" ht="14.25" customHeight="1" outlineLevel="2">
      <c r="C67" s="935"/>
      <c r="D67" s="1531"/>
      <c r="E67" s="1531"/>
      <c r="F67" s="1531"/>
      <c r="G67" s="1531"/>
      <c r="H67" s="1206"/>
      <c r="I67" s="1555"/>
      <c r="J67" s="1556"/>
      <c r="K67" s="1556"/>
      <c r="L67" s="1556"/>
      <c r="M67" s="1556"/>
      <c r="N67" s="1556"/>
      <c r="O67" s="1557"/>
      <c r="P67" s="1295"/>
      <c r="Q67" s="979"/>
    </row>
    <row r="68" spans="3:17" ht="14.25" customHeight="1" outlineLevel="2">
      <c r="C68" s="935"/>
      <c r="D68" s="1531"/>
      <c r="E68" s="1531"/>
      <c r="F68" s="1531"/>
      <c r="G68" s="1531"/>
      <c r="H68" s="1206"/>
      <c r="I68" s="1549"/>
      <c r="J68" s="1550"/>
      <c r="K68" s="1550"/>
      <c r="L68" s="1550"/>
      <c r="M68" s="1550"/>
      <c r="N68" s="1550"/>
      <c r="O68" s="1551"/>
      <c r="P68" s="1295"/>
      <c r="Q68" s="979"/>
    </row>
    <row r="69" spans="3:17" ht="14.25" customHeight="1" outlineLevel="2">
      <c r="C69" s="935"/>
      <c r="D69" s="1531"/>
      <c r="E69" s="1531"/>
      <c r="F69" s="1531"/>
      <c r="G69" s="1531"/>
      <c r="H69" s="1206"/>
      <c r="I69" s="1555"/>
      <c r="J69" s="1556"/>
      <c r="K69" s="1556"/>
      <c r="L69" s="1556"/>
      <c r="M69" s="1556"/>
      <c r="N69" s="1556"/>
      <c r="O69" s="1557"/>
      <c r="P69" s="1295"/>
      <c r="Q69" s="979"/>
    </row>
    <row r="70" spans="3:17" ht="16.5" customHeight="1" outlineLevel="2">
      <c r="C70" s="935"/>
      <c r="E70" s="969"/>
      <c r="F70" s="969"/>
      <c r="G70" s="969"/>
      <c r="H70" s="969"/>
      <c r="I70" s="969"/>
      <c r="J70" s="969"/>
      <c r="K70" s="969"/>
      <c r="L70" s="969"/>
      <c r="M70" s="970"/>
      <c r="N70" s="969"/>
      <c r="O70" s="969"/>
      <c r="P70" s="969"/>
      <c r="Q70" s="980"/>
    </row>
    <row r="71" spans="3:17" outlineLevel="2">
      <c r="C71" s="935"/>
      <c r="D71" s="1558" t="s">
        <v>1481</v>
      </c>
      <c r="E71" s="1559"/>
      <c r="F71" s="1559"/>
      <c r="G71" s="1560"/>
      <c r="H71" s="1200"/>
      <c r="I71" s="1558" t="s">
        <v>1808</v>
      </c>
      <c r="J71" s="1559"/>
      <c r="K71" s="1559"/>
      <c r="L71" s="1559"/>
      <c r="M71" s="1559"/>
      <c r="N71" s="1559"/>
      <c r="O71" s="1560"/>
      <c r="P71" s="1295"/>
      <c r="Q71" s="993"/>
    </row>
    <row r="72" spans="3:17" ht="17.25" customHeight="1" outlineLevel="2">
      <c r="C72" s="935"/>
      <c r="D72" s="1552" t="s">
        <v>1367</v>
      </c>
      <c r="E72" s="1552"/>
      <c r="F72" s="1552"/>
      <c r="G72" s="1552"/>
      <c r="H72" s="1206"/>
      <c r="I72" s="1532" t="s">
        <v>1617</v>
      </c>
      <c r="J72" s="1533"/>
      <c r="K72" s="1533"/>
      <c r="L72" s="1533"/>
      <c r="M72" s="1533"/>
      <c r="N72" s="1533"/>
      <c r="O72" s="1534"/>
      <c r="P72" s="1295"/>
      <c r="Q72" s="1001"/>
    </row>
    <row r="73" spans="3:17" ht="22.5" customHeight="1" outlineLevel="2">
      <c r="C73" s="935"/>
      <c r="D73" s="1553" t="s">
        <v>1615</v>
      </c>
      <c r="E73" s="1553"/>
      <c r="F73" s="1553"/>
      <c r="G73" s="1553"/>
      <c r="H73" s="1206"/>
      <c r="I73" s="1532" t="s">
        <v>1616</v>
      </c>
      <c r="J73" s="1533"/>
      <c r="K73" s="1533"/>
      <c r="L73" s="1533"/>
      <c r="M73" s="1533"/>
      <c r="N73" s="1533"/>
      <c r="O73" s="1534"/>
      <c r="P73" s="1295"/>
      <c r="Q73" s="1001"/>
    </row>
    <row r="74" spans="3:17" ht="9" customHeight="1" outlineLevel="2">
      <c r="C74" s="935"/>
      <c r="D74" s="1298"/>
      <c r="E74" s="1298"/>
      <c r="F74" s="1298"/>
      <c r="G74" s="1298"/>
      <c r="H74" s="1206"/>
      <c r="I74" s="1206"/>
      <c r="J74" s="1206"/>
      <c r="K74" s="1206"/>
      <c r="L74" s="1206"/>
      <c r="M74" s="1206"/>
      <c r="N74" s="1206"/>
      <c r="O74" s="1206"/>
      <c r="P74" s="1295"/>
      <c r="Q74" s="1001"/>
    </row>
    <row r="75" spans="3:17" ht="16.5" customHeight="1" outlineLevel="2">
      <c r="C75" s="935"/>
      <c r="D75" s="1207"/>
      <c r="E75" s="1207"/>
      <c r="F75" s="1207"/>
      <c r="G75" s="1207"/>
      <c r="H75" s="1206"/>
      <c r="I75" s="1532" t="s">
        <v>1618</v>
      </c>
      <c r="J75" s="1533"/>
      <c r="K75" s="1533"/>
      <c r="L75" s="1533"/>
      <c r="M75" s="1533"/>
      <c r="N75" s="1533"/>
      <c r="O75" s="1534"/>
      <c r="P75" s="1295"/>
      <c r="Q75" s="1001"/>
    </row>
    <row r="76" spans="3:17" outlineLevel="2">
      <c r="C76" s="935"/>
      <c r="E76" s="969"/>
      <c r="F76" s="969"/>
      <c r="G76" s="969"/>
      <c r="I76" s="1295"/>
      <c r="J76" s="1299"/>
      <c r="K76" s="1295"/>
      <c r="L76" s="1295"/>
      <c r="M76" s="1295"/>
      <c r="N76" s="1295"/>
      <c r="O76" s="1295"/>
      <c r="P76" s="1295"/>
      <c r="Q76" s="1001"/>
    </row>
    <row r="77" spans="3:17" outlineLevel="1">
      <c r="C77" s="935"/>
      <c r="D77" s="945" t="s">
        <v>1619</v>
      </c>
      <c r="E77" s="961"/>
      <c r="F77" s="961"/>
      <c r="G77" s="961"/>
      <c r="H77" s="961"/>
      <c r="J77" s="961"/>
      <c r="K77" s="961"/>
      <c r="L77" s="961"/>
      <c r="M77" s="1002"/>
      <c r="N77" s="961"/>
      <c r="O77" s="961"/>
      <c r="P77" s="969"/>
      <c r="Q77" s="980"/>
    </row>
    <row r="78" spans="3:17" outlineLevel="1">
      <c r="C78" s="935"/>
      <c r="D78" s="945"/>
      <c r="E78" s="961"/>
      <c r="F78" s="961"/>
      <c r="G78" s="961"/>
      <c r="H78" s="961"/>
      <c r="J78" s="961"/>
      <c r="K78" s="961"/>
      <c r="L78" s="961"/>
      <c r="M78" s="1002"/>
      <c r="N78" s="961"/>
      <c r="O78" s="961"/>
      <c r="P78" s="969"/>
      <c r="Q78" s="980"/>
    </row>
    <row r="79" spans="3:17" outlineLevel="2">
      <c r="C79" s="935"/>
      <c r="D79" s="1177" t="s">
        <v>91</v>
      </c>
      <c r="E79" s="961"/>
      <c r="F79" s="961"/>
      <c r="G79" s="961"/>
      <c r="H79" s="961"/>
      <c r="I79" s="961"/>
      <c r="J79" s="961"/>
      <c r="K79" s="961"/>
      <c r="L79" s="961"/>
      <c r="M79" s="1002"/>
      <c r="N79" s="961"/>
      <c r="O79" s="1003"/>
      <c r="P79" s="969"/>
      <c r="Q79" s="980"/>
    </row>
    <row r="80" spans="3:17" outlineLevel="2">
      <c r="C80" s="935"/>
      <c r="D80" s="1004"/>
      <c r="E80" s="1535" t="s">
        <v>92</v>
      </c>
      <c r="F80" s="1536"/>
      <c r="G80" s="1536"/>
      <c r="H80" s="1536"/>
      <c r="I80" s="1536"/>
      <c r="J80" s="1537"/>
      <c r="K80" s="1357" t="s">
        <v>73</v>
      </c>
      <c r="L80" s="1535" t="s">
        <v>93</v>
      </c>
      <c r="M80" s="1536"/>
      <c r="N80" s="1536"/>
      <c r="O80" s="1537"/>
      <c r="P80" s="969"/>
      <c r="Q80" s="980"/>
    </row>
    <row r="81" spans="3:18" ht="24.75" customHeight="1" outlineLevel="2">
      <c r="C81" s="935"/>
      <c r="D81" s="1004"/>
      <c r="E81" s="1563" t="s">
        <v>1680</v>
      </c>
      <c r="F81" s="1564"/>
      <c r="G81" s="1564"/>
      <c r="H81" s="1564"/>
      <c r="I81" s="1564"/>
      <c r="J81" s="1565"/>
      <c r="K81" s="1209"/>
      <c r="L81" s="1566" t="s">
        <v>1678</v>
      </c>
      <c r="M81" s="1566"/>
      <c r="N81" s="1566"/>
      <c r="O81" s="1566"/>
      <c r="P81" s="969"/>
      <c r="Q81" s="980"/>
    </row>
    <row r="82" spans="3:18" outlineLevel="2">
      <c r="C82" s="935"/>
      <c r="D82" s="1177" t="s">
        <v>94</v>
      </c>
      <c r="E82" s="961"/>
      <c r="F82" s="961"/>
      <c r="G82" s="961"/>
      <c r="H82" s="961"/>
      <c r="I82" s="961"/>
      <c r="J82" s="961"/>
      <c r="K82" s="961"/>
      <c r="L82" s="961"/>
      <c r="M82" s="1002"/>
      <c r="N82" s="961"/>
      <c r="O82" s="961"/>
      <c r="P82" s="969"/>
      <c r="Q82" s="980"/>
    </row>
    <row r="83" spans="3:18" outlineLevel="2">
      <c r="C83" s="935"/>
      <c r="D83" s="1004"/>
      <c r="E83" s="1535" t="s">
        <v>92</v>
      </c>
      <c r="F83" s="1536"/>
      <c r="G83" s="1536"/>
      <c r="H83" s="1536"/>
      <c r="I83" s="1536"/>
      <c r="J83" s="1537"/>
      <c r="K83" s="1357" t="s">
        <v>73</v>
      </c>
      <c r="L83" s="1535" t="s">
        <v>93</v>
      </c>
      <c r="M83" s="1536"/>
      <c r="N83" s="1536"/>
      <c r="O83" s="1537"/>
      <c r="P83" s="969"/>
      <c r="Q83" s="980"/>
    </row>
    <row r="84" spans="3:18" ht="28.5" customHeight="1" outlineLevel="2">
      <c r="C84" s="935"/>
      <c r="D84" s="1004"/>
      <c r="E84" s="1563" t="s">
        <v>1680</v>
      </c>
      <c r="F84" s="1564"/>
      <c r="G84" s="1564"/>
      <c r="H84" s="1564"/>
      <c r="I84" s="1564"/>
      <c r="J84" s="1565"/>
      <c r="K84" s="1209"/>
      <c r="L84" s="1566" t="s">
        <v>1679</v>
      </c>
      <c r="M84" s="1566"/>
      <c r="N84" s="1566"/>
      <c r="O84" s="1566"/>
      <c r="P84" s="969"/>
      <c r="Q84" s="980"/>
    </row>
    <row r="85" spans="3:18" hidden="1" outlineLevel="2">
      <c r="C85" s="935"/>
      <c r="D85" s="1111" t="s">
        <v>95</v>
      </c>
      <c r="E85" s="961"/>
      <c r="F85" s="961"/>
      <c r="G85" s="961"/>
      <c r="H85" s="961"/>
      <c r="I85" s="961"/>
      <c r="J85" s="961"/>
      <c r="K85" s="961"/>
      <c r="L85" s="961"/>
      <c r="M85" s="1002"/>
      <c r="N85" s="961"/>
      <c r="O85" s="961"/>
      <c r="P85" s="969"/>
      <c r="Q85" s="980"/>
    </row>
    <row r="86" spans="3:18" ht="23.25" hidden="1" customHeight="1" outlineLevel="2">
      <c r="C86" s="935"/>
      <c r="D86" s="1004"/>
      <c r="E86" s="1436" t="s">
        <v>96</v>
      </c>
      <c r="F86" s="1486"/>
      <c r="G86" s="1486"/>
      <c r="H86" s="1486"/>
      <c r="I86" s="1486"/>
      <c r="J86" s="1437"/>
      <c r="K86" s="1347" t="s">
        <v>240</v>
      </c>
      <c r="L86" s="1535" t="s">
        <v>93</v>
      </c>
      <c r="M86" s="1536"/>
      <c r="N86" s="1536"/>
      <c r="O86" s="1537"/>
      <c r="P86" s="969"/>
      <c r="Q86" s="980"/>
    </row>
    <row r="87" spans="3:18" hidden="1" outlineLevel="2">
      <c r="C87" s="935"/>
      <c r="D87" s="961"/>
      <c r="E87" s="1538"/>
      <c r="F87" s="1539"/>
      <c r="G87" s="1539"/>
      <c r="H87" s="1539"/>
      <c r="I87" s="1539"/>
      <c r="J87" s="1540"/>
      <c r="K87" s="1099"/>
      <c r="L87" s="1538"/>
      <c r="M87" s="1539"/>
      <c r="N87" s="1539"/>
      <c r="O87" s="1540"/>
      <c r="P87" s="969"/>
      <c r="Q87" s="980"/>
    </row>
    <row r="88" spans="3:18" hidden="1" outlineLevel="2">
      <c r="C88" s="935"/>
      <c r="D88" s="961"/>
      <c r="E88" s="1538"/>
      <c r="F88" s="1539"/>
      <c r="G88" s="1539"/>
      <c r="H88" s="1539"/>
      <c r="I88" s="1539"/>
      <c r="J88" s="1540"/>
      <c r="K88" s="1099"/>
      <c r="L88" s="1538"/>
      <c r="M88" s="1539"/>
      <c r="N88" s="1539"/>
      <c r="O88" s="1540"/>
      <c r="P88" s="969"/>
      <c r="Q88" s="980"/>
    </row>
    <row r="89" spans="3:18" hidden="1" outlineLevel="2">
      <c r="C89" s="935"/>
      <c r="D89" s="961"/>
      <c r="E89" s="1538"/>
      <c r="F89" s="1539"/>
      <c r="G89" s="1539"/>
      <c r="H89" s="1539"/>
      <c r="I89" s="1539"/>
      <c r="J89" s="1540"/>
      <c r="K89" s="1099"/>
      <c r="L89" s="1538"/>
      <c r="M89" s="1539"/>
      <c r="N89" s="1539"/>
      <c r="O89" s="1540"/>
      <c r="P89" s="969"/>
      <c r="Q89" s="980"/>
    </row>
    <row r="90" spans="3:18" hidden="1" outlineLevel="2">
      <c r="C90" s="935"/>
      <c r="D90" s="961"/>
      <c r="E90" s="1538"/>
      <c r="F90" s="1539"/>
      <c r="G90" s="1539"/>
      <c r="H90" s="1539"/>
      <c r="I90" s="1539"/>
      <c r="J90" s="1540"/>
      <c r="K90" s="1099"/>
      <c r="L90" s="1538"/>
      <c r="M90" s="1539"/>
      <c r="N90" s="1539"/>
      <c r="O90" s="1540"/>
      <c r="P90" s="969"/>
      <c r="Q90" s="980"/>
    </row>
    <row r="91" spans="3:18" outlineLevel="2">
      <c r="C91" s="935"/>
      <c r="E91" s="969"/>
      <c r="F91" s="969"/>
      <c r="G91" s="969"/>
      <c r="H91" s="969"/>
      <c r="I91" s="969"/>
      <c r="J91" s="969"/>
      <c r="K91" s="969"/>
      <c r="L91" s="969"/>
      <c r="M91" s="970"/>
      <c r="N91" s="969"/>
      <c r="O91" s="969"/>
      <c r="P91" s="969"/>
      <c r="Q91" s="980"/>
    </row>
    <row r="92" spans="3:18" outlineLevel="2">
      <c r="C92" s="935"/>
      <c r="E92" s="1554" t="s">
        <v>1622</v>
      </c>
      <c r="F92" s="1554"/>
      <c r="G92" s="1554"/>
      <c r="H92" s="1554"/>
      <c r="I92" s="1554"/>
      <c r="J92" s="1554"/>
      <c r="K92" s="1554"/>
      <c r="L92" s="969"/>
      <c r="M92" s="970"/>
      <c r="N92" s="969"/>
      <c r="O92" s="969"/>
      <c r="P92" s="969"/>
      <c r="Q92" s="980"/>
    </row>
    <row r="93" spans="3:18" outlineLevel="2">
      <c r="C93" s="935"/>
      <c r="E93" s="969"/>
      <c r="F93" s="969"/>
      <c r="G93" s="969"/>
      <c r="H93" s="969"/>
      <c r="I93" s="969"/>
      <c r="J93" s="969"/>
      <c r="K93" s="969"/>
      <c r="L93" s="969"/>
      <c r="M93" s="970"/>
      <c r="N93" s="969"/>
      <c r="O93" s="969"/>
      <c r="P93" s="969"/>
      <c r="Q93" s="980"/>
    </row>
    <row r="94" spans="3:18" outlineLevel="1">
      <c r="C94" s="935"/>
      <c r="D94" s="991" t="s">
        <v>1623</v>
      </c>
      <c r="E94" s="969"/>
      <c r="F94" s="969"/>
      <c r="G94" s="969"/>
      <c r="H94" s="969"/>
      <c r="I94" s="969"/>
      <c r="J94" s="969"/>
      <c r="K94" s="969"/>
      <c r="L94" s="969"/>
      <c r="M94" s="970"/>
      <c r="N94" s="969"/>
      <c r="O94" s="994"/>
      <c r="P94" s="994"/>
      <c r="Q94" s="980"/>
      <c r="R94" s="994"/>
    </row>
    <row r="95" spans="3:18" outlineLevel="1">
      <c r="C95" s="935"/>
      <c r="D95" s="991"/>
      <c r="E95" s="969"/>
      <c r="F95" s="969"/>
      <c r="G95" s="969"/>
      <c r="H95" s="969"/>
      <c r="I95" s="969"/>
      <c r="J95" s="969"/>
      <c r="K95" s="969"/>
      <c r="L95" s="969"/>
      <c r="M95" s="970"/>
      <c r="N95" s="969"/>
      <c r="O95" s="994"/>
      <c r="P95" s="994"/>
      <c r="Q95" s="980"/>
      <c r="R95" s="994"/>
    </row>
    <row r="96" spans="3:18" ht="26.25" customHeight="1" outlineLevel="2">
      <c r="C96" s="935"/>
      <c r="D96" s="1201" t="s">
        <v>1506</v>
      </c>
      <c r="E96" s="1201"/>
      <c r="F96" s="1201"/>
      <c r="G96" s="995"/>
      <c r="H96" s="996"/>
      <c r="I96" s="1000"/>
      <c r="J96" s="1659" t="s">
        <v>1614</v>
      </c>
      <c r="K96" s="1659"/>
      <c r="L96" s="1659"/>
      <c r="M96" s="1364" t="s">
        <v>1620</v>
      </c>
      <c r="N96" s="1212" t="s">
        <v>1677</v>
      </c>
      <c r="O96" s="1545" t="s">
        <v>90</v>
      </c>
      <c r="P96" s="1546"/>
      <c r="Q96" s="998"/>
    </row>
    <row r="97" spans="3:18" s="1069" customFormat="1" ht="27.75" customHeight="1" outlineLevel="2">
      <c r="C97" s="1068"/>
      <c r="D97" s="1541" t="s">
        <v>1669</v>
      </c>
      <c r="E97" s="1542"/>
      <c r="F97" s="1541">
        <f>+G60</f>
        <v>0</v>
      </c>
      <c r="G97" s="1542"/>
      <c r="H97" s="1541">
        <f>+I60</f>
        <v>0</v>
      </c>
      <c r="I97" s="1542"/>
      <c r="J97" s="1569" t="s">
        <v>1672</v>
      </c>
      <c r="K97" s="1569"/>
      <c r="L97" s="1569"/>
      <c r="M97" s="1211"/>
      <c r="N97" s="1213"/>
      <c r="O97" s="1547"/>
      <c r="P97" s="1548"/>
      <c r="Q97" s="1070"/>
    </row>
    <row r="98" spans="3:18" s="1069" customFormat="1" ht="27.75" customHeight="1" outlineLevel="2">
      <c r="C98" s="1068"/>
      <c r="D98" s="1543"/>
      <c r="E98" s="1544"/>
      <c r="F98" s="1543"/>
      <c r="G98" s="1544"/>
      <c r="H98" s="1543"/>
      <c r="I98" s="1544"/>
      <c r="J98" s="1569" t="s">
        <v>1671</v>
      </c>
      <c r="K98" s="1569"/>
      <c r="L98" s="1569"/>
      <c r="M98" s="1211"/>
      <c r="N98" s="1213"/>
      <c r="O98" s="1547"/>
      <c r="P98" s="1548"/>
      <c r="Q98" s="1070"/>
    </row>
    <row r="99" spans="3:18" ht="12.75" customHeight="1" outlineLevel="1">
      <c r="C99" s="935"/>
      <c r="D99" s="991"/>
      <c r="E99" s="969"/>
      <c r="F99" s="969"/>
      <c r="G99" s="969"/>
      <c r="H99" s="969"/>
      <c r="I99" s="969"/>
      <c r="J99" s="969"/>
      <c r="K99" s="969"/>
      <c r="L99" s="969"/>
      <c r="M99" s="970"/>
      <c r="N99" s="969"/>
      <c r="O99" s="994"/>
      <c r="P99" s="994"/>
      <c r="Q99" s="980"/>
      <c r="R99" s="994"/>
    </row>
    <row r="100" spans="3:18" outlineLevel="1">
      <c r="C100" s="935"/>
      <c r="D100" s="991" t="s">
        <v>1483</v>
      </c>
      <c r="E100" s="969"/>
      <c r="F100" s="969"/>
      <c r="G100" s="969"/>
      <c r="H100" s="969"/>
      <c r="I100" s="969"/>
      <c r="J100" s="969"/>
      <c r="K100" s="969"/>
      <c r="L100" s="969"/>
      <c r="M100" s="970"/>
      <c r="N100" s="969"/>
      <c r="O100" s="969"/>
      <c r="P100" s="969"/>
      <c r="Q100" s="980"/>
    </row>
    <row r="101" spans="3:18" outlineLevel="2">
      <c r="C101" s="935"/>
      <c r="D101" s="1005"/>
      <c r="E101" s="961"/>
      <c r="F101" s="969"/>
      <c r="G101" s="969"/>
      <c r="H101" s="969"/>
      <c r="I101" s="969"/>
      <c r="J101" s="969"/>
      <c r="K101" s="969"/>
      <c r="L101" s="969"/>
      <c r="M101" s="969"/>
      <c r="N101" s="969"/>
      <c r="O101" s="969"/>
      <c r="P101" s="969"/>
      <c r="Q101" s="980"/>
    </row>
    <row r="102" spans="3:18" ht="12.75" customHeight="1" outlineLevel="2">
      <c r="C102" s="935"/>
      <c r="D102" s="1662" t="s">
        <v>1369</v>
      </c>
      <c r="E102" s="1662"/>
      <c r="F102" s="1662"/>
      <c r="G102" s="1662"/>
      <c r="H102" s="1662"/>
      <c r="I102" s="1662"/>
      <c r="J102" s="1662"/>
      <c r="K102" s="1662"/>
      <c r="L102" s="1662"/>
      <c r="M102" s="1662"/>
      <c r="N102" s="1662"/>
      <c r="O102" s="1662"/>
      <c r="P102" s="1662"/>
      <c r="Q102" s="1006"/>
    </row>
    <row r="103" spans="3:18" ht="14.25" customHeight="1" outlineLevel="2">
      <c r="C103" s="935"/>
      <c r="D103" s="1653" t="s">
        <v>1331</v>
      </c>
      <c r="E103" s="1654"/>
      <c r="F103" s="1654"/>
      <c r="G103" s="1655"/>
      <c r="H103" s="1653" t="s">
        <v>1405</v>
      </c>
      <c r="I103" s="1654"/>
      <c r="J103" s="1653" t="s">
        <v>1406</v>
      </c>
      <c r="K103" s="1654"/>
      <c r="L103" s="1663" t="s">
        <v>1407</v>
      </c>
      <c r="M103" s="1663"/>
      <c r="N103" s="1663" t="s">
        <v>1408</v>
      </c>
      <c r="O103" s="1663"/>
      <c r="P103" s="1363" t="s">
        <v>1409</v>
      </c>
      <c r="Q103" s="1007"/>
    </row>
    <row r="104" spans="3:18" s="1079" customFormat="1" ht="51" customHeight="1" outlineLevel="2">
      <c r="C104" s="1078"/>
      <c r="D104" s="1656" t="s">
        <v>1789</v>
      </c>
      <c r="E104" s="1657"/>
      <c r="F104" s="1657"/>
      <c r="G104" s="1658"/>
      <c r="H104" s="1629" t="s">
        <v>1626</v>
      </c>
      <c r="I104" s="1630"/>
      <c r="J104" s="1629" t="s">
        <v>1627</v>
      </c>
      <c r="K104" s="1630"/>
      <c r="L104" s="1629" t="s">
        <v>1628</v>
      </c>
      <c r="M104" s="1630"/>
      <c r="N104" s="1629" t="s">
        <v>1629</v>
      </c>
      <c r="O104" s="1630"/>
      <c r="P104" s="1345" t="s">
        <v>1632</v>
      </c>
      <c r="Q104" s="1021"/>
    </row>
    <row r="105" spans="3:18" s="1079" customFormat="1" ht="51" customHeight="1" outlineLevel="2">
      <c r="C105" s="1078"/>
      <c r="D105" s="1656" t="s">
        <v>1624</v>
      </c>
      <c r="E105" s="1657"/>
      <c r="F105" s="1657"/>
      <c r="G105" s="1658"/>
      <c r="H105" s="1629" t="s">
        <v>1633</v>
      </c>
      <c r="I105" s="1630"/>
      <c r="J105" s="1629" t="s">
        <v>1630</v>
      </c>
      <c r="K105" s="1630"/>
      <c r="L105" s="1629" t="s">
        <v>1631</v>
      </c>
      <c r="M105" s="1630"/>
      <c r="N105" s="1629" t="s">
        <v>1640</v>
      </c>
      <c r="O105" s="1630"/>
      <c r="P105" s="1345"/>
      <c r="Q105" s="1021"/>
    </row>
    <row r="106" spans="3:18" s="1079" customFormat="1" ht="51" customHeight="1" outlineLevel="2">
      <c r="C106" s="1078"/>
      <c r="D106" s="1649"/>
      <c r="E106" s="1650"/>
      <c r="F106" s="1650"/>
      <c r="G106" s="1651"/>
      <c r="H106" s="1631"/>
      <c r="I106" s="1632"/>
      <c r="J106" s="1631"/>
      <c r="K106" s="1632"/>
      <c r="L106" s="1631"/>
      <c r="M106" s="1632"/>
      <c r="N106" s="1631"/>
      <c r="O106" s="1632"/>
      <c r="P106" s="1339"/>
      <c r="Q106" s="1021"/>
    </row>
    <row r="107" spans="3:18" s="1079" customFormat="1" ht="51" customHeight="1" outlineLevel="2">
      <c r="C107" s="1078"/>
      <c r="D107" s="1649"/>
      <c r="E107" s="1650"/>
      <c r="F107" s="1650"/>
      <c r="G107" s="1651"/>
      <c r="H107" s="1631"/>
      <c r="I107" s="1632"/>
      <c r="J107" s="1631"/>
      <c r="K107" s="1632"/>
      <c r="L107" s="1631"/>
      <c r="M107" s="1632"/>
      <c r="N107" s="1631"/>
      <c r="O107" s="1632"/>
      <c r="P107" s="1339"/>
      <c r="Q107" s="1021"/>
    </row>
    <row r="108" spans="3:18" outlineLevel="2">
      <c r="C108" s="935"/>
      <c r="D108" s="1008"/>
      <c r="E108" s="969"/>
      <c r="F108" s="969"/>
      <c r="G108" s="969"/>
      <c r="H108" s="969"/>
      <c r="I108" s="969"/>
      <c r="J108" s="969"/>
      <c r="K108" s="969"/>
      <c r="L108" s="969"/>
      <c r="M108" s="969"/>
      <c r="N108" s="969"/>
      <c r="O108" s="969"/>
      <c r="P108" s="969"/>
      <c r="Q108" s="980"/>
    </row>
    <row r="109" spans="3:18" outlineLevel="1">
      <c r="C109" s="935"/>
      <c r="D109" s="991" t="s">
        <v>1484</v>
      </c>
      <c r="E109" s="969"/>
      <c r="F109" s="969"/>
      <c r="G109" s="969"/>
      <c r="H109" s="969"/>
      <c r="I109" s="969"/>
      <c r="J109" s="969"/>
      <c r="K109" s="969"/>
      <c r="L109" s="969"/>
      <c r="M109" s="970"/>
      <c r="N109" s="969"/>
      <c r="O109" s="969"/>
      <c r="P109" s="969"/>
      <c r="Q109" s="980"/>
    </row>
    <row r="110" spans="3:18" ht="27" customHeight="1" outlineLevel="1">
      <c r="C110" s="935"/>
      <c r="D110" s="1391" t="s">
        <v>1751</v>
      </c>
      <c r="E110" s="1391"/>
      <c r="F110" s="1391"/>
      <c r="G110" s="1391"/>
      <c r="H110" s="1391"/>
      <c r="I110" s="1391"/>
      <c r="J110" s="1391"/>
      <c r="K110" s="1391"/>
      <c r="L110" s="1391"/>
      <c r="M110" s="1391"/>
      <c r="N110" s="1391"/>
      <c r="O110" s="1391"/>
      <c r="P110" s="1391"/>
      <c r="Q110" s="980"/>
    </row>
    <row r="111" spans="3:18" ht="15.75" customHeight="1" outlineLevel="2">
      <c r="C111" s="935"/>
      <c r="D111" s="1664"/>
      <c r="E111" s="1665"/>
      <c r="F111" s="1665"/>
      <c r="G111" s="1665"/>
      <c r="H111" s="1665"/>
      <c r="I111" s="1665"/>
      <c r="J111" s="1665"/>
      <c r="K111" s="1665"/>
      <c r="L111" s="1665"/>
      <c r="M111" s="1665"/>
      <c r="N111" s="1665"/>
      <c r="O111" s="1665"/>
      <c r="P111" s="1666"/>
      <c r="Q111" s="1009"/>
    </row>
    <row r="112" spans="3:18" ht="15.75" customHeight="1" outlineLevel="2">
      <c r="C112" s="935"/>
      <c r="D112" s="1667"/>
      <c r="E112" s="1668"/>
      <c r="F112" s="1668"/>
      <c r="G112" s="1668"/>
      <c r="H112" s="1668"/>
      <c r="I112" s="1668"/>
      <c r="J112" s="1668"/>
      <c r="K112" s="1668"/>
      <c r="L112" s="1668"/>
      <c r="M112" s="1668"/>
      <c r="N112" s="1668"/>
      <c r="O112" s="1668"/>
      <c r="P112" s="1669"/>
      <c r="Q112" s="1009"/>
    </row>
    <row r="113" spans="3:17" ht="15.75" customHeight="1" outlineLevel="2">
      <c r="C113" s="935"/>
      <c r="D113" s="1667"/>
      <c r="E113" s="1668"/>
      <c r="F113" s="1668"/>
      <c r="G113" s="1668"/>
      <c r="H113" s="1668"/>
      <c r="I113" s="1668"/>
      <c r="J113" s="1668"/>
      <c r="K113" s="1668"/>
      <c r="L113" s="1668"/>
      <c r="M113" s="1668"/>
      <c r="N113" s="1668"/>
      <c r="O113" s="1668"/>
      <c r="P113" s="1669"/>
      <c r="Q113" s="1009"/>
    </row>
    <row r="114" spans="3:17" ht="15.75" customHeight="1" outlineLevel="2">
      <c r="C114" s="935"/>
      <c r="D114" s="1670"/>
      <c r="E114" s="1671"/>
      <c r="F114" s="1671"/>
      <c r="G114" s="1671"/>
      <c r="H114" s="1671"/>
      <c r="I114" s="1671"/>
      <c r="J114" s="1671"/>
      <c r="K114" s="1671"/>
      <c r="L114" s="1671"/>
      <c r="M114" s="1671"/>
      <c r="N114" s="1671"/>
      <c r="O114" s="1671"/>
      <c r="P114" s="1672"/>
      <c r="Q114" s="1009"/>
    </row>
    <row r="115" spans="3:17" outlineLevel="2">
      <c r="C115" s="935"/>
      <c r="E115" s="969"/>
      <c r="F115" s="969"/>
      <c r="G115" s="969"/>
      <c r="H115" s="969"/>
      <c r="I115" s="969"/>
      <c r="J115" s="969"/>
      <c r="K115" s="969"/>
      <c r="L115" s="969"/>
      <c r="M115" s="970"/>
      <c r="N115" s="969"/>
      <c r="O115" s="969"/>
      <c r="P115" s="969"/>
      <c r="Q115" s="980"/>
    </row>
    <row r="116" spans="3:17" outlineLevel="2">
      <c r="C116" s="935"/>
      <c r="E116" s="969"/>
      <c r="F116" s="969"/>
      <c r="G116" s="969"/>
      <c r="H116" s="969"/>
      <c r="I116" s="969"/>
      <c r="J116" s="969"/>
      <c r="K116" s="969"/>
      <c r="L116" s="969"/>
      <c r="M116" s="970"/>
      <c r="N116" s="969"/>
      <c r="O116" s="969"/>
      <c r="P116" s="969"/>
      <c r="Q116" s="980"/>
    </row>
    <row r="117" spans="3:17" s="969" customFormat="1" ht="18.75" customHeight="1">
      <c r="C117" s="1094" t="s">
        <v>1725</v>
      </c>
      <c r="D117" s="1112"/>
      <c r="E117" s="1113"/>
      <c r="F117" s="1113"/>
      <c r="G117" s="1113"/>
      <c r="H117" s="1113"/>
      <c r="I117" s="1113"/>
      <c r="J117" s="1113"/>
      <c r="K117" s="1114"/>
      <c r="L117" s="1114"/>
      <c r="M117" s="1115"/>
      <c r="N117" s="1114"/>
      <c r="O117" s="1116"/>
      <c r="P117" s="1117"/>
      <c r="Q117" s="980"/>
    </row>
    <row r="118" spans="3:17" s="961" customFormat="1" ht="12.75" customHeight="1" outlineLevel="1">
      <c r="C118" s="1011"/>
      <c r="D118" s="1012"/>
      <c r="E118" s="1013"/>
      <c r="F118" s="1013"/>
      <c r="G118" s="1013"/>
      <c r="H118" s="1013"/>
      <c r="I118" s="1013"/>
      <c r="J118" s="1013"/>
      <c r="K118" s="1014"/>
      <c r="L118" s="1014"/>
      <c r="M118" s="1015"/>
      <c r="N118" s="1014"/>
      <c r="O118" s="1016"/>
      <c r="P118" s="1016"/>
      <c r="Q118" s="1017"/>
    </row>
    <row r="119" spans="3:17" s="961" customFormat="1" ht="12.75" customHeight="1" outlineLevel="1">
      <c r="C119" s="1011"/>
      <c r="D119" s="1018" t="s">
        <v>242</v>
      </c>
      <c r="E119" s="1013"/>
      <c r="F119" s="1013"/>
      <c r="G119" s="1019"/>
      <c r="H119" s="1013"/>
      <c r="I119" s="1013"/>
      <c r="J119" s="1013"/>
      <c r="K119" s="1014"/>
      <c r="L119" s="1014"/>
      <c r="M119" s="1015"/>
      <c r="N119" s="1015"/>
      <c r="O119" s="1015"/>
      <c r="P119" s="1015"/>
      <c r="Q119" s="1017"/>
    </row>
    <row r="120" spans="3:17" s="961" customFormat="1" ht="26.25" customHeight="1" outlineLevel="2">
      <c r="C120" s="1011"/>
      <c r="D120" s="1704" t="s">
        <v>2</v>
      </c>
      <c r="E120" s="1704"/>
      <c r="F120" s="1704"/>
      <c r="G120" s="1704"/>
      <c r="H120" s="1394" t="s">
        <v>1770</v>
      </c>
      <c r="I120" s="1394"/>
      <c r="J120" s="1394" t="s">
        <v>1465</v>
      </c>
      <c r="K120" s="1394"/>
      <c r="L120" s="1394"/>
      <c r="M120" s="1081"/>
      <c r="N120" s="1081"/>
      <c r="O120" s="1015"/>
      <c r="P120" s="1015"/>
      <c r="Q120" s="980"/>
    </row>
    <row r="121" spans="3:17" s="961" customFormat="1" ht="12.75" customHeight="1" outlineLevel="2">
      <c r="C121" s="1011"/>
      <c r="D121" s="1754" t="s">
        <v>1466</v>
      </c>
      <c r="E121" s="1755"/>
      <c r="F121" s="1755"/>
      <c r="G121" s="1756"/>
      <c r="H121" s="1463">
        <v>1</v>
      </c>
      <c r="I121" s="1463"/>
      <c r="J121" s="1758">
        <f>IF(H121="","",10+H121)</f>
        <v>11</v>
      </c>
      <c r="K121" s="1758"/>
      <c r="L121" s="1758"/>
      <c r="M121" s="1015"/>
      <c r="N121" s="1015"/>
      <c r="O121" s="1015"/>
      <c r="P121" s="1015"/>
      <c r="Q121" s="980"/>
    </row>
    <row r="122" spans="3:17" s="961" customFormat="1" ht="12.75" customHeight="1" outlineLevel="2">
      <c r="C122" s="1011"/>
      <c r="M122" s="1002"/>
      <c r="Q122" s="980"/>
    </row>
    <row r="123" spans="3:17" s="961" customFormat="1" ht="12.75" customHeight="1" outlineLevel="2">
      <c r="C123" s="1011"/>
      <c r="M123" s="1002"/>
      <c r="Q123" s="980"/>
    </row>
    <row r="124" spans="3:17" ht="12" customHeight="1" outlineLevel="1">
      <c r="C124" s="935"/>
      <c r="D124" s="1018" t="s">
        <v>243</v>
      </c>
      <c r="E124" s="963"/>
      <c r="F124" s="963"/>
      <c r="G124" s="963"/>
      <c r="H124" s="963"/>
      <c r="I124" s="963"/>
      <c r="J124" s="963"/>
      <c r="K124" s="963"/>
      <c r="L124" s="963"/>
      <c r="M124" s="1020"/>
      <c r="N124" s="969"/>
      <c r="O124" s="969"/>
      <c r="P124" s="961"/>
      <c r="Q124" s="980"/>
    </row>
    <row r="125" spans="3:17" ht="8.25" customHeight="1" outlineLevel="2">
      <c r="C125" s="935"/>
      <c r="D125" s="1018"/>
      <c r="E125" s="963"/>
      <c r="F125" s="963"/>
      <c r="G125" s="963"/>
      <c r="H125" s="963"/>
      <c r="I125" s="963"/>
      <c r="J125" s="963"/>
      <c r="K125" s="963"/>
      <c r="L125" s="963"/>
      <c r="M125" s="1020"/>
      <c r="N125" s="969"/>
      <c r="O125" s="969"/>
      <c r="P125" s="961"/>
      <c r="Q125" s="980"/>
    </row>
    <row r="126" spans="3:17" outlineLevel="2">
      <c r="C126" s="935"/>
      <c r="D126" s="991" t="s">
        <v>1467</v>
      </c>
      <c r="E126" s="969"/>
      <c r="F126" s="1010"/>
      <c r="G126" s="1010"/>
      <c r="H126" s="1010"/>
      <c r="I126" s="1010"/>
      <c r="J126" s="1010"/>
      <c r="K126" s="1010"/>
      <c r="L126" s="1010"/>
      <c r="M126" s="1022"/>
      <c r="N126" s="1010"/>
      <c r="O126" s="1010"/>
      <c r="P126" s="1010"/>
      <c r="Q126" s="1023"/>
    </row>
    <row r="127" spans="3:17" ht="9.75" customHeight="1" outlineLevel="2">
      <c r="C127" s="935"/>
      <c r="D127" s="991"/>
      <c r="E127" s="969"/>
      <c r="F127" s="1010"/>
      <c r="G127" s="1010"/>
      <c r="H127" s="1010"/>
      <c r="I127" s="1010"/>
      <c r="J127" s="1010"/>
      <c r="K127" s="1010"/>
      <c r="L127" s="1010"/>
      <c r="M127" s="1022"/>
      <c r="N127" s="1010"/>
      <c r="O127" s="1010"/>
      <c r="P127" s="1010"/>
      <c r="Q127" s="1023"/>
    </row>
    <row r="128" spans="3:17" outlineLevel="2">
      <c r="C128" s="935"/>
      <c r="D128" s="991" t="s">
        <v>1726</v>
      </c>
      <c r="E128" s="969"/>
      <c r="F128" s="1024"/>
      <c r="G128" s="1024"/>
      <c r="H128" s="1024"/>
      <c r="I128" s="1024"/>
      <c r="J128" s="1024"/>
      <c r="K128" s="1024"/>
      <c r="L128" s="1024"/>
      <c r="M128" s="1025"/>
      <c r="N128" s="1024"/>
      <c r="O128" s="1024"/>
      <c r="P128" s="1024"/>
      <c r="Q128" s="1023"/>
    </row>
    <row r="129" spans="3:17" ht="21" customHeight="1" outlineLevel="2">
      <c r="C129" s="935"/>
      <c r="D129" s="1501"/>
      <c r="E129" s="1712"/>
      <c r="F129" s="1712"/>
      <c r="G129" s="1712"/>
      <c r="H129" s="1712"/>
      <c r="I129" s="1712"/>
      <c r="J129" s="1712"/>
      <c r="K129" s="1712"/>
      <c r="L129" s="1712"/>
      <c r="M129" s="1712"/>
      <c r="N129" s="1712"/>
      <c r="O129" s="1712"/>
      <c r="P129" s="1713"/>
      <c r="Q129" s="1026"/>
    </row>
    <row r="130" spans="3:17" ht="21" customHeight="1" outlineLevel="2">
      <c r="C130" s="935"/>
      <c r="D130" s="1714"/>
      <c r="E130" s="1715"/>
      <c r="F130" s="1715"/>
      <c r="G130" s="1715"/>
      <c r="H130" s="1715"/>
      <c r="I130" s="1715"/>
      <c r="J130" s="1715"/>
      <c r="K130" s="1715"/>
      <c r="L130" s="1715"/>
      <c r="M130" s="1715"/>
      <c r="N130" s="1715"/>
      <c r="O130" s="1715"/>
      <c r="P130" s="1716"/>
      <c r="Q130" s="1026"/>
    </row>
    <row r="131" spans="3:17" ht="21" customHeight="1" outlineLevel="2">
      <c r="C131" s="935"/>
      <c r="D131" s="1717"/>
      <c r="E131" s="1718"/>
      <c r="F131" s="1718"/>
      <c r="G131" s="1718"/>
      <c r="H131" s="1718"/>
      <c r="I131" s="1718"/>
      <c r="J131" s="1718"/>
      <c r="K131" s="1718"/>
      <c r="L131" s="1718"/>
      <c r="M131" s="1718"/>
      <c r="N131" s="1718"/>
      <c r="O131" s="1718"/>
      <c r="P131" s="1719"/>
      <c r="Q131" s="1026"/>
    </row>
    <row r="132" spans="3:17" ht="12.75" customHeight="1" outlineLevel="2">
      <c r="C132" s="935"/>
      <c r="D132" s="1027"/>
      <c r="E132" s="1028"/>
      <c r="F132" s="1028"/>
      <c r="G132" s="1028"/>
      <c r="H132" s="1028"/>
      <c r="I132" s="1028"/>
      <c r="J132" s="1028"/>
      <c r="K132" s="1028"/>
      <c r="L132" s="1028"/>
      <c r="M132" s="1029"/>
      <c r="N132" s="1028"/>
      <c r="O132" s="969"/>
      <c r="P132" s="969"/>
      <c r="Q132" s="980"/>
    </row>
    <row r="133" spans="3:17" outlineLevel="2">
      <c r="C133" s="935"/>
      <c r="D133" s="991" t="s">
        <v>1468</v>
      </c>
      <c r="E133" s="969"/>
      <c r="F133" s="1024"/>
      <c r="G133" s="1024"/>
      <c r="H133" s="1024"/>
      <c r="I133" s="1024"/>
      <c r="J133" s="1024"/>
      <c r="K133" s="1024"/>
      <c r="L133" s="1024"/>
      <c r="M133" s="1025"/>
      <c r="N133" s="1024"/>
      <c r="O133" s="1024"/>
      <c r="P133" s="1024"/>
      <c r="Q133" s="1023"/>
    </row>
    <row r="134" spans="3:17" ht="48.75" customHeight="1" outlineLevel="2">
      <c r="C134" s="935"/>
      <c r="D134" s="1705"/>
      <c r="E134" s="1706"/>
      <c r="F134" s="1706"/>
      <c r="G134" s="1706"/>
      <c r="H134" s="1706"/>
      <c r="I134" s="1706"/>
      <c r="J134" s="1706"/>
      <c r="K134" s="1706"/>
      <c r="L134" s="1706"/>
      <c r="M134" s="1706"/>
      <c r="N134" s="1706"/>
      <c r="O134" s="1706"/>
      <c r="P134" s="1707"/>
      <c r="Q134" s="1026"/>
    </row>
    <row r="135" spans="3:17" ht="52.5" customHeight="1" outlineLevel="2">
      <c r="C135" s="935"/>
      <c r="D135" s="1708"/>
      <c r="E135" s="1709"/>
      <c r="F135" s="1709"/>
      <c r="G135" s="1709"/>
      <c r="H135" s="1709"/>
      <c r="I135" s="1709"/>
      <c r="J135" s="1709"/>
      <c r="K135" s="1709"/>
      <c r="L135" s="1709"/>
      <c r="M135" s="1709"/>
      <c r="N135" s="1709"/>
      <c r="O135" s="1709"/>
      <c r="P135" s="1710"/>
      <c r="Q135" s="1026"/>
    </row>
    <row r="136" spans="3:17" ht="9" customHeight="1" outlineLevel="2">
      <c r="C136" s="935"/>
      <c r="D136" s="1027"/>
      <c r="E136" s="1028"/>
      <c r="F136" s="1028"/>
      <c r="G136" s="1028"/>
      <c r="H136" s="1028"/>
      <c r="I136" s="1028"/>
      <c r="J136" s="1028"/>
      <c r="K136" s="1028"/>
      <c r="L136" s="1028"/>
      <c r="M136" s="1029"/>
      <c r="N136" s="1028"/>
      <c r="O136" s="969"/>
      <c r="P136" s="969"/>
      <c r="Q136" s="980"/>
    </row>
    <row r="137" spans="3:17" ht="16.5" customHeight="1" outlineLevel="2">
      <c r="C137" s="935"/>
      <c r="D137" s="991" t="s">
        <v>1750</v>
      </c>
      <c r="E137" s="1028"/>
      <c r="F137" s="1028"/>
      <c r="G137" s="1028"/>
      <c r="H137" s="1028"/>
      <c r="I137" s="1028"/>
      <c r="J137" s="1028"/>
      <c r="K137" s="1028"/>
      <c r="L137" s="1028"/>
      <c r="M137" s="1029"/>
      <c r="N137" s="1028"/>
      <c r="O137" s="969"/>
      <c r="P137" s="969"/>
      <c r="Q137" s="980"/>
    </row>
    <row r="138" spans="3:17" ht="33.75" customHeight="1" outlineLevel="2">
      <c r="C138" s="935"/>
      <c r="D138" s="1347" t="s">
        <v>256</v>
      </c>
      <c r="E138" s="1437" t="s">
        <v>255</v>
      </c>
      <c r="F138" s="1436"/>
      <c r="G138" s="1352" t="s">
        <v>3</v>
      </c>
      <c r="H138" s="1352" t="s">
        <v>4</v>
      </c>
      <c r="I138" s="1352" t="s">
        <v>14</v>
      </c>
      <c r="J138" s="1352" t="s">
        <v>23</v>
      </c>
      <c r="K138" s="1352" t="s">
        <v>24</v>
      </c>
      <c r="L138" s="1352" t="s">
        <v>25</v>
      </c>
      <c r="M138" s="1118" t="s">
        <v>26</v>
      </c>
      <c r="N138" s="1352" t="s">
        <v>27</v>
      </c>
      <c r="O138" s="1352" t="s">
        <v>28</v>
      </c>
      <c r="P138" s="1348" t="s">
        <v>5</v>
      </c>
      <c r="Q138" s="1030"/>
    </row>
    <row r="139" spans="3:17" outlineLevel="2">
      <c r="C139" s="935"/>
      <c r="D139" s="1031" t="s">
        <v>1507</v>
      </c>
      <c r="G139" s="969"/>
      <c r="H139" s="1010"/>
      <c r="I139" s="1010"/>
      <c r="J139" s="1010"/>
      <c r="K139" s="1010"/>
      <c r="L139" s="1010"/>
      <c r="M139" s="1022"/>
      <c r="N139" s="1010"/>
      <c r="O139" s="1010"/>
      <c r="P139" s="1032"/>
      <c r="Q139" s="1023"/>
    </row>
    <row r="140" spans="3:17" ht="13.5" customHeight="1" outlineLevel="2">
      <c r="C140" s="935"/>
      <c r="D140" s="1106" t="s">
        <v>29</v>
      </c>
      <c r="E140" s="1757" t="s">
        <v>257</v>
      </c>
      <c r="F140" s="1757"/>
      <c r="G140" s="1218"/>
      <c r="H140" s="1218"/>
      <c r="I140" s="1218"/>
      <c r="J140" s="1218"/>
      <c r="K140" s="1218"/>
      <c r="L140" s="1218"/>
      <c r="M140" s="1218"/>
      <c r="N140" s="1218"/>
      <c r="O140" s="1218"/>
      <c r="P140" s="1221"/>
      <c r="Q140" s="1007"/>
    </row>
    <row r="141" spans="3:17" ht="13.5" customHeight="1" outlineLevel="2">
      <c r="C141" s="935"/>
      <c r="D141" s="1119" t="s">
        <v>30</v>
      </c>
      <c r="E141" s="1720" t="s">
        <v>257</v>
      </c>
      <c r="F141" s="1720"/>
      <c r="G141" s="1219"/>
      <c r="H141" s="1219"/>
      <c r="I141" s="1219"/>
      <c r="J141" s="1219"/>
      <c r="K141" s="1219"/>
      <c r="L141" s="1219"/>
      <c r="M141" s="1219"/>
      <c r="N141" s="1219"/>
      <c r="O141" s="1219"/>
      <c r="P141" s="1222"/>
      <c r="Q141" s="1007"/>
    </row>
    <row r="142" spans="3:17" ht="13.5" customHeight="1" outlineLevel="2">
      <c r="C142" s="935"/>
      <c r="D142" s="1107" t="s">
        <v>31</v>
      </c>
      <c r="E142" s="1753" t="s">
        <v>257</v>
      </c>
      <c r="F142" s="1753"/>
      <c r="G142" s="1220"/>
      <c r="H142" s="1220"/>
      <c r="I142" s="1220"/>
      <c r="J142" s="1220"/>
      <c r="K142" s="1220"/>
      <c r="L142" s="1220"/>
      <c r="M142" s="1220"/>
      <c r="N142" s="1220"/>
      <c r="O142" s="1220"/>
      <c r="P142" s="1223"/>
      <c r="Q142" s="1007"/>
    </row>
    <row r="143" spans="3:17" ht="13.5" customHeight="1" outlineLevel="2">
      <c r="C143" s="935"/>
      <c r="D143" s="1699" t="s">
        <v>70</v>
      </c>
      <c r="E143" s="1711"/>
      <c r="F143" s="1711"/>
      <c r="G143" s="1368">
        <f>SUM(G140:G142)</f>
        <v>0</v>
      </c>
      <c r="H143" s="1368">
        <f>SUM(H140:H142)</f>
        <v>0</v>
      </c>
      <c r="I143" s="1368">
        <f>SUM(I140:I142)</f>
        <v>0</v>
      </c>
      <c r="J143" s="1368">
        <f>SUM(J140:J142)</f>
        <v>0</v>
      </c>
      <c r="K143" s="1368">
        <f t="shared" ref="K143:P143" si="0">SUM(K140:K142)</f>
        <v>0</v>
      </c>
      <c r="L143" s="1368">
        <f t="shared" si="0"/>
        <v>0</v>
      </c>
      <c r="M143" s="1368">
        <f t="shared" si="0"/>
        <v>0</v>
      </c>
      <c r="N143" s="1368">
        <f t="shared" si="0"/>
        <v>0</v>
      </c>
      <c r="O143" s="1368">
        <f t="shared" si="0"/>
        <v>0</v>
      </c>
      <c r="P143" s="1366">
        <f t="shared" si="0"/>
        <v>0</v>
      </c>
      <c r="Q143" s="1007"/>
    </row>
    <row r="144" spans="3:17" ht="12.75" customHeight="1" outlineLevel="2">
      <c r="C144" s="935"/>
      <c r="D144" s="1028"/>
      <c r="E144" s="1028"/>
      <c r="F144" s="1028"/>
      <c r="G144" s="1028"/>
      <c r="H144" s="1028"/>
      <c r="I144" s="1028"/>
      <c r="J144" s="1028"/>
      <c r="K144" s="1028"/>
      <c r="L144" s="1028"/>
      <c r="M144" s="1029"/>
      <c r="N144" s="1028"/>
      <c r="O144" s="969"/>
      <c r="P144" s="969"/>
      <c r="Q144" s="980"/>
    </row>
    <row r="145" spans="3:17" ht="13.5" customHeight="1" outlineLevel="2">
      <c r="C145" s="935"/>
      <c r="D145" s="1018" t="s">
        <v>1502</v>
      </c>
      <c r="E145" s="963"/>
      <c r="F145" s="963"/>
      <c r="G145" s="963"/>
      <c r="H145" s="963"/>
      <c r="I145" s="963"/>
      <c r="J145" s="963"/>
      <c r="K145" s="963"/>
      <c r="L145" s="963"/>
      <c r="M145" s="1020"/>
      <c r="N145" s="963"/>
      <c r="O145" s="961"/>
      <c r="P145" s="961"/>
      <c r="Q145" s="980"/>
    </row>
    <row r="146" spans="3:17" ht="16.5" customHeight="1" outlineLevel="2">
      <c r="C146" s="935"/>
      <c r="D146" s="991" t="s">
        <v>1790</v>
      </c>
      <c r="E146" s="969"/>
      <c r="F146" s="1010"/>
      <c r="G146" s="1010"/>
      <c r="H146" s="1010"/>
      <c r="I146" s="1010"/>
      <c r="J146" s="1010"/>
      <c r="K146" s="1010"/>
      <c r="L146" s="1010"/>
      <c r="M146" s="1022"/>
      <c r="N146" s="1010"/>
      <c r="O146" s="1010"/>
      <c r="P146" s="1010"/>
      <c r="Q146" s="1023"/>
    </row>
    <row r="147" spans="3:17" ht="31.5" customHeight="1" outlineLevel="2">
      <c r="C147" s="935"/>
      <c r="D147" s="1705"/>
      <c r="E147" s="1742"/>
      <c r="F147" s="1742"/>
      <c r="G147" s="1742"/>
      <c r="H147" s="1742"/>
      <c r="I147" s="1742"/>
      <c r="J147" s="1742"/>
      <c r="K147" s="1742"/>
      <c r="L147" s="1742"/>
      <c r="M147" s="1742"/>
      <c r="N147" s="1742"/>
      <c r="O147" s="1742"/>
      <c r="P147" s="1743"/>
      <c r="Q147" s="1023"/>
    </row>
    <row r="148" spans="3:17" ht="39.75" customHeight="1" outlineLevel="2">
      <c r="C148" s="935"/>
      <c r="D148" s="1744"/>
      <c r="E148" s="1745"/>
      <c r="F148" s="1745"/>
      <c r="G148" s="1745"/>
      <c r="H148" s="1745"/>
      <c r="I148" s="1745"/>
      <c r="J148" s="1745"/>
      <c r="K148" s="1745"/>
      <c r="L148" s="1745"/>
      <c r="M148" s="1745"/>
      <c r="N148" s="1745"/>
      <c r="O148" s="1745"/>
      <c r="P148" s="1746"/>
      <c r="Q148" s="1023"/>
    </row>
    <row r="149" spans="3:17" ht="36" customHeight="1" outlineLevel="2">
      <c r="C149" s="935"/>
      <c r="D149" s="1747"/>
      <c r="E149" s="1748"/>
      <c r="F149" s="1748"/>
      <c r="G149" s="1748"/>
      <c r="H149" s="1748"/>
      <c r="I149" s="1748"/>
      <c r="J149" s="1748"/>
      <c r="K149" s="1748"/>
      <c r="L149" s="1748"/>
      <c r="M149" s="1748"/>
      <c r="N149" s="1748"/>
      <c r="O149" s="1748"/>
      <c r="P149" s="1749"/>
      <c r="Q149" s="1023"/>
    </row>
    <row r="150" spans="3:17" ht="8.25" customHeight="1" outlineLevel="2">
      <c r="C150" s="935"/>
      <c r="E150" s="969"/>
      <c r="F150" s="1010"/>
      <c r="G150" s="1010"/>
      <c r="H150" s="1010"/>
      <c r="I150" s="1010"/>
      <c r="J150" s="1010"/>
      <c r="K150" s="1010"/>
      <c r="L150" s="1010"/>
      <c r="M150" s="1022"/>
      <c r="N150" s="1010"/>
      <c r="O150" s="1010"/>
      <c r="P150" s="1010"/>
      <c r="Q150" s="1023"/>
    </row>
    <row r="151" spans="3:17" outlineLevel="2">
      <c r="C151" s="935"/>
      <c r="D151" s="991" t="s">
        <v>1685</v>
      </c>
      <c r="E151" s="969"/>
      <c r="F151" s="1024"/>
      <c r="G151" s="1024"/>
      <c r="H151" s="1024"/>
      <c r="I151" s="1024"/>
      <c r="J151" s="1024"/>
      <c r="K151" s="1024"/>
      <c r="L151" s="1024"/>
      <c r="M151" s="1025"/>
      <c r="N151" s="1024"/>
      <c r="O151" s="1024"/>
      <c r="P151" s="1024"/>
      <c r="Q151" s="1023"/>
    </row>
    <row r="152" spans="3:17" ht="30" customHeight="1" outlineLevel="2">
      <c r="C152" s="935"/>
      <c r="D152" s="1705"/>
      <c r="E152" s="1706"/>
      <c r="F152" s="1706"/>
      <c r="G152" s="1706"/>
      <c r="H152" s="1706"/>
      <c r="I152" s="1706"/>
      <c r="J152" s="1706"/>
      <c r="K152" s="1706"/>
      <c r="L152" s="1706"/>
      <c r="M152" s="1706"/>
      <c r="N152" s="1706"/>
      <c r="O152" s="1706"/>
      <c r="P152" s="1707"/>
      <c r="Q152" s="1026"/>
    </row>
    <row r="153" spans="3:17" ht="30" customHeight="1" outlineLevel="2">
      <c r="C153" s="935"/>
      <c r="D153" s="1708"/>
      <c r="E153" s="1709"/>
      <c r="F153" s="1709"/>
      <c r="G153" s="1709"/>
      <c r="H153" s="1709"/>
      <c r="I153" s="1709"/>
      <c r="J153" s="1709"/>
      <c r="K153" s="1709"/>
      <c r="L153" s="1709"/>
      <c r="M153" s="1709"/>
      <c r="N153" s="1709"/>
      <c r="O153" s="1709"/>
      <c r="P153" s="1710"/>
      <c r="Q153" s="1026"/>
    </row>
    <row r="154" spans="3:17" ht="11.25" customHeight="1" outlineLevel="2">
      <c r="C154" s="935"/>
      <c r="D154" s="1027"/>
      <c r="E154" s="1028"/>
      <c r="F154" s="1028"/>
      <c r="G154" s="1028"/>
      <c r="H154" s="1028"/>
      <c r="I154" s="1028"/>
      <c r="J154" s="1028"/>
      <c r="K154" s="1028"/>
      <c r="L154" s="1028"/>
      <c r="M154" s="1029"/>
      <c r="N154" s="1028"/>
      <c r="O154" s="969"/>
      <c r="P154" s="969"/>
      <c r="Q154" s="980"/>
    </row>
    <row r="155" spans="3:17" ht="16.5" customHeight="1" outlineLevel="2">
      <c r="C155" s="935"/>
      <c r="D155" s="991" t="s">
        <v>1686</v>
      </c>
      <c r="E155" s="1028"/>
      <c r="F155" s="1028"/>
      <c r="G155" s="1028"/>
      <c r="H155" s="1028"/>
      <c r="I155" s="1028"/>
      <c r="J155" s="1028"/>
      <c r="K155" s="1028"/>
      <c r="L155" s="1028"/>
      <c r="M155" s="1029"/>
      <c r="N155" s="1028"/>
      <c r="O155" s="969"/>
      <c r="P155" s="969"/>
      <c r="Q155" s="980"/>
    </row>
    <row r="156" spans="3:17" ht="26.25" customHeight="1" outlineLevel="2">
      <c r="C156" s="935"/>
      <c r="D156" s="1347" t="s">
        <v>256</v>
      </c>
      <c r="E156" s="1437" t="s">
        <v>255</v>
      </c>
      <c r="F156" s="1436"/>
      <c r="G156" s="1352" t="s">
        <v>3</v>
      </c>
      <c r="H156" s="1352" t="s">
        <v>4</v>
      </c>
      <c r="I156" s="1352" t="s">
        <v>14</v>
      </c>
      <c r="J156" s="1352" t="s">
        <v>23</v>
      </c>
      <c r="K156" s="1352" t="s">
        <v>24</v>
      </c>
      <c r="L156" s="1352" t="s">
        <v>25</v>
      </c>
      <c r="M156" s="1118" t="s">
        <v>26</v>
      </c>
      <c r="N156" s="1352" t="s">
        <v>27</v>
      </c>
      <c r="O156" s="1352" t="s">
        <v>28</v>
      </c>
      <c r="P156" s="1348" t="s">
        <v>5</v>
      </c>
      <c r="Q156" s="1030"/>
    </row>
    <row r="157" spans="3:17" outlineLevel="2">
      <c r="C157" s="935"/>
      <c r="D157" s="1031" t="s">
        <v>1507</v>
      </c>
      <c r="G157" s="969"/>
      <c r="H157" s="1010"/>
      <c r="I157" s="1010"/>
      <c r="J157" s="1010"/>
      <c r="K157" s="1010"/>
      <c r="L157" s="1010"/>
      <c r="M157" s="1022"/>
      <c r="N157" s="1010"/>
      <c r="O157" s="1010"/>
      <c r="P157" s="1032"/>
      <c r="Q157" s="1023"/>
    </row>
    <row r="158" spans="3:17" ht="13.5" customHeight="1" outlineLevel="2">
      <c r="C158" s="935"/>
      <c r="D158" s="1106" t="s">
        <v>29</v>
      </c>
      <c r="E158" s="1757" t="s">
        <v>257</v>
      </c>
      <c r="F158" s="1757"/>
      <c r="G158" s="1218"/>
      <c r="H158" s="1218"/>
      <c r="I158" s="1218"/>
      <c r="J158" s="1218"/>
      <c r="K158" s="1218"/>
      <c r="L158" s="1218"/>
      <c r="M158" s="1218"/>
      <c r="N158" s="1218"/>
      <c r="O158" s="1218"/>
      <c r="P158" s="1221"/>
      <c r="Q158" s="1023"/>
    </row>
    <row r="159" spans="3:17" ht="13.5" customHeight="1" outlineLevel="2">
      <c r="C159" s="935"/>
      <c r="D159" s="1119" t="s">
        <v>30</v>
      </c>
      <c r="E159" s="1720" t="s">
        <v>257</v>
      </c>
      <c r="F159" s="1720"/>
      <c r="G159" s="1219"/>
      <c r="H159" s="1219"/>
      <c r="I159" s="1219"/>
      <c r="J159" s="1219"/>
      <c r="K159" s="1219"/>
      <c r="L159" s="1219"/>
      <c r="M159" s="1219"/>
      <c r="N159" s="1219"/>
      <c r="O159" s="1219"/>
      <c r="P159" s="1222"/>
      <c r="Q159" s="1023"/>
    </row>
    <row r="160" spans="3:17" ht="13.5" customHeight="1" outlineLevel="2">
      <c r="C160" s="935"/>
      <c r="D160" s="1107" t="s">
        <v>31</v>
      </c>
      <c r="E160" s="1753" t="s">
        <v>257</v>
      </c>
      <c r="F160" s="1753"/>
      <c r="G160" s="1220"/>
      <c r="H160" s="1220"/>
      <c r="I160" s="1220"/>
      <c r="J160" s="1220"/>
      <c r="K160" s="1220"/>
      <c r="L160" s="1220"/>
      <c r="M160" s="1220"/>
      <c r="N160" s="1220"/>
      <c r="O160" s="1220"/>
      <c r="P160" s="1223"/>
      <c r="Q160" s="1023"/>
    </row>
    <row r="161" spans="3:18" ht="13.5" customHeight="1" outlineLevel="2">
      <c r="C161" s="935"/>
      <c r="D161" s="1699" t="s">
        <v>70</v>
      </c>
      <c r="E161" s="1711"/>
      <c r="F161" s="1711"/>
      <c r="G161" s="1368">
        <f>SUM(G158:G160)</f>
        <v>0</v>
      </c>
      <c r="H161" s="1368">
        <f t="shared" ref="H161:P161" si="1">SUM(H158:H160)</f>
        <v>0</v>
      </c>
      <c r="I161" s="1368">
        <f t="shared" si="1"/>
        <v>0</v>
      </c>
      <c r="J161" s="1368">
        <f t="shared" si="1"/>
        <v>0</v>
      </c>
      <c r="K161" s="1368">
        <f t="shared" si="1"/>
        <v>0</v>
      </c>
      <c r="L161" s="1368">
        <f t="shared" si="1"/>
        <v>0</v>
      </c>
      <c r="M161" s="1368">
        <f t="shared" si="1"/>
        <v>0</v>
      </c>
      <c r="N161" s="1368">
        <f t="shared" si="1"/>
        <v>0</v>
      </c>
      <c r="O161" s="1368">
        <f t="shared" si="1"/>
        <v>0</v>
      </c>
      <c r="P161" s="1366">
        <f t="shared" si="1"/>
        <v>0</v>
      </c>
      <c r="Q161" s="1023"/>
    </row>
    <row r="162" spans="3:18" ht="12" customHeight="1" outlineLevel="2">
      <c r="C162" s="935"/>
      <c r="D162" s="1028"/>
      <c r="E162" s="1028"/>
      <c r="F162" s="1010"/>
      <c r="G162" s="1010"/>
      <c r="H162" s="1010"/>
      <c r="I162" s="1010"/>
      <c r="J162" s="1010"/>
      <c r="K162" s="1010"/>
      <c r="L162" s="1010"/>
      <c r="M162" s="1022"/>
      <c r="N162" s="1010"/>
      <c r="O162" s="1010"/>
      <c r="P162" s="969"/>
      <c r="Q162" s="980"/>
    </row>
    <row r="163" spans="3:18" ht="12" customHeight="1" outlineLevel="2">
      <c r="C163" s="935"/>
      <c r="D163" s="1018" t="s">
        <v>1503</v>
      </c>
      <c r="E163" s="963"/>
      <c r="F163" s="963"/>
      <c r="G163" s="963"/>
      <c r="H163" s="963"/>
      <c r="I163" s="963"/>
      <c r="J163" s="963"/>
      <c r="K163" s="963"/>
      <c r="L163" s="963"/>
      <c r="M163" s="1020"/>
      <c r="N163" s="963"/>
      <c r="O163" s="961"/>
      <c r="P163" s="961"/>
      <c r="Q163" s="980"/>
    </row>
    <row r="164" spans="3:18" ht="3.75" customHeight="1" outlineLevel="2">
      <c r="C164" s="935"/>
      <c r="D164" s="991"/>
      <c r="E164" s="1028"/>
      <c r="F164" s="1028"/>
      <c r="G164" s="1028"/>
      <c r="H164" s="1028"/>
      <c r="I164" s="1028"/>
      <c r="J164" s="1028"/>
      <c r="K164" s="1028"/>
      <c r="L164" s="1028"/>
      <c r="M164" s="1029"/>
      <c r="N164" s="1028"/>
      <c r="O164" s="969"/>
      <c r="P164" s="969"/>
      <c r="Q164" s="980"/>
    </row>
    <row r="165" spans="3:18" ht="25.5" customHeight="1" outlineLevel="2">
      <c r="C165" s="935"/>
      <c r="D165" s="1347" t="s">
        <v>256</v>
      </c>
      <c r="E165" s="1437" t="s">
        <v>255</v>
      </c>
      <c r="F165" s="1436"/>
      <c r="G165" s="1352" t="s">
        <v>3</v>
      </c>
      <c r="H165" s="1352" t="s">
        <v>4</v>
      </c>
      <c r="I165" s="1352" t="s">
        <v>14</v>
      </c>
      <c r="J165" s="1352" t="s">
        <v>23</v>
      </c>
      <c r="K165" s="1352" t="s">
        <v>24</v>
      </c>
      <c r="L165" s="1352" t="s">
        <v>25</v>
      </c>
      <c r="M165" s="1118" t="s">
        <v>26</v>
      </c>
      <c r="N165" s="1352" t="s">
        <v>27</v>
      </c>
      <c r="O165" s="1352" t="s">
        <v>28</v>
      </c>
      <c r="P165" s="1348" t="s">
        <v>5</v>
      </c>
      <c r="Q165" s="1030"/>
    </row>
    <row r="166" spans="3:18" outlineLevel="2">
      <c r="C166" s="935"/>
      <c r="D166" s="1031" t="s">
        <v>1507</v>
      </c>
      <c r="G166" s="969"/>
      <c r="H166" s="1010"/>
      <c r="I166" s="1010"/>
      <c r="J166" s="1010"/>
      <c r="K166" s="1010"/>
      <c r="L166" s="1010"/>
      <c r="M166" s="1022"/>
      <c r="N166" s="1010"/>
      <c r="O166" s="1010"/>
      <c r="P166" s="1032"/>
      <c r="Q166" s="1023"/>
    </row>
    <row r="167" spans="3:18" ht="13.5" customHeight="1" outlineLevel="2">
      <c r="C167" s="935"/>
      <c r="D167" s="1084" t="s">
        <v>29</v>
      </c>
      <c r="E167" s="1759" t="s">
        <v>257</v>
      </c>
      <c r="F167" s="1759"/>
      <c r="G167" s="1361">
        <f t="shared" ref="G167:P167" si="2">G158-G140</f>
        <v>0</v>
      </c>
      <c r="H167" s="1361">
        <f t="shared" si="2"/>
        <v>0</v>
      </c>
      <c r="I167" s="1361">
        <f t="shared" si="2"/>
        <v>0</v>
      </c>
      <c r="J167" s="1361">
        <f t="shared" si="2"/>
        <v>0</v>
      </c>
      <c r="K167" s="1361">
        <f t="shared" si="2"/>
        <v>0</v>
      </c>
      <c r="L167" s="1361">
        <f t="shared" si="2"/>
        <v>0</v>
      </c>
      <c r="M167" s="1361">
        <f t="shared" si="2"/>
        <v>0</v>
      </c>
      <c r="N167" s="1361">
        <f t="shared" si="2"/>
        <v>0</v>
      </c>
      <c r="O167" s="1361">
        <f t="shared" si="2"/>
        <v>0</v>
      </c>
      <c r="P167" s="1361">
        <f t="shared" si="2"/>
        <v>0</v>
      </c>
      <c r="Q167" s="1007"/>
    </row>
    <row r="168" spans="3:18" ht="13.5" customHeight="1" outlineLevel="2">
      <c r="C168" s="935"/>
      <c r="D168" s="1085" t="s">
        <v>30</v>
      </c>
      <c r="E168" s="1760" t="s">
        <v>257</v>
      </c>
      <c r="F168" s="1760"/>
      <c r="G168" s="1361">
        <f t="shared" ref="G168:P168" si="3">G159-G141</f>
        <v>0</v>
      </c>
      <c r="H168" s="1361">
        <f t="shared" si="3"/>
        <v>0</v>
      </c>
      <c r="I168" s="1361">
        <f t="shared" si="3"/>
        <v>0</v>
      </c>
      <c r="J168" s="1361">
        <f t="shared" si="3"/>
        <v>0</v>
      </c>
      <c r="K168" s="1361">
        <f t="shared" si="3"/>
        <v>0</v>
      </c>
      <c r="L168" s="1361">
        <f t="shared" si="3"/>
        <v>0</v>
      </c>
      <c r="M168" s="1361">
        <f t="shared" si="3"/>
        <v>0</v>
      </c>
      <c r="N168" s="1361">
        <f t="shared" si="3"/>
        <v>0</v>
      </c>
      <c r="O168" s="1361">
        <f t="shared" si="3"/>
        <v>0</v>
      </c>
      <c r="P168" s="1361">
        <f t="shared" si="3"/>
        <v>0</v>
      </c>
      <c r="Q168" s="1007"/>
    </row>
    <row r="169" spans="3:18" ht="13.5" customHeight="1" outlineLevel="2">
      <c r="C169" s="935"/>
      <c r="D169" s="1086" t="s">
        <v>31</v>
      </c>
      <c r="E169" s="1727" t="s">
        <v>257</v>
      </c>
      <c r="F169" s="1727"/>
      <c r="G169" s="1361">
        <f t="shared" ref="G169:P169" si="4">G160-G142</f>
        <v>0</v>
      </c>
      <c r="H169" s="1361">
        <f t="shared" si="4"/>
        <v>0</v>
      </c>
      <c r="I169" s="1361">
        <f t="shared" si="4"/>
        <v>0</v>
      </c>
      <c r="J169" s="1361">
        <f t="shared" si="4"/>
        <v>0</v>
      </c>
      <c r="K169" s="1361">
        <f t="shared" si="4"/>
        <v>0</v>
      </c>
      <c r="L169" s="1361">
        <f t="shared" si="4"/>
        <v>0</v>
      </c>
      <c r="M169" s="1361">
        <f t="shared" si="4"/>
        <v>0</v>
      </c>
      <c r="N169" s="1361">
        <f t="shared" si="4"/>
        <v>0</v>
      </c>
      <c r="O169" s="1361">
        <f t="shared" si="4"/>
        <v>0</v>
      </c>
      <c r="P169" s="1361">
        <f t="shared" si="4"/>
        <v>0</v>
      </c>
      <c r="Q169" s="1007"/>
    </row>
    <row r="170" spans="3:18" ht="13.5" customHeight="1" outlineLevel="2">
      <c r="C170" s="935"/>
      <c r="D170" s="1699" t="s">
        <v>70</v>
      </c>
      <c r="E170" s="1711"/>
      <c r="F170" s="1711"/>
      <c r="G170" s="1368">
        <f>SUM(G167:G169)</f>
        <v>0</v>
      </c>
      <c r="H170" s="1368">
        <f>SUM(H167:H169)</f>
        <v>0</v>
      </c>
      <c r="I170" s="1368">
        <f t="shared" ref="I170:P170" si="5">SUM(I167:I169)</f>
        <v>0</v>
      </c>
      <c r="J170" s="1368">
        <f t="shared" si="5"/>
        <v>0</v>
      </c>
      <c r="K170" s="1368">
        <f t="shared" si="5"/>
        <v>0</v>
      </c>
      <c r="L170" s="1368">
        <f t="shared" si="5"/>
        <v>0</v>
      </c>
      <c r="M170" s="1368">
        <f t="shared" si="5"/>
        <v>0</v>
      </c>
      <c r="N170" s="1368">
        <f t="shared" si="5"/>
        <v>0</v>
      </c>
      <c r="O170" s="1368">
        <f t="shared" si="5"/>
        <v>0</v>
      </c>
      <c r="P170" s="1366">
        <f t="shared" si="5"/>
        <v>0</v>
      </c>
      <c r="Q170" s="1007"/>
    </row>
    <row r="171" spans="3:18" outlineLevel="2">
      <c r="C171" s="935"/>
      <c r="D171" s="994"/>
      <c r="E171" s="969"/>
      <c r="F171" s="969"/>
      <c r="G171" s="1358"/>
      <c r="H171" s="1035"/>
      <c r="I171" s="1035"/>
      <c r="J171" s="1035"/>
      <c r="K171" s="941"/>
      <c r="L171" s="941"/>
      <c r="M171" s="1036"/>
      <c r="N171" s="941"/>
      <c r="O171" s="941"/>
      <c r="P171" s="1037"/>
      <c r="Q171" s="1038"/>
    </row>
    <row r="172" spans="3:18" s="933" customFormat="1" ht="12.75" customHeight="1" outlineLevel="1">
      <c r="C172" s="935"/>
      <c r="D172" s="1018" t="s">
        <v>1485</v>
      </c>
      <c r="E172" s="963"/>
      <c r="F172" s="963"/>
      <c r="G172" s="963"/>
      <c r="H172" s="963"/>
      <c r="I172" s="963"/>
      <c r="J172" s="963"/>
      <c r="K172" s="963"/>
      <c r="L172" s="963"/>
      <c r="M172" s="1020"/>
      <c r="N172" s="963"/>
      <c r="O172" s="961"/>
      <c r="P172" s="961"/>
      <c r="Q172" s="980"/>
      <c r="R172" s="934"/>
    </row>
    <row r="173" spans="3:18" s="933" customFormat="1" ht="6.75" customHeight="1" outlineLevel="2">
      <c r="C173" s="935"/>
      <c r="D173" s="1018"/>
      <c r="E173" s="963"/>
      <c r="F173" s="963"/>
      <c r="G173" s="963"/>
      <c r="H173" s="963"/>
      <c r="I173" s="963"/>
      <c r="J173" s="963"/>
      <c r="K173" s="963"/>
      <c r="L173" s="963"/>
      <c r="M173" s="1020"/>
      <c r="N173" s="963"/>
      <c r="O173" s="961"/>
      <c r="P173" s="961"/>
      <c r="Q173" s="980"/>
      <c r="R173" s="934"/>
    </row>
    <row r="174" spans="3:18" s="933" customFormat="1" ht="12.75" customHeight="1" outlineLevel="2">
      <c r="C174" s="935"/>
      <c r="D174" s="1018" t="s">
        <v>1746</v>
      </c>
      <c r="E174" s="963"/>
      <c r="F174" s="963"/>
      <c r="G174" s="963"/>
      <c r="H174" s="963"/>
      <c r="I174" s="963"/>
      <c r="J174" s="963"/>
      <c r="K174" s="963"/>
      <c r="L174" s="963"/>
      <c r="M174" s="1020"/>
      <c r="N174" s="963"/>
      <c r="O174" s="961"/>
      <c r="P174" s="961"/>
      <c r="Q174" s="980"/>
      <c r="R174" s="934"/>
    </row>
    <row r="175" spans="3:18" s="933" customFormat="1" ht="16.5" customHeight="1" outlineLevel="2">
      <c r="C175" s="935"/>
      <c r="D175" s="1752"/>
      <c r="E175" s="1752"/>
      <c r="F175" s="1752"/>
      <c r="G175" s="1752"/>
      <c r="H175" s="1752"/>
      <c r="I175" s="1752"/>
      <c r="J175" s="1752"/>
      <c r="K175" s="1752"/>
      <c r="L175" s="1752"/>
      <c r="M175" s="1752"/>
      <c r="N175" s="1752"/>
      <c r="O175" s="1752"/>
      <c r="P175" s="1752"/>
      <c r="Q175" s="980"/>
      <c r="R175" s="934"/>
    </row>
    <row r="176" spans="3:18" s="933" customFormat="1" ht="17.25" customHeight="1" outlineLevel="2">
      <c r="C176" s="935"/>
      <c r="D176" s="1721" t="s">
        <v>1758</v>
      </c>
      <c r="E176" s="1722"/>
      <c r="F176" s="1722"/>
      <c r="G176" s="1723"/>
      <c r="H176" s="1429" t="s">
        <v>1792</v>
      </c>
      <c r="I176" s="1430"/>
      <c r="J176" s="1431"/>
      <c r="K176" s="1721" t="s">
        <v>1759</v>
      </c>
      <c r="L176" s="1723"/>
      <c r="M176" s="1721" t="s">
        <v>1761</v>
      </c>
      <c r="N176" s="1723"/>
      <c r="O176" s="1429" t="s">
        <v>1727</v>
      </c>
      <c r="P176" s="1750" t="s">
        <v>1636</v>
      </c>
      <c r="Q176" s="980"/>
      <c r="R176" s="934"/>
    </row>
    <row r="177" spans="3:18" s="933" customFormat="1" ht="33.75" outlineLevel="2">
      <c r="C177" s="935"/>
      <c r="D177" s="1195" t="s">
        <v>1791</v>
      </c>
      <c r="E177" s="1195" t="s">
        <v>1717</v>
      </c>
      <c r="F177" s="1195" t="s">
        <v>73</v>
      </c>
      <c r="G177" s="1195" t="s">
        <v>1649</v>
      </c>
      <c r="H177" s="1724"/>
      <c r="I177" s="1725"/>
      <c r="J177" s="1726"/>
      <c r="K177" s="1195" t="s">
        <v>960</v>
      </c>
      <c r="L177" s="1195" t="s">
        <v>1760</v>
      </c>
      <c r="M177" s="1195" t="s">
        <v>1762</v>
      </c>
      <c r="N177" s="1195" t="s">
        <v>1760</v>
      </c>
      <c r="O177" s="1724"/>
      <c r="P177" s="1751"/>
      <c r="Q177" s="980"/>
      <c r="R177" s="934"/>
    </row>
    <row r="178" spans="3:18" s="933" customFormat="1" outlineLevel="2">
      <c r="C178" s="935"/>
      <c r="D178" s="1673" t="s">
        <v>1777</v>
      </c>
      <c r="E178" s="1728" t="s">
        <v>1697</v>
      </c>
      <c r="F178" s="2223">
        <f>+N182+N191</f>
        <v>148.60000000000002</v>
      </c>
      <c r="G178" s="2224">
        <f>+P179+P182+P191+P197+P200+P213</f>
        <v>0</v>
      </c>
      <c r="H178" s="1426" t="s">
        <v>1720</v>
      </c>
      <c r="I178" s="1427"/>
      <c r="J178" s="1428"/>
      <c r="K178" s="1374"/>
      <c r="L178" s="1374"/>
      <c r="M178" s="1375"/>
      <c r="N178" s="1376"/>
      <c r="O178" s="1377"/>
      <c r="P178" s="1378">
        <f>+P179</f>
        <v>0</v>
      </c>
      <c r="Q178" s="980"/>
      <c r="R178" s="934"/>
    </row>
    <row r="179" spans="3:18" s="933" customFormat="1" ht="12.75" customHeight="1" outlineLevel="2">
      <c r="C179" s="935"/>
      <c r="D179" s="1674"/>
      <c r="E179" s="1729"/>
      <c r="F179" s="2225"/>
      <c r="G179" s="2226"/>
      <c r="H179" s="1423" t="s">
        <v>1803</v>
      </c>
      <c r="I179" s="1424"/>
      <c r="J179" s="1425"/>
      <c r="K179" s="1301"/>
      <c r="L179" s="1301"/>
      <c r="M179" s="1301"/>
      <c r="N179" s="1301"/>
      <c r="O179" s="1301"/>
      <c r="P179" s="1304">
        <f>+P180</f>
        <v>0</v>
      </c>
      <c r="Q179" s="980"/>
      <c r="R179" s="934"/>
    </row>
    <row r="180" spans="3:18" s="933" customFormat="1" outlineLevel="2">
      <c r="C180" s="935"/>
      <c r="D180" s="1674"/>
      <c r="E180" s="1729"/>
      <c r="F180" s="2225"/>
      <c r="G180" s="2226"/>
      <c r="H180" s="2210" t="s">
        <v>1730</v>
      </c>
      <c r="I180" s="2211"/>
      <c r="J180" s="2212"/>
      <c r="K180" s="1371" t="s">
        <v>1549</v>
      </c>
      <c r="L180" s="1371">
        <v>1</v>
      </c>
      <c r="M180" s="1371" t="s">
        <v>1689</v>
      </c>
      <c r="N180" s="1371">
        <v>1</v>
      </c>
      <c r="O180" s="1293"/>
      <c r="P180" s="2213">
        <f>+O180*L180</f>
        <v>0</v>
      </c>
      <c r="Q180" s="980"/>
      <c r="R180" s="934"/>
    </row>
    <row r="181" spans="3:18" s="933" customFormat="1" outlineLevel="2">
      <c r="C181" s="935"/>
      <c r="D181" s="1674"/>
      <c r="E181" s="1729"/>
      <c r="F181" s="2225"/>
      <c r="G181" s="2226"/>
      <c r="H181" s="1426" t="s">
        <v>1721</v>
      </c>
      <c r="I181" s="1427"/>
      <c r="J181" s="1428"/>
      <c r="K181" s="1374"/>
      <c r="L181" s="1374"/>
      <c r="M181" s="1375"/>
      <c r="N181" s="1376"/>
      <c r="O181" s="1377"/>
      <c r="P181" s="1378">
        <f>+P182+P191+P197+P200</f>
        <v>0</v>
      </c>
      <c r="Q181" s="980"/>
      <c r="R181" s="934"/>
    </row>
    <row r="182" spans="3:18" s="933" customFormat="1" ht="25.5" customHeight="1" outlineLevel="2">
      <c r="C182" s="935"/>
      <c r="D182" s="1674"/>
      <c r="E182" s="1729"/>
      <c r="F182" s="2225"/>
      <c r="G182" s="2226"/>
      <c r="H182" s="1419" t="s">
        <v>1776</v>
      </c>
      <c r="I182" s="1419"/>
      <c r="J182" s="1419"/>
      <c r="K182" s="1302" t="s">
        <v>1521</v>
      </c>
      <c r="L182" s="1302">
        <f>SUM(L183:L189)</f>
        <v>7</v>
      </c>
      <c r="M182" s="1303" t="s">
        <v>35</v>
      </c>
      <c r="N182" s="1303">
        <f>SUM(N183:N190)</f>
        <v>123.60000000000001</v>
      </c>
      <c r="O182" s="1302"/>
      <c r="P182" s="1304">
        <f>SUM(P183:P190)</f>
        <v>0</v>
      </c>
      <c r="Q182" s="980"/>
      <c r="R182" s="934"/>
    </row>
    <row r="183" spans="3:18" s="933" customFormat="1" ht="14.25" customHeight="1" outlineLevel="2">
      <c r="C183" s="935"/>
      <c r="D183" s="1674"/>
      <c r="E183" s="1729"/>
      <c r="F183" s="2225"/>
      <c r="G183" s="2226"/>
      <c r="H183" s="2214" t="s">
        <v>1520</v>
      </c>
      <c r="I183" s="2214"/>
      <c r="J183" s="2214"/>
      <c r="K183" s="1371" t="s">
        <v>977</v>
      </c>
      <c r="L183" s="1371">
        <v>1</v>
      </c>
      <c r="M183" s="1371" t="s">
        <v>35</v>
      </c>
      <c r="N183" s="1371">
        <v>80</v>
      </c>
      <c r="O183" s="1293"/>
      <c r="P183" s="2213">
        <f>O183*N183</f>
        <v>0</v>
      </c>
      <c r="Q183" s="980"/>
      <c r="R183" s="934"/>
    </row>
    <row r="184" spans="3:18" s="933" customFormat="1" outlineLevel="2">
      <c r="C184" s="935"/>
      <c r="D184" s="1674"/>
      <c r="E184" s="1729"/>
      <c r="F184" s="2225"/>
      <c r="G184" s="2226"/>
      <c r="H184" s="2214" t="s">
        <v>1690</v>
      </c>
      <c r="I184" s="2214"/>
      <c r="J184" s="2214"/>
      <c r="K184" s="1371" t="s">
        <v>1521</v>
      </c>
      <c r="L184" s="1371">
        <v>1</v>
      </c>
      <c r="M184" s="1371" t="s">
        <v>35</v>
      </c>
      <c r="N184" s="1371">
        <v>6.95</v>
      </c>
      <c r="O184" s="2213"/>
      <c r="P184" s="2213">
        <f>+O184*N184</f>
        <v>0</v>
      </c>
      <c r="Q184" s="980"/>
      <c r="R184" s="934"/>
    </row>
    <row r="185" spans="3:18" s="933" customFormat="1" outlineLevel="2">
      <c r="C185" s="935"/>
      <c r="D185" s="1674"/>
      <c r="E185" s="1729"/>
      <c r="F185" s="2225"/>
      <c r="G185" s="2226"/>
      <c r="H185" s="2214" t="s">
        <v>1731</v>
      </c>
      <c r="I185" s="2214"/>
      <c r="J185" s="2214"/>
      <c r="K185" s="1371" t="s">
        <v>1521</v>
      </c>
      <c r="L185" s="1371">
        <v>1</v>
      </c>
      <c r="M185" s="1371" t="s">
        <v>35</v>
      </c>
      <c r="N185" s="1371">
        <v>12</v>
      </c>
      <c r="O185" s="2213"/>
      <c r="P185" s="2213">
        <f>+O185*N185</f>
        <v>0</v>
      </c>
      <c r="Q185" s="980"/>
      <c r="R185" s="934"/>
    </row>
    <row r="186" spans="3:18" s="933" customFormat="1" outlineLevel="2">
      <c r="C186" s="935"/>
      <c r="D186" s="1674"/>
      <c r="E186" s="1729"/>
      <c r="F186" s="2225"/>
      <c r="G186" s="2226"/>
      <c r="H186" s="2214" t="s">
        <v>1691</v>
      </c>
      <c r="I186" s="2214"/>
      <c r="J186" s="2214"/>
      <c r="K186" s="1371" t="s">
        <v>1521</v>
      </c>
      <c r="L186" s="1371">
        <v>1</v>
      </c>
      <c r="M186" s="1371" t="s">
        <v>35</v>
      </c>
      <c r="N186" s="1371">
        <v>9</v>
      </c>
      <c r="O186" s="2213"/>
      <c r="P186" s="2213">
        <f>+O186*N186</f>
        <v>0</v>
      </c>
      <c r="Q186" s="980"/>
      <c r="R186" s="934"/>
    </row>
    <row r="187" spans="3:18" s="933" customFormat="1" outlineLevel="2">
      <c r="C187" s="935"/>
      <c r="D187" s="1674"/>
      <c r="E187" s="1729"/>
      <c r="F187" s="2225"/>
      <c r="G187" s="2226"/>
      <c r="H187" s="2214" t="s">
        <v>1523</v>
      </c>
      <c r="I187" s="2214"/>
      <c r="J187" s="2214"/>
      <c r="K187" s="1371" t="s">
        <v>1521</v>
      </c>
      <c r="L187" s="1371">
        <v>1</v>
      </c>
      <c r="M187" s="1371" t="s">
        <v>35</v>
      </c>
      <c r="N187" s="1371">
        <v>6</v>
      </c>
      <c r="O187" s="2213"/>
      <c r="P187" s="2213">
        <f t="shared" ref="P187:P189" si="6">+O187*N187</f>
        <v>0</v>
      </c>
      <c r="Q187" s="980"/>
      <c r="R187" s="934"/>
    </row>
    <row r="188" spans="3:18" s="933" customFormat="1" ht="12.75" customHeight="1" outlineLevel="2">
      <c r="C188" s="935"/>
      <c r="D188" s="1674"/>
      <c r="E188" s="1729"/>
      <c r="F188" s="2225"/>
      <c r="G188" s="2226"/>
      <c r="H188" s="2214" t="s">
        <v>1736</v>
      </c>
      <c r="I188" s="2214"/>
      <c r="J188" s="2214"/>
      <c r="K188" s="1371" t="s">
        <v>1521</v>
      </c>
      <c r="L188" s="1371">
        <v>1</v>
      </c>
      <c r="M188" s="1371" t="s">
        <v>35</v>
      </c>
      <c r="N188" s="1371">
        <v>3</v>
      </c>
      <c r="O188" s="2213"/>
      <c r="P188" s="2213">
        <f t="shared" si="6"/>
        <v>0</v>
      </c>
      <c r="Q188" s="980"/>
      <c r="R188" s="934"/>
    </row>
    <row r="189" spans="3:18" s="933" customFormat="1" ht="12.75" customHeight="1" outlineLevel="2">
      <c r="C189" s="935"/>
      <c r="D189" s="1674"/>
      <c r="E189" s="1729"/>
      <c r="F189" s="2225"/>
      <c r="G189" s="2226"/>
      <c r="H189" s="2214" t="s">
        <v>17</v>
      </c>
      <c r="I189" s="2214"/>
      <c r="J189" s="2214"/>
      <c r="K189" s="1371" t="s">
        <v>1521</v>
      </c>
      <c r="L189" s="1371">
        <v>1</v>
      </c>
      <c r="M189" s="1371" t="s">
        <v>35</v>
      </c>
      <c r="N189" s="1371">
        <v>6.65</v>
      </c>
      <c r="O189" s="2213"/>
      <c r="P189" s="2213">
        <f t="shared" si="6"/>
        <v>0</v>
      </c>
      <c r="Q189" s="980"/>
      <c r="R189" s="934"/>
    </row>
    <row r="190" spans="3:18" s="933" customFormat="1" outlineLevel="2">
      <c r="C190" s="935"/>
      <c r="D190" s="1674"/>
      <c r="E190" s="1729"/>
      <c r="F190" s="2225"/>
      <c r="G190" s="2226"/>
      <c r="H190" s="2214" t="s">
        <v>1735</v>
      </c>
      <c r="I190" s="2214"/>
      <c r="J190" s="2214"/>
      <c r="K190" s="1371"/>
      <c r="L190" s="1371"/>
      <c r="M190" s="1371" t="s">
        <v>35</v>
      </c>
      <c r="N190" s="1294"/>
      <c r="O190" s="2213"/>
      <c r="P190" s="2213">
        <f>+O190*N190</f>
        <v>0</v>
      </c>
      <c r="Q190" s="980"/>
      <c r="R190" s="934"/>
    </row>
    <row r="191" spans="3:18" s="933" customFormat="1" ht="21.75" customHeight="1" outlineLevel="2">
      <c r="C191" s="935"/>
      <c r="D191" s="1674"/>
      <c r="E191" s="1729"/>
      <c r="F191" s="2225"/>
      <c r="G191" s="2226"/>
      <c r="H191" s="1419" t="s">
        <v>1775</v>
      </c>
      <c r="I191" s="1419"/>
      <c r="J191" s="1419"/>
      <c r="K191" s="1302" t="s">
        <v>1521</v>
      </c>
      <c r="L191" s="1302">
        <f>SUM(L192:L195)</f>
        <v>4</v>
      </c>
      <c r="M191" s="1303" t="s">
        <v>35</v>
      </c>
      <c r="N191" s="1303">
        <f>SUM(N192:N196)</f>
        <v>25</v>
      </c>
      <c r="O191" s="1302"/>
      <c r="P191" s="1304">
        <f>SUM(P192:P196)</f>
        <v>0</v>
      </c>
      <c r="Q191" s="980"/>
      <c r="R191" s="934"/>
    </row>
    <row r="192" spans="3:18" s="933" customFormat="1" outlineLevel="2">
      <c r="C192" s="935"/>
      <c r="D192" s="1674"/>
      <c r="E192" s="1729"/>
      <c r="F192" s="2225"/>
      <c r="G192" s="2226"/>
      <c r="H192" s="2214" t="s">
        <v>1737</v>
      </c>
      <c r="I192" s="2214"/>
      <c r="J192" s="2214"/>
      <c r="K192" s="1371" t="s">
        <v>1521</v>
      </c>
      <c r="L192" s="1371">
        <v>1</v>
      </c>
      <c r="M192" s="1371" t="s">
        <v>35</v>
      </c>
      <c r="N192" s="1371">
        <v>8</v>
      </c>
      <c r="O192" s="1202"/>
      <c r="P192" s="2213">
        <f>+O192*N192</f>
        <v>0</v>
      </c>
      <c r="Q192" s="980"/>
      <c r="R192" s="934"/>
    </row>
    <row r="193" spans="3:18" s="933" customFormat="1" outlineLevel="2">
      <c r="C193" s="935"/>
      <c r="D193" s="1674"/>
      <c r="E193" s="1729"/>
      <c r="F193" s="2225"/>
      <c r="G193" s="2226"/>
      <c r="H193" s="2214" t="s">
        <v>1736</v>
      </c>
      <c r="I193" s="2214"/>
      <c r="J193" s="2214"/>
      <c r="K193" s="1371" t="s">
        <v>1521</v>
      </c>
      <c r="L193" s="1371">
        <v>1</v>
      </c>
      <c r="M193" s="1371" t="s">
        <v>35</v>
      </c>
      <c r="N193" s="1371">
        <v>3</v>
      </c>
      <c r="O193" s="2213"/>
      <c r="P193" s="2213">
        <f>+O193*N193</f>
        <v>0</v>
      </c>
      <c r="Q193" s="980"/>
      <c r="R193" s="934"/>
    </row>
    <row r="194" spans="3:18" s="933" customFormat="1" outlineLevel="2">
      <c r="C194" s="935"/>
      <c r="D194" s="1674"/>
      <c r="E194" s="1729"/>
      <c r="F194" s="2225"/>
      <c r="G194" s="2226"/>
      <c r="H194" s="2214" t="s">
        <v>357</v>
      </c>
      <c r="I194" s="2214"/>
      <c r="J194" s="2214"/>
      <c r="K194" s="1371" t="s">
        <v>1521</v>
      </c>
      <c r="L194" s="1371">
        <v>1</v>
      </c>
      <c r="M194" s="1371" t="s">
        <v>35</v>
      </c>
      <c r="N194" s="1371">
        <v>4</v>
      </c>
      <c r="O194" s="2213"/>
      <c r="P194" s="2213">
        <f>+O194*N194</f>
        <v>0</v>
      </c>
      <c r="Q194" s="980"/>
      <c r="R194" s="934"/>
    </row>
    <row r="195" spans="3:18" s="933" customFormat="1" outlineLevel="2">
      <c r="C195" s="935"/>
      <c r="D195" s="1674"/>
      <c r="E195" s="1729"/>
      <c r="F195" s="2225"/>
      <c r="G195" s="2226"/>
      <c r="H195" s="2214" t="s">
        <v>1692</v>
      </c>
      <c r="I195" s="2214"/>
      <c r="J195" s="2214"/>
      <c r="K195" s="1371" t="s">
        <v>1521</v>
      </c>
      <c r="L195" s="1371">
        <v>1</v>
      </c>
      <c r="M195" s="1371" t="s">
        <v>35</v>
      </c>
      <c r="N195" s="1371">
        <v>10</v>
      </c>
      <c r="O195" s="2213"/>
      <c r="P195" s="2213">
        <f>+O195*N195</f>
        <v>0</v>
      </c>
      <c r="Q195" s="980"/>
      <c r="R195" s="934"/>
    </row>
    <row r="196" spans="3:18" s="933" customFormat="1" outlineLevel="2">
      <c r="C196" s="935"/>
      <c r="D196" s="1674"/>
      <c r="E196" s="1729"/>
      <c r="F196" s="2225"/>
      <c r="G196" s="2226"/>
      <c r="H196" s="2214" t="s">
        <v>1735</v>
      </c>
      <c r="I196" s="2214"/>
      <c r="J196" s="2214"/>
      <c r="K196" s="1371"/>
      <c r="L196" s="1371"/>
      <c r="M196" s="1371" t="s">
        <v>35</v>
      </c>
      <c r="N196" s="1294"/>
      <c r="O196" s="2213"/>
      <c r="P196" s="2213">
        <f>+O196*N196</f>
        <v>0</v>
      </c>
      <c r="Q196" s="980"/>
      <c r="R196" s="934"/>
    </row>
    <row r="197" spans="3:18" s="933" customFormat="1" ht="27" customHeight="1" outlineLevel="2">
      <c r="C197" s="935"/>
      <c r="D197" s="1674"/>
      <c r="E197" s="1729"/>
      <c r="F197" s="2225"/>
      <c r="G197" s="2226"/>
      <c r="H197" s="1423" t="s">
        <v>1774</v>
      </c>
      <c r="I197" s="1424"/>
      <c r="J197" s="1425"/>
      <c r="K197" s="1305"/>
      <c r="L197" s="1302"/>
      <c r="M197" s="1301"/>
      <c r="N197" s="1301"/>
      <c r="O197" s="1301"/>
      <c r="P197" s="1304">
        <f>SUM(P198:P199)</f>
        <v>0</v>
      </c>
      <c r="Q197" s="980"/>
      <c r="R197" s="934"/>
    </row>
    <row r="198" spans="3:18" s="933" customFormat="1" ht="33.75" customHeight="1" outlineLevel="2">
      <c r="C198" s="935"/>
      <c r="D198" s="1674"/>
      <c r="E198" s="1729"/>
      <c r="F198" s="2225"/>
      <c r="G198" s="2226"/>
      <c r="H198" s="2214" t="s">
        <v>1793</v>
      </c>
      <c r="I198" s="2214"/>
      <c r="J198" s="2214"/>
      <c r="K198" s="1371" t="s">
        <v>1763</v>
      </c>
      <c r="L198" s="1371">
        <v>1</v>
      </c>
      <c r="M198" s="1371" t="s">
        <v>37</v>
      </c>
      <c r="N198" s="1294"/>
      <c r="O198" s="1293"/>
      <c r="P198" s="2213">
        <f>+O198*N198</f>
        <v>0</v>
      </c>
      <c r="Q198" s="980"/>
      <c r="R198" s="934"/>
    </row>
    <row r="199" spans="3:18" s="933" customFormat="1" ht="17.25" customHeight="1" outlineLevel="2">
      <c r="C199" s="935"/>
      <c r="D199" s="1674"/>
      <c r="E199" s="1729"/>
      <c r="F199" s="2225"/>
      <c r="G199" s="2226"/>
      <c r="H199" s="2215" t="s">
        <v>1538</v>
      </c>
      <c r="I199" s="2216"/>
      <c r="J199" s="2217"/>
      <c r="K199" s="1371" t="s">
        <v>1763</v>
      </c>
      <c r="L199" s="1371">
        <v>1</v>
      </c>
      <c r="M199" s="1371" t="s">
        <v>38</v>
      </c>
      <c r="N199" s="1371">
        <v>1</v>
      </c>
      <c r="O199" s="1293"/>
      <c r="P199" s="2213">
        <f>+O199*N199</f>
        <v>0</v>
      </c>
      <c r="Q199" s="980"/>
      <c r="R199" s="934"/>
    </row>
    <row r="200" spans="3:18" s="933" customFormat="1" ht="13.5" customHeight="1" outlineLevel="2">
      <c r="C200" s="935"/>
      <c r="D200" s="1674"/>
      <c r="E200" s="1729"/>
      <c r="F200" s="2225"/>
      <c r="G200" s="2226"/>
      <c r="H200" s="1423" t="s">
        <v>1773</v>
      </c>
      <c r="I200" s="1424"/>
      <c r="J200" s="1425"/>
      <c r="K200" s="1305"/>
      <c r="L200" s="1302"/>
      <c r="M200" s="1301"/>
      <c r="N200" s="1301"/>
      <c r="O200" s="1301"/>
      <c r="P200" s="1304">
        <f>SUM(P201:P211)</f>
        <v>0</v>
      </c>
      <c r="Q200" s="980"/>
      <c r="R200" s="934"/>
    </row>
    <row r="201" spans="3:18" s="933" customFormat="1" ht="13.5" customHeight="1" outlineLevel="2">
      <c r="C201" s="935"/>
      <c r="D201" s="1674"/>
      <c r="E201" s="1729"/>
      <c r="F201" s="2225"/>
      <c r="G201" s="2226"/>
      <c r="H201" s="2214" t="s">
        <v>1540</v>
      </c>
      <c r="I201" s="2214"/>
      <c r="J201" s="2214"/>
      <c r="K201" s="1371" t="s">
        <v>1768</v>
      </c>
      <c r="L201" s="1371">
        <v>1</v>
      </c>
      <c r="M201" s="1371" t="s">
        <v>35</v>
      </c>
      <c r="N201" s="1294"/>
      <c r="O201" s="1293"/>
      <c r="P201" s="2213">
        <f>+O201*N201</f>
        <v>0</v>
      </c>
      <c r="Q201" s="980"/>
      <c r="R201" s="934"/>
    </row>
    <row r="202" spans="3:18" s="933" customFormat="1" ht="13.5" customHeight="1" outlineLevel="2">
      <c r="C202" s="935"/>
      <c r="D202" s="1674"/>
      <c r="E202" s="1729"/>
      <c r="F202" s="2225"/>
      <c r="G202" s="2226"/>
      <c r="H202" s="2214" t="s">
        <v>1541</v>
      </c>
      <c r="I202" s="2214"/>
      <c r="J202" s="2214"/>
      <c r="K202" s="1371" t="s">
        <v>1763</v>
      </c>
      <c r="L202" s="1371">
        <v>1</v>
      </c>
      <c r="M202" s="1371" t="s">
        <v>37</v>
      </c>
      <c r="N202" s="1294"/>
      <c r="O202" s="1293"/>
      <c r="P202" s="2213">
        <f>+O202*N202</f>
        <v>0</v>
      </c>
      <c r="Q202" s="980"/>
      <c r="R202" s="934"/>
    </row>
    <row r="203" spans="3:18" s="933" customFormat="1" ht="13.5" customHeight="1" outlineLevel="2">
      <c r="C203" s="935"/>
      <c r="D203" s="1674"/>
      <c r="E203" s="1729"/>
      <c r="F203" s="2225"/>
      <c r="G203" s="2226"/>
      <c r="H203" s="2214" t="s">
        <v>1738</v>
      </c>
      <c r="I203" s="2214"/>
      <c r="J203" s="2214"/>
      <c r="K203" s="1371" t="s">
        <v>1763</v>
      </c>
      <c r="L203" s="1371">
        <v>1</v>
      </c>
      <c r="M203" s="1371" t="s">
        <v>37</v>
      </c>
      <c r="N203" s="1294"/>
      <c r="O203" s="1293"/>
      <c r="P203" s="2213">
        <f>+O203*N203</f>
        <v>0</v>
      </c>
      <c r="Q203" s="980"/>
      <c r="R203" s="934"/>
    </row>
    <row r="204" spans="3:18" s="933" customFormat="1" ht="13.5" customHeight="1" outlineLevel="2">
      <c r="C204" s="935"/>
      <c r="D204" s="1674"/>
      <c r="E204" s="1729"/>
      <c r="F204" s="2225"/>
      <c r="G204" s="2226"/>
      <c r="H204" s="2214" t="s">
        <v>1543</v>
      </c>
      <c r="I204" s="2214"/>
      <c r="J204" s="2214"/>
      <c r="K204" s="1371" t="s">
        <v>1763</v>
      </c>
      <c r="L204" s="1371">
        <v>1</v>
      </c>
      <c r="M204" s="1371" t="s">
        <v>35</v>
      </c>
      <c r="N204" s="1294"/>
      <c r="O204" s="1293"/>
      <c r="P204" s="2213">
        <f>+O204*N204</f>
        <v>0</v>
      </c>
      <c r="Q204" s="980"/>
      <c r="R204" s="934"/>
    </row>
    <row r="205" spans="3:18" s="933" customFormat="1" ht="20.25" customHeight="1" outlineLevel="2">
      <c r="C205" s="935"/>
      <c r="D205" s="1674"/>
      <c r="E205" s="1729"/>
      <c r="F205" s="2225"/>
      <c r="G205" s="2226"/>
      <c r="H205" s="2214" t="s">
        <v>1544</v>
      </c>
      <c r="I205" s="2214"/>
      <c r="J205" s="2214"/>
      <c r="K205" s="1371" t="s">
        <v>1763</v>
      </c>
      <c r="L205" s="1371">
        <v>1</v>
      </c>
      <c r="M205" s="1371" t="s">
        <v>35</v>
      </c>
      <c r="N205" s="1371">
        <v>1</v>
      </c>
      <c r="O205" s="1293"/>
      <c r="P205" s="2213">
        <f>+O205*N205</f>
        <v>0</v>
      </c>
      <c r="Q205" s="980"/>
      <c r="R205" s="934"/>
    </row>
    <row r="206" spans="3:18" s="933" customFormat="1" ht="13.5" customHeight="1" outlineLevel="2">
      <c r="C206" s="935"/>
      <c r="D206" s="1674"/>
      <c r="E206" s="1729"/>
      <c r="F206" s="2225"/>
      <c r="G206" s="2226"/>
      <c r="H206" s="2214" t="s">
        <v>1739</v>
      </c>
      <c r="I206" s="2214"/>
      <c r="J206" s="2214"/>
      <c r="K206" s="1371" t="s">
        <v>1763</v>
      </c>
      <c r="L206" s="1371">
        <v>1</v>
      </c>
      <c r="M206" s="1371" t="s">
        <v>38</v>
      </c>
      <c r="N206" s="1371">
        <v>1</v>
      </c>
      <c r="O206" s="1293"/>
      <c r="P206" s="2213">
        <f t="shared" ref="P206:P207" si="7">+O206*N206</f>
        <v>0</v>
      </c>
      <c r="Q206" s="980"/>
      <c r="R206" s="934"/>
    </row>
    <row r="207" spans="3:18" s="933" customFormat="1" ht="13.5" customHeight="1" outlineLevel="2">
      <c r="C207" s="935"/>
      <c r="D207" s="1674"/>
      <c r="E207" s="1729"/>
      <c r="F207" s="2225"/>
      <c r="G207" s="2226"/>
      <c r="H207" s="2214" t="s">
        <v>1693</v>
      </c>
      <c r="I207" s="2214"/>
      <c r="J207" s="2214"/>
      <c r="K207" s="1371" t="s">
        <v>1763</v>
      </c>
      <c r="L207" s="1371">
        <v>1</v>
      </c>
      <c r="M207" s="1371" t="s">
        <v>38</v>
      </c>
      <c r="N207" s="1371">
        <v>1</v>
      </c>
      <c r="O207" s="1293"/>
      <c r="P207" s="2213">
        <f t="shared" si="7"/>
        <v>0</v>
      </c>
      <c r="Q207" s="980"/>
      <c r="R207" s="934"/>
    </row>
    <row r="208" spans="3:18" s="933" customFormat="1" ht="13.5" customHeight="1" outlineLevel="2">
      <c r="C208" s="935"/>
      <c r="D208" s="1674"/>
      <c r="E208" s="1729"/>
      <c r="F208" s="2225"/>
      <c r="G208" s="2226"/>
      <c r="H208" s="2214" t="s">
        <v>1740</v>
      </c>
      <c r="I208" s="2214"/>
      <c r="J208" s="2214"/>
      <c r="K208" s="1371" t="s">
        <v>1763</v>
      </c>
      <c r="L208" s="1371">
        <v>1</v>
      </c>
      <c r="M208" s="1371" t="s">
        <v>38</v>
      </c>
      <c r="N208" s="1371">
        <v>1</v>
      </c>
      <c r="O208" s="1293"/>
      <c r="P208" s="2213">
        <f t="shared" ref="P208" si="8">+O208*N208</f>
        <v>0</v>
      </c>
      <c r="Q208" s="980"/>
      <c r="R208" s="934"/>
    </row>
    <row r="209" spans="3:18" s="933" customFormat="1" ht="13.5" customHeight="1" outlineLevel="2">
      <c r="C209" s="935"/>
      <c r="D209" s="1674"/>
      <c r="E209" s="1729"/>
      <c r="F209" s="2225"/>
      <c r="G209" s="2226"/>
      <c r="H209" s="2214" t="s">
        <v>1741</v>
      </c>
      <c r="I209" s="2214"/>
      <c r="J209" s="2214"/>
      <c r="K209" s="1371" t="s">
        <v>1763</v>
      </c>
      <c r="L209" s="1371">
        <v>1</v>
      </c>
      <c r="M209" s="1371" t="s">
        <v>35</v>
      </c>
      <c r="N209" s="1349"/>
      <c r="O209" s="1293"/>
      <c r="P209" s="2213">
        <f>+O209*N209</f>
        <v>0</v>
      </c>
      <c r="Q209" s="980"/>
      <c r="R209" s="934"/>
    </row>
    <row r="210" spans="3:18" s="933" customFormat="1" ht="13.5" customHeight="1" outlineLevel="2">
      <c r="C210" s="935"/>
      <c r="D210" s="1674"/>
      <c r="E210" s="1729"/>
      <c r="F210" s="2225"/>
      <c r="G210" s="2226"/>
      <c r="H210" s="2214" t="s">
        <v>1742</v>
      </c>
      <c r="I210" s="2214"/>
      <c r="J210" s="2214"/>
      <c r="K210" s="1371" t="s">
        <v>1763</v>
      </c>
      <c r="L210" s="1371">
        <v>1</v>
      </c>
      <c r="M210" s="1371" t="s">
        <v>38</v>
      </c>
      <c r="N210" s="1371">
        <v>1</v>
      </c>
      <c r="O210" s="1293"/>
      <c r="P210" s="2213">
        <f>+O210*N210</f>
        <v>0</v>
      </c>
      <c r="Q210" s="980"/>
      <c r="R210" s="934"/>
    </row>
    <row r="211" spans="3:18" s="933" customFormat="1" ht="13.5" customHeight="1" outlineLevel="2">
      <c r="C211" s="935"/>
      <c r="D211" s="1674"/>
      <c r="E211" s="1729"/>
      <c r="F211" s="2225"/>
      <c r="G211" s="2226"/>
      <c r="H211" s="1733" t="s">
        <v>22</v>
      </c>
      <c r="I211" s="1734"/>
      <c r="J211" s="1735"/>
      <c r="K211" s="1371"/>
      <c r="L211" s="1371">
        <v>1</v>
      </c>
      <c r="M211" s="1371" t="s">
        <v>38</v>
      </c>
      <c r="N211" s="1371">
        <v>1</v>
      </c>
      <c r="O211" s="1293"/>
      <c r="P211" s="2213">
        <f>+O211*N211</f>
        <v>0</v>
      </c>
      <c r="Q211" s="980"/>
      <c r="R211" s="934"/>
    </row>
    <row r="212" spans="3:18" s="933" customFormat="1" ht="13.5" customHeight="1" outlineLevel="2">
      <c r="C212" s="935"/>
      <c r="D212" s="1674"/>
      <c r="E212" s="1729"/>
      <c r="F212" s="2225"/>
      <c r="G212" s="2226"/>
      <c r="H212" s="1426" t="s">
        <v>1802</v>
      </c>
      <c r="I212" s="1427"/>
      <c r="J212" s="1428"/>
      <c r="K212" s="1301"/>
      <c r="L212" s="1301"/>
      <c r="M212" s="1301"/>
      <c r="N212" s="1301"/>
      <c r="O212" s="1301"/>
      <c r="P212" s="1304">
        <f>P213</f>
        <v>0</v>
      </c>
      <c r="Q212" s="980"/>
      <c r="R212" s="934"/>
    </row>
    <row r="213" spans="3:18" s="933" customFormat="1" ht="12.75" customHeight="1" outlineLevel="2">
      <c r="C213" s="935"/>
      <c r="D213" s="1674"/>
      <c r="E213" s="1729"/>
      <c r="F213" s="2225"/>
      <c r="G213" s="2226"/>
      <c r="H213" s="1739" t="s">
        <v>1764</v>
      </c>
      <c r="I213" s="1740"/>
      <c r="J213" s="1741"/>
      <c r="K213" s="1301"/>
      <c r="L213" s="1301"/>
      <c r="M213" s="1301"/>
      <c r="N213" s="1301"/>
      <c r="O213" s="1301"/>
      <c r="P213" s="1304">
        <f>P214</f>
        <v>0</v>
      </c>
      <c r="Q213" s="980"/>
      <c r="R213" s="934"/>
    </row>
    <row r="214" spans="3:18" s="933" customFormat="1" outlineLevel="2">
      <c r="C214" s="935"/>
      <c r="D214" s="1675"/>
      <c r="E214" s="1730"/>
      <c r="F214" s="2227"/>
      <c r="G214" s="2228"/>
      <c r="H214" s="2218" t="s">
        <v>1743</v>
      </c>
      <c r="I214" s="2219"/>
      <c r="J214" s="2220"/>
      <c r="K214" s="1371" t="s">
        <v>478</v>
      </c>
      <c r="L214" s="1371">
        <v>1</v>
      </c>
      <c r="M214" s="1371" t="s">
        <v>38</v>
      </c>
      <c r="N214" s="1371">
        <v>1</v>
      </c>
      <c r="O214" s="1293"/>
      <c r="P214" s="2213">
        <f>+O214*N214</f>
        <v>0</v>
      </c>
      <c r="Q214" s="980"/>
      <c r="R214" s="934"/>
    </row>
    <row r="215" spans="3:18" s="933" customFormat="1" ht="12.75" customHeight="1" outlineLevel="2">
      <c r="C215" s="935"/>
      <c r="D215" s="1673" t="s">
        <v>1801</v>
      </c>
      <c r="E215" s="1728" t="s">
        <v>1195</v>
      </c>
      <c r="F215" s="2223">
        <f>+N219+N230</f>
        <v>0</v>
      </c>
      <c r="G215" s="2229">
        <f>+P215+P219+P230+P239</f>
        <v>0</v>
      </c>
      <c r="H215" s="1426" t="s">
        <v>1722</v>
      </c>
      <c r="I215" s="1427"/>
      <c r="J215" s="1428"/>
      <c r="K215" s="1379"/>
      <c r="L215" s="1380"/>
      <c r="M215" s="1381"/>
      <c r="N215" s="1382"/>
      <c r="O215" s="1380"/>
      <c r="P215" s="1383">
        <f>P216</f>
        <v>0</v>
      </c>
      <c r="Q215" s="980"/>
      <c r="R215" s="934"/>
    </row>
    <row r="216" spans="3:18" s="933" customFormat="1" ht="12.75" customHeight="1" outlineLevel="2">
      <c r="C216" s="935"/>
      <c r="D216" s="1674"/>
      <c r="E216" s="1729"/>
      <c r="F216" s="2225"/>
      <c r="G216" s="2230"/>
      <c r="H216" s="1423" t="s">
        <v>1765</v>
      </c>
      <c r="I216" s="1424"/>
      <c r="J216" s="1425"/>
      <c r="K216" s="1306"/>
      <c r="L216" s="1307"/>
      <c r="M216" s="1308"/>
      <c r="N216" s="1306"/>
      <c r="O216" s="1307"/>
      <c r="P216" s="1304">
        <f>P217</f>
        <v>0</v>
      </c>
      <c r="Q216" s="980"/>
      <c r="R216" s="934"/>
    </row>
    <row r="217" spans="3:18" s="933" customFormat="1" outlineLevel="2">
      <c r="C217" s="935"/>
      <c r="D217" s="1674"/>
      <c r="E217" s="1729"/>
      <c r="F217" s="2225"/>
      <c r="G217" s="2230"/>
      <c r="H217" s="2214" t="s">
        <v>1744</v>
      </c>
      <c r="I217" s="2214"/>
      <c r="J217" s="2214"/>
      <c r="K217" s="1371" t="s">
        <v>1549</v>
      </c>
      <c r="L217" s="1371">
        <v>1</v>
      </c>
      <c r="M217" s="1371" t="s">
        <v>1689</v>
      </c>
      <c r="N217" s="1371">
        <v>1</v>
      </c>
      <c r="O217" s="1293"/>
      <c r="P217" s="2213">
        <f>+O217*N217</f>
        <v>0</v>
      </c>
      <c r="Q217" s="980"/>
      <c r="R217" s="934"/>
    </row>
    <row r="218" spans="3:18" s="933" customFormat="1" outlineLevel="2">
      <c r="C218" s="935"/>
      <c r="D218" s="1674"/>
      <c r="E218" s="1729"/>
      <c r="F218" s="2225"/>
      <c r="G218" s="2230"/>
      <c r="H218" s="1426" t="s">
        <v>1796</v>
      </c>
      <c r="I218" s="1427"/>
      <c r="J218" s="1428"/>
      <c r="K218" s="1384"/>
      <c r="L218" s="1385"/>
      <c r="M218" s="1386"/>
      <c r="N218" s="1387"/>
      <c r="O218" s="1388"/>
      <c r="P218" s="1389">
        <f>+P219+P230</f>
        <v>0</v>
      </c>
      <c r="Q218" s="980"/>
      <c r="R218" s="934"/>
    </row>
    <row r="219" spans="3:18" s="933" customFormat="1" outlineLevel="2">
      <c r="C219" s="935"/>
      <c r="D219" s="1674"/>
      <c r="E219" s="1729"/>
      <c r="F219" s="2225"/>
      <c r="G219" s="2230"/>
      <c r="H219" s="1423" t="s">
        <v>1778</v>
      </c>
      <c r="I219" s="1424"/>
      <c r="J219" s="1425"/>
      <c r="K219" s="1309"/>
      <c r="L219" s="1309">
        <f>SUM(L220:L229)</f>
        <v>83</v>
      </c>
      <c r="M219" s="1308"/>
      <c r="N219" s="1309"/>
      <c r="O219" s="1307"/>
      <c r="P219" s="1304">
        <f>SUM(P220:P229)</f>
        <v>0</v>
      </c>
      <c r="Q219" s="980"/>
      <c r="R219" s="934"/>
    </row>
    <row r="220" spans="3:18" s="933" customFormat="1" outlineLevel="2">
      <c r="C220" s="935"/>
      <c r="D220" s="1674"/>
      <c r="E220" s="1729"/>
      <c r="F220" s="2225"/>
      <c r="G220" s="2230"/>
      <c r="H220" s="2214" t="s">
        <v>1520</v>
      </c>
      <c r="I220" s="2214"/>
      <c r="J220" s="2214"/>
      <c r="K220" s="1371" t="s">
        <v>1769</v>
      </c>
      <c r="L220" s="1338">
        <v>50</v>
      </c>
      <c r="M220" s="2221" t="s">
        <v>74</v>
      </c>
      <c r="N220" s="2222"/>
      <c r="O220" s="1293"/>
      <c r="P220" s="2213">
        <f>+O220*L220</f>
        <v>0</v>
      </c>
      <c r="Q220" s="980"/>
      <c r="R220" s="934"/>
    </row>
    <row r="221" spans="3:18" s="933" customFormat="1" outlineLevel="2">
      <c r="C221" s="935"/>
      <c r="D221" s="1674"/>
      <c r="E221" s="1729"/>
      <c r="F221" s="2225"/>
      <c r="G221" s="2230"/>
      <c r="H221" s="2214" t="s">
        <v>1690</v>
      </c>
      <c r="I221" s="2214"/>
      <c r="J221" s="2214"/>
      <c r="K221" s="1371" t="s">
        <v>1769</v>
      </c>
      <c r="L221" s="1338">
        <v>6</v>
      </c>
      <c r="M221" s="2221" t="s">
        <v>74</v>
      </c>
      <c r="N221" s="2222"/>
      <c r="O221" s="1293"/>
      <c r="P221" s="2213">
        <f t="shared" ref="P221:P228" si="9">+O221*L221</f>
        <v>0</v>
      </c>
      <c r="Q221" s="980"/>
      <c r="R221" s="934"/>
    </row>
    <row r="222" spans="3:18" s="933" customFormat="1" outlineLevel="2">
      <c r="C222" s="935"/>
      <c r="D222" s="1674"/>
      <c r="E222" s="1729"/>
      <c r="F222" s="2225"/>
      <c r="G222" s="2230"/>
      <c r="H222" s="2214" t="s">
        <v>1731</v>
      </c>
      <c r="I222" s="2214"/>
      <c r="J222" s="2214"/>
      <c r="K222" s="1371" t="s">
        <v>1769</v>
      </c>
      <c r="L222" s="1338">
        <v>4</v>
      </c>
      <c r="M222" s="2221" t="s">
        <v>74</v>
      </c>
      <c r="N222" s="2222"/>
      <c r="O222" s="1293"/>
      <c r="P222" s="2213">
        <f t="shared" si="9"/>
        <v>0</v>
      </c>
      <c r="Q222" s="980"/>
      <c r="R222" s="934"/>
    </row>
    <row r="223" spans="3:18" s="933" customFormat="1" outlineLevel="2">
      <c r="C223" s="935"/>
      <c r="D223" s="1674"/>
      <c r="E223" s="1729"/>
      <c r="F223" s="2225"/>
      <c r="G223" s="2230"/>
      <c r="H223" s="2214" t="s">
        <v>1691</v>
      </c>
      <c r="I223" s="2214"/>
      <c r="J223" s="2214"/>
      <c r="K223" s="1371" t="s">
        <v>1769</v>
      </c>
      <c r="L223" s="1338">
        <v>5</v>
      </c>
      <c r="M223" s="2221" t="s">
        <v>74</v>
      </c>
      <c r="N223" s="2222"/>
      <c r="O223" s="1293"/>
      <c r="P223" s="2213">
        <f t="shared" si="9"/>
        <v>0</v>
      </c>
      <c r="Q223" s="980"/>
      <c r="R223" s="934"/>
    </row>
    <row r="224" spans="3:18" s="933" customFormat="1" ht="12.75" customHeight="1" outlineLevel="2">
      <c r="C224" s="935"/>
      <c r="D224" s="1674"/>
      <c r="E224" s="1729"/>
      <c r="F224" s="2225"/>
      <c r="G224" s="2230"/>
      <c r="H224" s="2214" t="s">
        <v>1523</v>
      </c>
      <c r="I224" s="2214"/>
      <c r="J224" s="2214"/>
      <c r="K224" s="1371" t="s">
        <v>1769</v>
      </c>
      <c r="L224" s="1338">
        <v>2</v>
      </c>
      <c r="M224" s="2221" t="s">
        <v>74</v>
      </c>
      <c r="N224" s="2222"/>
      <c r="O224" s="1293"/>
      <c r="P224" s="2213">
        <f t="shared" si="9"/>
        <v>0</v>
      </c>
      <c r="Q224" s="980"/>
      <c r="R224" s="934"/>
    </row>
    <row r="225" spans="3:18" s="933" customFormat="1" outlineLevel="2">
      <c r="C225" s="935"/>
      <c r="D225" s="1674"/>
      <c r="E225" s="1729"/>
      <c r="F225" s="2225"/>
      <c r="G225" s="2230"/>
      <c r="H225" s="2214" t="s">
        <v>1736</v>
      </c>
      <c r="I225" s="2214"/>
      <c r="J225" s="2214"/>
      <c r="K225" s="1371" t="s">
        <v>1769</v>
      </c>
      <c r="L225" s="1338">
        <v>2</v>
      </c>
      <c r="M225" s="2221" t="s">
        <v>74</v>
      </c>
      <c r="N225" s="2222"/>
      <c r="O225" s="1293"/>
      <c r="P225" s="2213">
        <f t="shared" si="9"/>
        <v>0</v>
      </c>
      <c r="Q225" s="980"/>
      <c r="R225" s="934"/>
    </row>
    <row r="226" spans="3:18" s="933" customFormat="1" outlineLevel="2">
      <c r="C226" s="935"/>
      <c r="D226" s="1674"/>
      <c r="E226" s="1729"/>
      <c r="F226" s="2225"/>
      <c r="G226" s="2230"/>
      <c r="H226" s="2214" t="s">
        <v>17</v>
      </c>
      <c r="I226" s="2214"/>
      <c r="J226" s="2214"/>
      <c r="K226" s="1371" t="s">
        <v>1769</v>
      </c>
      <c r="L226" s="1338">
        <v>6</v>
      </c>
      <c r="M226" s="2221" t="s">
        <v>74</v>
      </c>
      <c r="N226" s="2222"/>
      <c r="O226" s="1293"/>
      <c r="P226" s="2213">
        <f t="shared" si="9"/>
        <v>0</v>
      </c>
      <c r="Q226" s="980"/>
      <c r="R226" s="934"/>
    </row>
    <row r="227" spans="3:18" s="933" customFormat="1" outlineLevel="2">
      <c r="C227" s="935"/>
      <c r="D227" s="1674"/>
      <c r="E227" s="1729"/>
      <c r="F227" s="2225"/>
      <c r="G227" s="2230"/>
      <c r="H227" s="2214" t="s">
        <v>1733</v>
      </c>
      <c r="I227" s="2214"/>
      <c r="J227" s="2214"/>
      <c r="K227" s="1371" t="s">
        <v>1769</v>
      </c>
      <c r="L227" s="1338">
        <v>3</v>
      </c>
      <c r="M227" s="2221" t="s">
        <v>74</v>
      </c>
      <c r="N227" s="2222"/>
      <c r="O227" s="1293"/>
      <c r="P227" s="2213">
        <f t="shared" si="9"/>
        <v>0</v>
      </c>
      <c r="Q227" s="980"/>
      <c r="R227" s="934"/>
    </row>
    <row r="228" spans="3:18" s="933" customFormat="1" outlineLevel="2">
      <c r="C228" s="935"/>
      <c r="D228" s="1674"/>
      <c r="E228" s="1729"/>
      <c r="F228" s="2225"/>
      <c r="G228" s="2230"/>
      <c r="H228" s="2214" t="s">
        <v>1734</v>
      </c>
      <c r="I228" s="2214"/>
      <c r="J228" s="2214"/>
      <c r="K228" s="1371" t="s">
        <v>1769</v>
      </c>
      <c r="L228" s="1338">
        <v>2</v>
      </c>
      <c r="M228" s="2221" t="s">
        <v>74</v>
      </c>
      <c r="N228" s="2222"/>
      <c r="O228" s="1293"/>
      <c r="P228" s="2213">
        <f t="shared" si="9"/>
        <v>0</v>
      </c>
      <c r="Q228" s="980"/>
      <c r="R228" s="934"/>
    </row>
    <row r="229" spans="3:18" s="933" customFormat="1" outlineLevel="2">
      <c r="C229" s="935"/>
      <c r="D229" s="1674"/>
      <c r="E229" s="1729"/>
      <c r="F229" s="2225"/>
      <c r="G229" s="2230"/>
      <c r="H229" s="2214" t="s">
        <v>1694</v>
      </c>
      <c r="I229" s="2214"/>
      <c r="J229" s="2214"/>
      <c r="K229" s="1371" t="s">
        <v>1769</v>
      </c>
      <c r="L229" s="1338">
        <v>3</v>
      </c>
      <c r="M229" s="2221" t="s">
        <v>74</v>
      </c>
      <c r="N229" s="2222"/>
      <c r="O229" s="1293"/>
      <c r="P229" s="2213">
        <f>+O229*L229</f>
        <v>0</v>
      </c>
      <c r="Q229" s="980"/>
      <c r="R229" s="934"/>
    </row>
    <row r="230" spans="3:18" s="933" customFormat="1" outlineLevel="2">
      <c r="C230" s="935"/>
      <c r="D230" s="1674"/>
      <c r="E230" s="1729"/>
      <c r="F230" s="2225"/>
      <c r="G230" s="2230"/>
      <c r="H230" s="1423" t="s">
        <v>1779</v>
      </c>
      <c r="I230" s="1424"/>
      <c r="J230" s="1425"/>
      <c r="K230" s="1306"/>
      <c r="L230" s="1310">
        <f>SUM(L231:L237)</f>
        <v>98</v>
      </c>
      <c r="M230" s="1308"/>
      <c r="N230" s="1310"/>
      <c r="O230" s="1307"/>
      <c r="P230" s="1304">
        <f>SUM(P231:P237)</f>
        <v>0</v>
      </c>
      <c r="Q230" s="980"/>
      <c r="R230" s="934"/>
    </row>
    <row r="231" spans="3:18" s="933" customFormat="1" outlineLevel="2">
      <c r="C231" s="935"/>
      <c r="D231" s="1674"/>
      <c r="E231" s="1729"/>
      <c r="F231" s="2225"/>
      <c r="G231" s="2230"/>
      <c r="H231" s="2214" t="s">
        <v>1695</v>
      </c>
      <c r="I231" s="2214"/>
      <c r="J231" s="2214"/>
      <c r="K231" s="1371" t="s">
        <v>1769</v>
      </c>
      <c r="L231" s="1338">
        <v>7</v>
      </c>
      <c r="M231" s="1371" t="s">
        <v>74</v>
      </c>
      <c r="N231" s="2222"/>
      <c r="O231" s="1293"/>
      <c r="P231" s="2213">
        <f>+O231*L231</f>
        <v>0</v>
      </c>
      <c r="Q231" s="980"/>
      <c r="R231" s="934"/>
    </row>
    <row r="232" spans="3:18" s="933" customFormat="1" outlineLevel="2">
      <c r="C232" s="935"/>
      <c r="D232" s="1674"/>
      <c r="E232" s="1729"/>
      <c r="F232" s="2225"/>
      <c r="G232" s="2230"/>
      <c r="H232" s="2214" t="s">
        <v>1691</v>
      </c>
      <c r="I232" s="2214"/>
      <c r="J232" s="2214"/>
      <c r="K232" s="1371" t="s">
        <v>1769</v>
      </c>
      <c r="L232" s="1338">
        <v>2</v>
      </c>
      <c r="M232" s="1371" t="s">
        <v>74</v>
      </c>
      <c r="N232" s="2222"/>
      <c r="O232" s="1293"/>
      <c r="P232" s="2213">
        <f t="shared" ref="P232:P237" si="10">+O232*L232</f>
        <v>0</v>
      </c>
      <c r="Q232" s="980"/>
      <c r="R232" s="934"/>
    </row>
    <row r="233" spans="3:18" s="933" customFormat="1" outlineLevel="2">
      <c r="C233" s="935"/>
      <c r="D233" s="1674"/>
      <c r="E233" s="1729"/>
      <c r="F233" s="2225"/>
      <c r="G233" s="2230"/>
      <c r="H233" s="2214" t="s">
        <v>1745</v>
      </c>
      <c r="I233" s="2214"/>
      <c r="J233" s="2214"/>
      <c r="K233" s="1371" t="s">
        <v>1769</v>
      </c>
      <c r="L233" s="1338">
        <v>2</v>
      </c>
      <c r="M233" s="1371" t="s">
        <v>74</v>
      </c>
      <c r="N233" s="2222"/>
      <c r="O233" s="1293"/>
      <c r="P233" s="2213">
        <f t="shared" si="10"/>
        <v>0</v>
      </c>
      <c r="Q233" s="980"/>
      <c r="R233" s="934"/>
    </row>
    <row r="234" spans="3:18" s="933" customFormat="1" outlineLevel="2">
      <c r="C234" s="935"/>
      <c r="D234" s="1674"/>
      <c r="E234" s="1729"/>
      <c r="F234" s="2225"/>
      <c r="G234" s="2230"/>
      <c r="H234" s="2214" t="s">
        <v>1696</v>
      </c>
      <c r="I234" s="2214"/>
      <c r="J234" s="2214"/>
      <c r="K234" s="1371" t="s">
        <v>1769</v>
      </c>
      <c r="L234" s="1338">
        <v>2</v>
      </c>
      <c r="M234" s="1371" t="s">
        <v>74</v>
      </c>
      <c r="N234" s="2222"/>
      <c r="O234" s="1293"/>
      <c r="P234" s="2213">
        <f t="shared" si="10"/>
        <v>0</v>
      </c>
      <c r="Q234" s="980"/>
      <c r="R234" s="934"/>
    </row>
    <row r="235" spans="3:18" s="933" customFormat="1" outlineLevel="2">
      <c r="C235" s="935"/>
      <c r="D235" s="1674"/>
      <c r="E235" s="1729"/>
      <c r="F235" s="2225"/>
      <c r="G235" s="2230"/>
      <c r="H235" s="2214" t="s">
        <v>1557</v>
      </c>
      <c r="I235" s="2214"/>
      <c r="J235" s="2214"/>
      <c r="K235" s="1371" t="s">
        <v>1769</v>
      </c>
      <c r="L235" s="1350">
        <v>1</v>
      </c>
      <c r="M235" s="1371" t="s">
        <v>74</v>
      </c>
      <c r="N235" s="1371"/>
      <c r="O235" s="1293"/>
      <c r="P235" s="2213">
        <f t="shared" si="10"/>
        <v>0</v>
      </c>
      <c r="Q235" s="980"/>
      <c r="R235" s="934"/>
    </row>
    <row r="236" spans="3:18" s="933" customFormat="1" outlineLevel="2">
      <c r="C236" s="935"/>
      <c r="D236" s="1674"/>
      <c r="E236" s="1729"/>
      <c r="F236" s="2225"/>
      <c r="G236" s="2230"/>
      <c r="H236" s="2214" t="s">
        <v>1558</v>
      </c>
      <c r="I236" s="2214"/>
      <c r="J236" s="2214"/>
      <c r="K236" s="1371" t="s">
        <v>1769</v>
      </c>
      <c r="L236" s="1350">
        <v>83</v>
      </c>
      <c r="M236" s="1371" t="s">
        <v>74</v>
      </c>
      <c r="N236" s="1371"/>
      <c r="O236" s="1293"/>
      <c r="P236" s="2213">
        <f t="shared" si="10"/>
        <v>0</v>
      </c>
      <c r="Q236" s="980"/>
      <c r="R236" s="934"/>
    </row>
    <row r="237" spans="3:18" s="933" customFormat="1" outlineLevel="2">
      <c r="C237" s="935"/>
      <c r="D237" s="1674"/>
      <c r="E237" s="1729"/>
      <c r="F237" s="2225"/>
      <c r="G237" s="2230"/>
      <c r="H237" s="2214" t="s">
        <v>1559</v>
      </c>
      <c r="I237" s="2214"/>
      <c r="J237" s="2214"/>
      <c r="K237" s="1371" t="s">
        <v>1769</v>
      </c>
      <c r="L237" s="1350">
        <v>1</v>
      </c>
      <c r="M237" s="1371" t="s">
        <v>74</v>
      </c>
      <c r="N237" s="1371"/>
      <c r="O237" s="1293"/>
      <c r="P237" s="2213">
        <f t="shared" si="10"/>
        <v>0</v>
      </c>
      <c r="Q237" s="980"/>
      <c r="R237" s="934"/>
    </row>
    <row r="238" spans="3:18" s="933" customFormat="1" ht="12.75" customHeight="1" outlineLevel="2">
      <c r="C238" s="935"/>
      <c r="D238" s="1365"/>
      <c r="E238" s="1729"/>
      <c r="F238" s="2225"/>
      <c r="G238" s="2230"/>
      <c r="H238" s="1426" t="s">
        <v>1723</v>
      </c>
      <c r="I238" s="1427"/>
      <c r="J238" s="1428"/>
      <c r="K238" s="1384"/>
      <c r="L238" s="1385"/>
      <c r="M238" s="1386"/>
      <c r="N238" s="1387"/>
      <c r="O238" s="1388"/>
      <c r="P238" s="1389">
        <f>P239</f>
        <v>0</v>
      </c>
      <c r="Q238" s="980"/>
      <c r="R238" s="934"/>
    </row>
    <row r="239" spans="3:18" s="933" customFormat="1" outlineLevel="2">
      <c r="C239" s="935"/>
      <c r="D239" s="1365"/>
      <c r="E239" s="1729"/>
      <c r="F239" s="2225"/>
      <c r="G239" s="2230"/>
      <c r="H239" s="1423" t="s">
        <v>1766</v>
      </c>
      <c r="I239" s="1424"/>
      <c r="J239" s="1425"/>
      <c r="K239" s="1306"/>
      <c r="L239" s="1307"/>
      <c r="M239" s="1308"/>
      <c r="N239" s="1306"/>
      <c r="O239" s="1307"/>
      <c r="P239" s="1304">
        <f>P240</f>
        <v>0</v>
      </c>
      <c r="Q239" s="980"/>
      <c r="R239" s="934"/>
    </row>
    <row r="240" spans="3:18" s="933" customFormat="1" ht="15" customHeight="1" outlineLevel="2">
      <c r="C240" s="935"/>
      <c r="D240" s="1365"/>
      <c r="E240" s="1730"/>
      <c r="F240" s="2227"/>
      <c r="G240" s="2231"/>
      <c r="H240" s="2214" t="s">
        <v>1710</v>
      </c>
      <c r="I240" s="2214"/>
      <c r="J240" s="2214"/>
      <c r="K240" s="1371" t="s">
        <v>1689</v>
      </c>
      <c r="L240" s="1371">
        <v>1</v>
      </c>
      <c r="M240" s="1371" t="s">
        <v>1689</v>
      </c>
      <c r="N240" s="1371">
        <v>1</v>
      </c>
      <c r="O240" s="1293"/>
      <c r="P240" s="2213">
        <f>+O240*N240</f>
        <v>0</v>
      </c>
      <c r="Q240" s="980"/>
      <c r="R240" s="934"/>
    </row>
    <row r="241" spans="3:18" s="933" customFormat="1" outlineLevel="2">
      <c r="C241" s="935"/>
      <c r="D241" s="1454" t="s">
        <v>1756</v>
      </c>
      <c r="E241" s="1628" t="s">
        <v>1797</v>
      </c>
      <c r="F241" s="1438"/>
      <c r="G241" s="2232">
        <f>+P241+P243</f>
        <v>0</v>
      </c>
      <c r="H241" s="1423" t="s">
        <v>1767</v>
      </c>
      <c r="I241" s="1424"/>
      <c r="J241" s="1425"/>
      <c r="K241" s="1306"/>
      <c r="L241" s="1307"/>
      <c r="M241" s="1308"/>
      <c r="N241" s="1306"/>
      <c r="O241" s="1307"/>
      <c r="P241" s="1304">
        <f>P242</f>
        <v>0</v>
      </c>
      <c r="Q241" s="980"/>
      <c r="R241" s="934"/>
    </row>
    <row r="242" spans="3:18" s="933" customFormat="1" outlineLevel="2">
      <c r="C242" s="935"/>
      <c r="D242" s="1454"/>
      <c r="E242" s="1628"/>
      <c r="F242" s="1438"/>
      <c r="G242" s="1438"/>
      <c r="H242" s="2214" t="s">
        <v>1732</v>
      </c>
      <c r="I242" s="2214"/>
      <c r="J242" s="2214"/>
      <c r="K242" s="1371" t="s">
        <v>1549</v>
      </c>
      <c r="L242" s="1371">
        <v>1</v>
      </c>
      <c r="M242" s="1371" t="s">
        <v>1689</v>
      </c>
      <c r="N242" s="1371">
        <v>1</v>
      </c>
      <c r="O242" s="1293"/>
      <c r="P242" s="2213">
        <f>+O242*L242</f>
        <v>0</v>
      </c>
      <c r="Q242" s="980"/>
      <c r="R242" s="934"/>
    </row>
    <row r="243" spans="3:18" s="933" customFormat="1" ht="15" customHeight="1" outlineLevel="2">
      <c r="C243" s="935"/>
      <c r="D243" s="1454"/>
      <c r="E243" s="1628"/>
      <c r="F243" s="1438"/>
      <c r="G243" s="1438"/>
      <c r="H243" s="1423" t="s">
        <v>1780</v>
      </c>
      <c r="I243" s="1424"/>
      <c r="J243" s="1425"/>
      <c r="K243" s="1306"/>
      <c r="L243" s="1307"/>
      <c r="M243" s="1308"/>
      <c r="N243" s="1306"/>
      <c r="O243" s="1307"/>
      <c r="P243" s="1304">
        <f>+P244+P245</f>
        <v>0</v>
      </c>
      <c r="Q243" s="980"/>
      <c r="R243" s="934"/>
    </row>
    <row r="244" spans="3:18" s="933" customFormat="1" ht="15.75" customHeight="1" outlineLevel="2">
      <c r="C244" s="935"/>
      <c r="D244" s="1454"/>
      <c r="E244" s="1628"/>
      <c r="F244" s="1438"/>
      <c r="G244" s="1438"/>
      <c r="H244" s="1432" t="s">
        <v>1639</v>
      </c>
      <c r="I244" s="1432"/>
      <c r="J244" s="1432"/>
      <c r="K244" s="1371" t="s">
        <v>1646</v>
      </c>
      <c r="L244" s="1371">
        <v>1</v>
      </c>
      <c r="M244" s="1371" t="s">
        <v>1689</v>
      </c>
      <c r="N244" s="1371">
        <v>1</v>
      </c>
      <c r="O244" s="1293"/>
      <c r="P244" s="2213">
        <f>+O244*L244</f>
        <v>0</v>
      </c>
      <c r="Q244" s="980"/>
      <c r="R244" s="934"/>
    </row>
    <row r="245" spans="3:18" s="933" customFormat="1" ht="29.25" customHeight="1" outlineLevel="2">
      <c r="C245" s="935"/>
      <c r="D245" s="1454"/>
      <c r="E245" s="1628"/>
      <c r="F245" s="1438"/>
      <c r="G245" s="1438"/>
      <c r="H245" s="1432" t="s">
        <v>1638</v>
      </c>
      <c r="I245" s="1432"/>
      <c r="J245" s="1432"/>
      <c r="K245" s="1371" t="s">
        <v>1645</v>
      </c>
      <c r="L245" s="1371">
        <v>1</v>
      </c>
      <c r="M245" s="1371" t="s">
        <v>1689</v>
      </c>
      <c r="N245" s="1371">
        <v>1</v>
      </c>
      <c r="O245" s="1293"/>
      <c r="P245" s="2213">
        <f>+O245*L245</f>
        <v>0</v>
      </c>
      <c r="Q245" s="980"/>
      <c r="R245" s="934"/>
    </row>
    <row r="246" spans="3:18" s="933" customFormat="1" ht="12.75" customHeight="1" outlineLevel="2">
      <c r="C246" s="935"/>
      <c r="D246" s="1454" t="s">
        <v>1757</v>
      </c>
      <c r="E246" s="1628" t="s">
        <v>79</v>
      </c>
      <c r="F246" s="1438"/>
      <c r="G246" s="2232">
        <f>+P246+P248</f>
        <v>0</v>
      </c>
      <c r="H246" s="1423" t="s">
        <v>1767</v>
      </c>
      <c r="I246" s="1424"/>
      <c r="J246" s="1425"/>
      <c r="K246" s="1306"/>
      <c r="L246" s="1307"/>
      <c r="M246" s="1308"/>
      <c r="N246" s="1306"/>
      <c r="O246" s="1307"/>
      <c r="P246" s="1304">
        <f>P247</f>
        <v>0</v>
      </c>
      <c r="Q246" s="980"/>
      <c r="R246" s="934"/>
    </row>
    <row r="247" spans="3:18" s="933" customFormat="1" outlineLevel="2">
      <c r="C247" s="935"/>
      <c r="D247" s="1454"/>
      <c r="E247" s="1628"/>
      <c r="F247" s="1438"/>
      <c r="G247" s="1438"/>
      <c r="H247" s="2214" t="s">
        <v>1637</v>
      </c>
      <c r="I247" s="2214"/>
      <c r="J247" s="2214"/>
      <c r="K247" s="1371" t="s">
        <v>1549</v>
      </c>
      <c r="L247" s="1371">
        <v>1</v>
      </c>
      <c r="M247" s="1371" t="s">
        <v>1689</v>
      </c>
      <c r="N247" s="1371">
        <v>1</v>
      </c>
      <c r="O247" s="1293"/>
      <c r="P247" s="2213">
        <f>+O247*L247</f>
        <v>0</v>
      </c>
      <c r="Q247" s="980"/>
      <c r="R247" s="934"/>
    </row>
    <row r="248" spans="3:18" s="933" customFormat="1" outlineLevel="2">
      <c r="C248" s="935"/>
      <c r="D248" s="1454"/>
      <c r="E248" s="1628"/>
      <c r="F248" s="1438"/>
      <c r="G248" s="1438"/>
      <c r="H248" s="1423" t="s">
        <v>1781</v>
      </c>
      <c r="I248" s="1424"/>
      <c r="J248" s="1425"/>
      <c r="K248" s="1306"/>
      <c r="L248" s="1307"/>
      <c r="M248" s="1308"/>
      <c r="N248" s="1306"/>
      <c r="O248" s="1312"/>
      <c r="P248" s="1304">
        <f>+P249+P250</f>
        <v>0</v>
      </c>
      <c r="Q248" s="980"/>
      <c r="R248" s="934"/>
    </row>
    <row r="249" spans="3:18" s="933" customFormat="1" ht="15.75" customHeight="1" outlineLevel="2">
      <c r="C249" s="935"/>
      <c r="D249" s="1454"/>
      <c r="E249" s="1628"/>
      <c r="F249" s="1438"/>
      <c r="G249" s="1438"/>
      <c r="H249" s="1432" t="s">
        <v>1643</v>
      </c>
      <c r="I249" s="1432"/>
      <c r="J249" s="1432"/>
      <c r="K249" s="1371" t="s">
        <v>79</v>
      </c>
      <c r="L249" s="1371">
        <v>1</v>
      </c>
      <c r="M249" s="1371" t="s">
        <v>1689</v>
      </c>
      <c r="N249" s="1371">
        <v>1</v>
      </c>
      <c r="O249" s="1293"/>
      <c r="P249" s="2213">
        <f>+O249*L249</f>
        <v>0</v>
      </c>
      <c r="Q249" s="980"/>
      <c r="R249" s="934"/>
    </row>
    <row r="250" spans="3:18" s="933" customFormat="1" ht="23.25" customHeight="1" outlineLevel="2">
      <c r="C250" s="935"/>
      <c r="D250" s="1454"/>
      <c r="E250" s="1628"/>
      <c r="F250" s="1438"/>
      <c r="G250" s="1438"/>
      <c r="H250" s="1432" t="s">
        <v>1648</v>
      </c>
      <c r="I250" s="1432"/>
      <c r="J250" s="1432"/>
      <c r="K250" s="1371" t="s">
        <v>1647</v>
      </c>
      <c r="L250" s="1371">
        <v>1</v>
      </c>
      <c r="M250" s="1371" t="s">
        <v>1689</v>
      </c>
      <c r="N250" s="1371">
        <v>1</v>
      </c>
      <c r="O250" s="1293"/>
      <c r="P250" s="2213">
        <f>+O250*L250</f>
        <v>0</v>
      </c>
      <c r="Q250" s="980"/>
      <c r="R250" s="934"/>
    </row>
    <row r="251" spans="3:18" s="933" customFormat="1" ht="15.75" customHeight="1" outlineLevel="2">
      <c r="C251" s="935"/>
      <c r="D251" s="933" t="s">
        <v>1687</v>
      </c>
      <c r="I251" s="1295"/>
      <c r="J251" s="1295"/>
      <c r="K251" s="1295"/>
      <c r="L251" s="1295"/>
      <c r="M251" s="1687" t="s">
        <v>1728</v>
      </c>
      <c r="N251" s="1688"/>
      <c r="O251" s="1689"/>
      <c r="P251" s="1311">
        <f>+P248+P246+P243+P241+P230+P219+P215+P213+P200+P197+P191+P182+P179+P239</f>
        <v>0</v>
      </c>
      <c r="Q251" s="980"/>
      <c r="R251" s="934"/>
    </row>
    <row r="252" spans="3:18" s="933" customFormat="1" outlineLevel="2">
      <c r="C252" s="935"/>
      <c r="H252" s="1295"/>
      <c r="I252" s="1295"/>
      <c r="J252" s="1295"/>
      <c r="K252" s="1295"/>
      <c r="L252" s="1295"/>
      <c r="M252" s="1295"/>
      <c r="N252" s="1295"/>
      <c r="O252" s="1295"/>
      <c r="P252" s="1295"/>
      <c r="Q252" s="980"/>
      <c r="R252" s="934"/>
    </row>
    <row r="253" spans="3:18" s="933" customFormat="1" outlineLevel="2">
      <c r="C253" s="935"/>
      <c r="D253" s="1455" t="s">
        <v>1798</v>
      </c>
      <c r="E253" s="1455"/>
      <c r="F253" s="1455"/>
      <c r="G253" s="1455"/>
      <c r="K253" s="1232" t="s">
        <v>21</v>
      </c>
      <c r="L253" s="1313">
        <v>0.18</v>
      </c>
      <c r="N253" s="1233" t="s">
        <v>1729</v>
      </c>
      <c r="O253" s="1008"/>
      <c r="P253" s="1314">
        <f>1/(1+L253)</f>
        <v>0.84745762711864414</v>
      </c>
      <c r="Q253" s="980"/>
      <c r="R253" s="934"/>
    </row>
    <row r="254" spans="3:18" s="933" customFormat="1" outlineLevel="2">
      <c r="C254" s="935"/>
      <c r="D254" s="1455"/>
      <c r="E254" s="1455"/>
      <c r="F254" s="1455"/>
      <c r="G254" s="1455"/>
      <c r="I254" s="1008"/>
      <c r="J254" s="1008"/>
      <c r="K254" s="1008"/>
      <c r="L254" s="1008"/>
      <c r="M254" s="1041"/>
      <c r="N254" s="1008"/>
      <c r="O254" s="1008"/>
      <c r="P254" s="1008"/>
      <c r="Q254" s="980"/>
      <c r="R254" s="934"/>
    </row>
    <row r="255" spans="3:18" s="933" customFormat="1" outlineLevel="2">
      <c r="C255" s="935"/>
      <c r="D255" s="1455"/>
      <c r="E255" s="1455"/>
      <c r="F255" s="1455"/>
      <c r="G255" s="1455"/>
      <c r="I255" s="1008"/>
      <c r="J255" s="1008"/>
      <c r="K255" s="1008"/>
      <c r="L255" s="1008"/>
      <c r="M255" s="1736" t="s">
        <v>1747</v>
      </c>
      <c r="N255" s="1737"/>
      <c r="O255" s="1738"/>
      <c r="P255" s="1315">
        <f>+P251*P253</f>
        <v>0</v>
      </c>
      <c r="Q255" s="980"/>
      <c r="R255" s="934"/>
    </row>
    <row r="256" spans="3:18" s="933" customFormat="1" outlineLevel="2">
      <c r="C256" s="935"/>
      <c r="D256" s="1176" t="s">
        <v>1794</v>
      </c>
      <c r="E256" s="1040"/>
      <c r="F256" s="1040"/>
      <c r="G256" s="1008"/>
      <c r="I256" s="1008"/>
      <c r="J256" s="1008"/>
      <c r="K256" s="1008"/>
      <c r="L256" s="1008"/>
      <c r="M256" s="1041"/>
      <c r="N256" s="1008"/>
      <c r="O256" s="1008"/>
      <c r="P256" s="1008"/>
      <c r="Q256" s="980"/>
      <c r="R256" s="934"/>
    </row>
    <row r="257" spans="3:18" s="933" customFormat="1" outlineLevel="2">
      <c r="C257" s="1236"/>
      <c r="D257" s="1176" t="s">
        <v>1704</v>
      </c>
      <c r="E257" s="1176"/>
      <c r="F257" s="1040"/>
      <c r="G257" s="1008"/>
      <c r="I257" s="1008"/>
      <c r="J257" s="1008"/>
      <c r="K257" s="1008"/>
      <c r="L257" s="1008"/>
      <c r="M257" s="1008"/>
      <c r="N257" s="1008"/>
      <c r="O257" s="1008"/>
      <c r="P257" s="1008"/>
      <c r="Q257" s="980"/>
      <c r="R257" s="934"/>
    </row>
    <row r="258" spans="3:18" outlineLevel="2">
      <c r="C258" s="1011"/>
      <c r="D258" s="1176" t="s">
        <v>1795</v>
      </c>
      <c r="E258" s="1358"/>
      <c r="F258" s="1358"/>
      <c r="G258" s="1358"/>
      <c r="H258" s="1358"/>
      <c r="I258" s="1358"/>
      <c r="J258" s="1358"/>
      <c r="K258" s="1358"/>
      <c r="L258" s="1358"/>
      <c r="M258" s="1042"/>
      <c r="N258" s="1358"/>
      <c r="O258" s="1358"/>
      <c r="P258" s="969"/>
      <c r="Q258" s="980"/>
      <c r="R258" s="1043"/>
    </row>
    <row r="259" spans="3:18" ht="25.5" customHeight="1" outlineLevel="2">
      <c r="C259" s="1011"/>
      <c r="D259" s="1686" t="s">
        <v>777</v>
      </c>
      <c r="E259" s="1686"/>
      <c r="F259" s="1686"/>
      <c r="G259" s="1686"/>
      <c r="H259" s="1686"/>
      <c r="I259" s="1686"/>
      <c r="J259" s="1686"/>
      <c r="K259" s="1686"/>
      <c r="L259" s="1686"/>
      <c r="M259" s="1686"/>
      <c r="N259" s="1686"/>
      <c r="O259" s="1686"/>
      <c r="P259" s="1686"/>
      <c r="Q259" s="980"/>
      <c r="R259" s="1043"/>
    </row>
    <row r="260" spans="3:18" ht="24" customHeight="1" outlineLevel="2">
      <c r="C260" s="1011"/>
      <c r="D260" s="1453"/>
      <c r="E260" s="1453"/>
      <c r="F260" s="1453"/>
      <c r="G260" s="1453"/>
      <c r="H260" s="1453"/>
      <c r="I260" s="1453"/>
      <c r="J260" s="1453"/>
      <c r="K260" s="1453"/>
      <c r="L260" s="1453"/>
      <c r="M260" s="1453"/>
      <c r="N260" s="1453"/>
      <c r="O260" s="1453"/>
      <c r="P260" s="1453"/>
      <c r="Q260" s="980"/>
      <c r="R260" s="1043"/>
    </row>
    <row r="261" spans="3:18" ht="23.25" customHeight="1" outlineLevel="2">
      <c r="C261" s="1011"/>
      <c r="D261" s="1453"/>
      <c r="E261" s="1453"/>
      <c r="F261" s="1453"/>
      <c r="G261" s="1453"/>
      <c r="H261" s="1453"/>
      <c r="I261" s="1453"/>
      <c r="J261" s="1453"/>
      <c r="K261" s="1453"/>
      <c r="L261" s="1453"/>
      <c r="M261" s="1453"/>
      <c r="N261" s="1453"/>
      <c r="O261" s="1453"/>
      <c r="P261" s="1453"/>
      <c r="Q261" s="980"/>
      <c r="R261" s="1043"/>
    </row>
    <row r="262" spans="3:18" ht="27.75" customHeight="1" outlineLevel="2">
      <c r="C262" s="1011"/>
      <c r="D262" s="1453"/>
      <c r="E262" s="1453"/>
      <c r="F262" s="1453"/>
      <c r="G262" s="1453"/>
      <c r="H262" s="1453"/>
      <c r="I262" s="1453"/>
      <c r="J262" s="1453"/>
      <c r="K262" s="1453"/>
      <c r="L262" s="1453"/>
      <c r="M262" s="1453"/>
      <c r="N262" s="1453"/>
      <c r="O262" s="1453"/>
      <c r="P262" s="1453"/>
      <c r="Q262" s="980"/>
      <c r="R262" s="1043"/>
    </row>
    <row r="263" spans="3:18" outlineLevel="2">
      <c r="C263" s="1011"/>
      <c r="D263" s="1358"/>
      <c r="E263" s="1358"/>
      <c r="F263" s="1358"/>
      <c r="G263" s="1358"/>
      <c r="H263" s="1358"/>
      <c r="I263" s="1358"/>
      <c r="J263" s="1358"/>
      <c r="K263" s="1358"/>
      <c r="L263" s="1358"/>
      <c r="M263" s="1042"/>
      <c r="N263" s="1358"/>
      <c r="O263" s="1358"/>
      <c r="P263" s="969"/>
      <c r="Q263" s="980"/>
      <c r="R263" s="1043"/>
    </row>
    <row r="264" spans="3:18" s="933" customFormat="1" ht="17.25" customHeight="1" outlineLevel="2">
      <c r="C264" s="935"/>
      <c r="D264" s="1018" t="s">
        <v>1715</v>
      </c>
      <c r="K264" s="1429" t="s">
        <v>1706</v>
      </c>
      <c r="L264" s="1430"/>
      <c r="M264" s="1430"/>
      <c r="N264" s="1430"/>
      <c r="O264" s="1430"/>
      <c r="P264" s="1431"/>
      <c r="Q264" s="980"/>
      <c r="R264" s="934"/>
    </row>
    <row r="265" spans="3:18" s="933" customFormat="1" ht="57" outlineLevel="2" thickBot="1">
      <c r="C265" s="935"/>
      <c r="D265" s="1346" t="s">
        <v>1800</v>
      </c>
      <c r="E265" s="1429" t="s">
        <v>1782</v>
      </c>
      <c r="F265" s="1430"/>
      <c r="G265" s="1431"/>
      <c r="H265" s="1369" t="s">
        <v>1799</v>
      </c>
      <c r="I265" s="1369" t="s">
        <v>778</v>
      </c>
      <c r="J265" s="1369" t="s">
        <v>779</v>
      </c>
      <c r="K265" s="1369">
        <v>1</v>
      </c>
      <c r="L265" s="1369">
        <v>2</v>
      </c>
      <c r="M265" s="1369">
        <v>3</v>
      </c>
      <c r="N265" s="1369">
        <v>4</v>
      </c>
      <c r="O265" s="1369">
        <v>5</v>
      </c>
      <c r="P265" s="1369">
        <v>6</v>
      </c>
      <c r="Q265" s="980"/>
      <c r="R265" s="934"/>
    </row>
    <row r="266" spans="3:18" s="933" customFormat="1" ht="27.75" customHeight="1" outlineLevel="2">
      <c r="C266" s="935"/>
      <c r="D266" s="1660" t="str">
        <f>+D178</f>
        <v xml:space="preserve"> 
INFRAESTRUCTURA (EDIFICACIONES)</v>
      </c>
      <c r="E266" s="1636" t="str">
        <f>+H179</f>
        <v>Expediente Técnico de Obra</v>
      </c>
      <c r="F266" s="1637"/>
      <c r="G266" s="1637"/>
      <c r="H266" s="1316" t="s">
        <v>1549</v>
      </c>
      <c r="I266" s="1276"/>
      <c r="J266" s="1276"/>
      <c r="K266" s="1292"/>
      <c r="L266" s="1278"/>
      <c r="M266" s="1279"/>
      <c r="N266" s="1279"/>
      <c r="O266" s="1278"/>
      <c r="P266" s="1267"/>
      <c r="Q266" s="980"/>
      <c r="R266" s="934"/>
    </row>
    <row r="267" spans="3:18" s="933" customFormat="1" ht="27.75" customHeight="1" outlineLevel="2">
      <c r="C267" s="935"/>
      <c r="D267" s="1641"/>
      <c r="E267" s="1629" t="s">
        <v>1702</v>
      </c>
      <c r="F267" s="1685"/>
      <c r="G267" s="1630"/>
      <c r="H267" s="1317" t="s">
        <v>1707</v>
      </c>
      <c r="I267" s="1362"/>
      <c r="J267" s="1362"/>
      <c r="K267" s="1250"/>
      <c r="L267" s="1245"/>
      <c r="M267" s="1246"/>
      <c r="N267" s="1246"/>
      <c r="O267" s="1245"/>
      <c r="P267" s="1244"/>
      <c r="Q267" s="980"/>
      <c r="R267" s="934"/>
    </row>
    <row r="268" spans="3:18" s="933" customFormat="1" ht="27.75" customHeight="1" outlineLevel="2">
      <c r="C268" s="935"/>
      <c r="D268" s="1641"/>
      <c r="E268" s="1401" t="str">
        <f>+H182</f>
        <v>Unidad de Activo: Bloque 01
(puede incluir acondicionamiento térmico)</v>
      </c>
      <c r="F268" s="1401"/>
      <c r="G268" s="1401"/>
      <c r="H268" s="1318" t="s">
        <v>35</v>
      </c>
      <c r="I268" s="1652"/>
      <c r="J268" s="1652"/>
      <c r="K268" s="1684"/>
      <c r="L268" s="1256"/>
      <c r="M268" s="1256"/>
      <c r="N268" s="1256"/>
      <c r="O268" s="1624"/>
      <c r="P268" s="1771"/>
      <c r="Q268" s="980"/>
      <c r="R268" s="934"/>
    </row>
    <row r="269" spans="3:18" s="933" customFormat="1" ht="27.75" customHeight="1" outlineLevel="2">
      <c r="C269" s="935"/>
      <c r="D269" s="1641"/>
      <c r="E269" s="1401" t="str">
        <f>+H191</f>
        <v>Unidad de Activo: Bloque 02
(puede incluir acondicionamiento térmico)</v>
      </c>
      <c r="F269" s="1401"/>
      <c r="G269" s="1401"/>
      <c r="H269" s="1318" t="s">
        <v>35</v>
      </c>
      <c r="I269" s="1652"/>
      <c r="J269" s="1652"/>
      <c r="K269" s="1684"/>
      <c r="L269" s="1256"/>
      <c r="M269" s="1256"/>
      <c r="N269" s="1256"/>
      <c r="O269" s="1624"/>
      <c r="P269" s="1771"/>
      <c r="Q269" s="980"/>
      <c r="R269" s="934"/>
    </row>
    <row r="270" spans="3:18" s="933" customFormat="1" ht="21" customHeight="1" outlineLevel="2">
      <c r="C270" s="935"/>
      <c r="D270" s="1641"/>
      <c r="E270" s="1402" t="str">
        <f>+H197</f>
        <v>Unidad de Activo: Cerco Perimétrico - Portada de ingreso</v>
      </c>
      <c r="F270" s="1401"/>
      <c r="G270" s="1401"/>
      <c r="H270" s="1318" t="s">
        <v>1772</v>
      </c>
      <c r="I270" s="1652"/>
      <c r="J270" s="1652"/>
      <c r="K270" s="1684"/>
      <c r="L270" s="1256"/>
      <c r="M270" s="1256"/>
      <c r="N270" s="1256"/>
      <c r="O270" s="1624"/>
      <c r="P270" s="1771"/>
      <c r="Q270" s="980"/>
      <c r="R270" s="934"/>
    </row>
    <row r="271" spans="3:18" s="933" customFormat="1" ht="27.75" customHeight="1" outlineLevel="2">
      <c r="C271" s="935"/>
      <c r="D271" s="1641"/>
      <c r="E271" s="1402" t="str">
        <f>+H200</f>
        <v>Unidades de Activos: Obras Exteriores</v>
      </c>
      <c r="F271" s="1401"/>
      <c r="G271" s="1401"/>
      <c r="H271" s="1318" t="s">
        <v>35</v>
      </c>
      <c r="I271" s="1652"/>
      <c r="J271" s="1652"/>
      <c r="K271" s="1684"/>
      <c r="L271" s="1256"/>
      <c r="M271" s="1256"/>
      <c r="N271" s="1256"/>
      <c r="O271" s="1624"/>
      <c r="P271" s="1771"/>
      <c r="Q271" s="980"/>
      <c r="R271" s="934"/>
    </row>
    <row r="272" spans="3:18" s="933" customFormat="1" ht="27.75" customHeight="1" outlineLevel="2" thickBot="1">
      <c r="C272" s="935"/>
      <c r="D272" s="1661"/>
      <c r="E272" s="1461" t="str">
        <f>+H213</f>
        <v>Supervisión de obra</v>
      </c>
      <c r="F272" s="1462"/>
      <c r="G272" s="1462"/>
      <c r="H272" s="1319" t="s">
        <v>1689</v>
      </c>
      <c r="I272" s="1259"/>
      <c r="J272" s="1259"/>
      <c r="K272" s="1260"/>
      <c r="L272" s="1261"/>
      <c r="M272" s="1261"/>
      <c r="N272" s="1261"/>
      <c r="O272" s="1261"/>
      <c r="P272" s="1262"/>
      <c r="Q272" s="980"/>
      <c r="R272" s="934"/>
    </row>
    <row r="273" spans="3:18" s="933" customFormat="1" ht="21.75" customHeight="1" outlineLevel="2">
      <c r="C273" s="935"/>
      <c r="D273" s="1641" t="str">
        <f>+D215</f>
        <v xml:space="preserve">
EQUIPAMIENTO </v>
      </c>
      <c r="E273" s="1402" t="str">
        <f>+H216</f>
        <v xml:space="preserve">Especificaciones técnicas </v>
      </c>
      <c r="F273" s="1401"/>
      <c r="G273" s="1401"/>
      <c r="H273" s="1318" t="s">
        <v>1549</v>
      </c>
      <c r="I273" s="1362"/>
      <c r="J273" s="1362"/>
      <c r="K273" s="1255"/>
      <c r="L273" s="1245"/>
      <c r="M273" s="1246"/>
      <c r="N273" s="1246"/>
      <c r="O273" s="1245"/>
      <c r="P273" s="1244"/>
      <c r="Q273" s="980"/>
      <c r="R273" s="934"/>
    </row>
    <row r="274" spans="3:18" s="933" customFormat="1" ht="21.75" customHeight="1" outlineLevel="2">
      <c r="C274" s="935"/>
      <c r="D274" s="1641"/>
      <c r="E274" s="1402" t="str">
        <f>+H219</f>
        <v>Unidades de Activos: Mobiliario</v>
      </c>
      <c r="F274" s="1401"/>
      <c r="G274" s="1401"/>
      <c r="H274" s="1318" t="s">
        <v>1195</v>
      </c>
      <c r="I274" s="1652"/>
      <c r="J274" s="1652"/>
      <c r="K274" s="1247"/>
      <c r="L274" s="1248"/>
      <c r="M274" s="1248"/>
      <c r="N274" s="1256"/>
      <c r="O274" s="1256"/>
      <c r="P274" s="1249"/>
      <c r="Q274" s="980"/>
      <c r="R274" s="934"/>
    </row>
    <row r="275" spans="3:18" s="933" customFormat="1" ht="21.75" customHeight="1" outlineLevel="2">
      <c r="C275" s="935"/>
      <c r="D275" s="1641"/>
      <c r="E275" s="1402" t="str">
        <f>+H230</f>
        <v xml:space="preserve">Unidades de Activos: Equipamiento Pedagógico </v>
      </c>
      <c r="F275" s="1401"/>
      <c r="G275" s="1401"/>
      <c r="H275" s="1318" t="s">
        <v>1195</v>
      </c>
      <c r="I275" s="1652"/>
      <c r="J275" s="1652"/>
      <c r="K275" s="1247"/>
      <c r="L275" s="1248"/>
      <c r="M275" s="1248"/>
      <c r="N275" s="1256"/>
      <c r="O275" s="1256"/>
      <c r="P275" s="1249"/>
      <c r="Q275" s="980"/>
      <c r="R275" s="934"/>
    </row>
    <row r="276" spans="3:18" s="933" customFormat="1" ht="30.75" customHeight="1" outlineLevel="2" thickBot="1">
      <c r="C276" s="935"/>
      <c r="D276" s="1661"/>
      <c r="E276" s="1461" t="str">
        <f>+H239</f>
        <v>Monitor de calidad (mobiliario y equipos)</v>
      </c>
      <c r="F276" s="1462"/>
      <c r="G276" s="1462"/>
      <c r="H276" s="1319" t="s">
        <v>1689</v>
      </c>
      <c r="I276" s="1268"/>
      <c r="J276" s="1268"/>
      <c r="K276" s="1269"/>
      <c r="L276" s="1270"/>
      <c r="M276" s="1271"/>
      <c r="N276" s="1272"/>
      <c r="O276" s="1261"/>
      <c r="P276" s="1262"/>
      <c r="Q276" s="980"/>
      <c r="R276" s="934"/>
    </row>
    <row r="277" spans="3:18" s="933" customFormat="1" ht="21.75" customHeight="1" outlineLevel="2">
      <c r="C277" s="935"/>
      <c r="D277" s="1660" t="str">
        <f>+D241</f>
        <v xml:space="preserve">
DESARROLLO  DE  CAPACIDADES</v>
      </c>
      <c r="E277" s="1636" t="str">
        <f>+H241</f>
        <v>Términos de Referencia</v>
      </c>
      <c r="F277" s="1637"/>
      <c r="G277" s="1637"/>
      <c r="H277" s="1316" t="s">
        <v>1549</v>
      </c>
      <c r="I277" s="1276"/>
      <c r="J277" s="1276"/>
      <c r="K277" s="1277"/>
      <c r="L277" s="1278"/>
      <c r="M277" s="1279"/>
      <c r="N277" s="1279"/>
      <c r="O277" s="1280"/>
      <c r="P277" s="1267"/>
      <c r="Q277" s="980"/>
      <c r="R277" s="934"/>
    </row>
    <row r="278" spans="3:18" s="933" customFormat="1" ht="21.75" customHeight="1" outlineLevel="2" thickBot="1">
      <c r="C278" s="935"/>
      <c r="D278" s="1661"/>
      <c r="E278" s="1644" t="str">
        <f>+H243</f>
        <v>Unidades de Activos: Generación de capacidades</v>
      </c>
      <c r="F278" s="1645"/>
      <c r="G278" s="1646"/>
      <c r="H278" s="1320" t="s">
        <v>1708</v>
      </c>
      <c r="I278" s="1268"/>
      <c r="J278" s="1268"/>
      <c r="K278" s="1269"/>
      <c r="L278" s="1270"/>
      <c r="M278" s="1271"/>
      <c r="N278" s="1281"/>
      <c r="O278" s="1282"/>
      <c r="P278" s="1283"/>
      <c r="Q278" s="980"/>
      <c r="R278" s="934"/>
    </row>
    <row r="279" spans="3:18" s="933" customFormat="1" ht="21.75" customHeight="1" outlineLevel="2">
      <c r="C279" s="935"/>
      <c r="D279" s="1640" t="str">
        <f>+D246</f>
        <v xml:space="preserve">
GESTIÓN  DE  LA  UPS</v>
      </c>
      <c r="E279" s="1647" t="str">
        <f>+H246</f>
        <v>Términos de Referencia</v>
      </c>
      <c r="F279" s="1648"/>
      <c r="G279" s="1648"/>
      <c r="H279" s="1321" t="s">
        <v>1549</v>
      </c>
      <c r="I279" s="1263"/>
      <c r="J279" s="1263"/>
      <c r="K279" s="1264"/>
      <c r="L279" s="1265"/>
      <c r="M279" s="1266"/>
      <c r="N279" s="1273"/>
      <c r="O279" s="1274"/>
      <c r="P279" s="1275"/>
      <c r="Q279" s="980"/>
      <c r="R279" s="934"/>
    </row>
    <row r="280" spans="3:18" s="933" customFormat="1" ht="21.75" customHeight="1" outlineLevel="2">
      <c r="C280" s="935"/>
      <c r="D280" s="1641"/>
      <c r="E280" s="1402" t="str">
        <f>+H248</f>
        <v>Unidades de Activos: Herramientas de gestión</v>
      </c>
      <c r="F280" s="1401"/>
      <c r="G280" s="1401"/>
      <c r="H280" s="1370" t="s">
        <v>1709</v>
      </c>
      <c r="I280" s="1362"/>
      <c r="J280" s="1362"/>
      <c r="K280" s="1250"/>
      <c r="L280" s="1245"/>
      <c r="M280" s="1246"/>
      <c r="N280" s="1246"/>
      <c r="O280" s="1256"/>
      <c r="P280" s="1257"/>
      <c r="Q280" s="980"/>
      <c r="R280" s="934"/>
    </row>
    <row r="281" spans="3:18" s="933" customFormat="1" ht="12.75" customHeight="1" outlineLevel="2">
      <c r="C281" s="935"/>
      <c r="E281" s="963"/>
      <c r="F281" s="963"/>
      <c r="G281" s="963"/>
      <c r="H281" s="963"/>
      <c r="I281" s="963"/>
      <c r="J281" s="963"/>
      <c r="K281" s="963"/>
      <c r="L281" s="963"/>
      <c r="M281" s="1020"/>
      <c r="N281" s="963"/>
      <c r="O281" s="961"/>
      <c r="P281" s="961"/>
      <c r="Q281" s="980"/>
      <c r="R281" s="934"/>
    </row>
    <row r="282" spans="3:18" s="933" customFormat="1" ht="17.25" customHeight="1" outlineLevel="2">
      <c r="C282" s="935"/>
      <c r="D282" s="1457" t="s">
        <v>1716</v>
      </c>
      <c r="E282" s="1457"/>
      <c r="F282" s="1457"/>
      <c r="G282" s="1457"/>
      <c r="H282" s="1457"/>
      <c r="I282" s="1457"/>
      <c r="J282" s="1458"/>
      <c r="K282" s="1429" t="s">
        <v>1706</v>
      </c>
      <c r="L282" s="1430"/>
      <c r="M282" s="1430"/>
      <c r="N282" s="1430"/>
      <c r="O282" s="1430"/>
      <c r="P282" s="1431"/>
      <c r="Q282" s="980"/>
      <c r="R282" s="934"/>
    </row>
    <row r="283" spans="3:18" s="933" customFormat="1" ht="34.5" outlineLevel="2" thickBot="1">
      <c r="C283" s="935"/>
      <c r="D283" s="1346" t="str">
        <f>D265</f>
        <v>Producto/sub
productos</v>
      </c>
      <c r="E283" s="1429" t="str">
        <f>E265</f>
        <v>Acciones/Activos</v>
      </c>
      <c r="F283" s="1430"/>
      <c r="G283" s="1431"/>
      <c r="H283" s="1369" t="s">
        <v>247</v>
      </c>
      <c r="I283" s="1369" t="s">
        <v>778</v>
      </c>
      <c r="J283" s="1369" t="s">
        <v>779</v>
      </c>
      <c r="K283" s="1369">
        <v>1</v>
      </c>
      <c r="L283" s="1369">
        <v>2</v>
      </c>
      <c r="M283" s="1369">
        <v>3</v>
      </c>
      <c r="N283" s="1369">
        <v>4</v>
      </c>
      <c r="O283" s="1369">
        <v>5</v>
      </c>
      <c r="P283" s="1369">
        <v>6</v>
      </c>
      <c r="Q283" s="980"/>
      <c r="R283" s="934"/>
    </row>
    <row r="284" spans="3:18" s="933" customFormat="1" ht="22.5" customHeight="1" outlineLevel="2">
      <c r="C284" s="935"/>
      <c r="D284" s="1765" t="str">
        <f t="shared" ref="D284" si="11">D266</f>
        <v xml:space="preserve"> 
INFRAESTRUCTURA (EDIFICACIONES)</v>
      </c>
      <c r="E284" s="1637" t="s">
        <v>1701</v>
      </c>
      <c r="F284" s="1637"/>
      <c r="G284" s="1637"/>
      <c r="H284" s="1322">
        <v>0</v>
      </c>
      <c r="I284" s="1284"/>
      <c r="J284" s="1284"/>
      <c r="K284" s="1403"/>
      <c r="L284" s="1404"/>
      <c r="M284" s="1404"/>
      <c r="N284" s="1404"/>
      <c r="O284" s="1404"/>
      <c r="P284" s="1405"/>
      <c r="Q284" s="980"/>
      <c r="R284" s="934"/>
    </row>
    <row r="285" spans="3:18" s="933" customFormat="1" ht="22.5" customHeight="1" outlineLevel="2">
      <c r="C285" s="935"/>
      <c r="D285" s="1766"/>
      <c r="E285" s="1402" t="str">
        <f>+E266</f>
        <v>Expediente Técnico de Obra</v>
      </c>
      <c r="F285" s="1401"/>
      <c r="G285" s="1401"/>
      <c r="H285" s="1370">
        <f>P179</f>
        <v>0</v>
      </c>
      <c r="I285" s="1229"/>
      <c r="J285" s="1229"/>
      <c r="K285" s="1329">
        <f>H285*1</f>
        <v>0</v>
      </c>
      <c r="L285" s="1238"/>
      <c r="M285" s="1239"/>
      <c r="N285" s="1239"/>
      <c r="O285" s="1238"/>
      <c r="P285" s="1240"/>
      <c r="Q285" s="980"/>
      <c r="R285" s="934"/>
    </row>
    <row r="286" spans="3:18" s="933" customFormat="1" ht="22.5" customHeight="1" outlineLevel="2">
      <c r="C286" s="935"/>
      <c r="D286" s="1766"/>
      <c r="E286" s="1401" t="s">
        <v>1702</v>
      </c>
      <c r="F286" s="1401"/>
      <c r="G286" s="1401"/>
      <c r="H286" s="1323">
        <v>0</v>
      </c>
      <c r="I286" s="1229"/>
      <c r="J286" s="1229"/>
      <c r="K286" s="1406"/>
      <c r="L286" s="1407"/>
      <c r="M286" s="1407"/>
      <c r="N286" s="1407"/>
      <c r="O286" s="1407"/>
      <c r="P286" s="1408"/>
      <c r="Q286" s="980"/>
      <c r="R286" s="934"/>
    </row>
    <row r="287" spans="3:18" s="933" customFormat="1" ht="22.5" customHeight="1" outlineLevel="2">
      <c r="C287" s="935"/>
      <c r="D287" s="1766"/>
      <c r="E287" s="1401" t="str">
        <f t="shared" ref="E287:E291" si="12">E268</f>
        <v>Unidad de Activo: Bloque 01
(puede incluir acondicionamiento térmico)</v>
      </c>
      <c r="F287" s="1401"/>
      <c r="G287" s="1401"/>
      <c r="H287" s="1768">
        <f>P182+P191+P197+P200</f>
        <v>0</v>
      </c>
      <c r="I287" s="1652"/>
      <c r="J287" s="1652"/>
      <c r="K287" s="1638"/>
      <c r="L287" s="1639">
        <f>H287*0.4</f>
        <v>0</v>
      </c>
      <c r="M287" s="1639">
        <f>H287*0.4</f>
        <v>0</v>
      </c>
      <c r="N287" s="1639">
        <f>H287*0.2</f>
        <v>0</v>
      </c>
      <c r="O287" s="1678"/>
      <c r="P287" s="1681"/>
      <c r="Q287" s="980"/>
      <c r="R287" s="934"/>
    </row>
    <row r="288" spans="3:18" s="933" customFormat="1" ht="22.5" customHeight="1" outlineLevel="2">
      <c r="C288" s="935"/>
      <c r="D288" s="1766"/>
      <c r="E288" s="1401" t="str">
        <f t="shared" si="12"/>
        <v>Unidad de Activo: Bloque 02
(puede incluir acondicionamiento térmico)</v>
      </c>
      <c r="F288" s="1401"/>
      <c r="G288" s="1401"/>
      <c r="H288" s="1768"/>
      <c r="I288" s="1652"/>
      <c r="J288" s="1652"/>
      <c r="K288" s="1638"/>
      <c r="L288" s="1639"/>
      <c r="M288" s="1639"/>
      <c r="N288" s="1639"/>
      <c r="O288" s="1679"/>
      <c r="P288" s="1682"/>
      <c r="Q288" s="980"/>
      <c r="R288" s="934"/>
    </row>
    <row r="289" spans="3:18" s="933" customFormat="1" ht="22.5" customHeight="1" outlineLevel="2">
      <c r="C289" s="935"/>
      <c r="D289" s="1766"/>
      <c r="E289" s="1401" t="str">
        <f t="shared" si="12"/>
        <v>Unidad de Activo: Cerco Perimétrico - Portada de ingreso</v>
      </c>
      <c r="F289" s="1401"/>
      <c r="G289" s="1401"/>
      <c r="H289" s="1768"/>
      <c r="I289" s="1652"/>
      <c r="J289" s="1652"/>
      <c r="K289" s="1638"/>
      <c r="L289" s="1639"/>
      <c r="M289" s="1639"/>
      <c r="N289" s="1639"/>
      <c r="O289" s="1679"/>
      <c r="P289" s="1682"/>
      <c r="Q289" s="980"/>
      <c r="R289" s="934"/>
    </row>
    <row r="290" spans="3:18" s="933" customFormat="1" ht="22.5" customHeight="1" outlineLevel="2">
      <c r="C290" s="935"/>
      <c r="D290" s="1766"/>
      <c r="E290" s="1401" t="str">
        <f t="shared" si="12"/>
        <v>Unidades de Activos: Obras Exteriores</v>
      </c>
      <c r="F290" s="1401"/>
      <c r="G290" s="1401"/>
      <c r="H290" s="1768"/>
      <c r="I290" s="1652"/>
      <c r="J290" s="1652"/>
      <c r="K290" s="1638"/>
      <c r="L290" s="1639"/>
      <c r="M290" s="1639"/>
      <c r="N290" s="1639"/>
      <c r="O290" s="1680"/>
      <c r="P290" s="1683"/>
      <c r="Q290" s="980"/>
      <c r="R290" s="934"/>
    </row>
    <row r="291" spans="3:18" s="933" customFormat="1" ht="22.5" customHeight="1" outlineLevel="2" thickBot="1">
      <c r="C291" s="935"/>
      <c r="D291" s="1767"/>
      <c r="E291" s="1462" t="str">
        <f t="shared" si="12"/>
        <v>Supervisión de obra</v>
      </c>
      <c r="F291" s="1462"/>
      <c r="G291" s="1462"/>
      <c r="H291" s="1320">
        <f>P213</f>
        <v>0</v>
      </c>
      <c r="I291" s="1259"/>
      <c r="J291" s="1259"/>
      <c r="K291" s="1285"/>
      <c r="L291" s="1330">
        <f>H291*0.3</f>
        <v>0</v>
      </c>
      <c r="M291" s="1330">
        <f>H291*0.3</f>
        <v>0</v>
      </c>
      <c r="N291" s="1330">
        <f>H291*0.3</f>
        <v>0</v>
      </c>
      <c r="O291" s="1330">
        <f>H291*0.1</f>
        <v>0</v>
      </c>
      <c r="P291" s="1286"/>
      <c r="Q291" s="980"/>
      <c r="R291" s="934"/>
    </row>
    <row r="292" spans="3:18" s="933" customFormat="1" ht="22.5" customHeight="1" outlineLevel="2">
      <c r="C292" s="935"/>
      <c r="D292" s="1640" t="str">
        <f>+D273</f>
        <v xml:space="preserve">
EQUIPAMIENTO </v>
      </c>
      <c r="E292" s="1761" t="s">
        <v>1703</v>
      </c>
      <c r="F292" s="1761"/>
      <c r="G292" s="1761"/>
      <c r="H292" s="1324">
        <v>0</v>
      </c>
      <c r="I292" s="1258"/>
      <c r="J292" s="1258"/>
      <c r="K292" s="1633"/>
      <c r="L292" s="1634"/>
      <c r="M292" s="1634"/>
      <c r="N292" s="1634"/>
      <c r="O292" s="1634"/>
      <c r="P292" s="1635"/>
      <c r="Q292" s="980"/>
      <c r="R292" s="934"/>
    </row>
    <row r="293" spans="3:18" s="933" customFormat="1" ht="22.5" customHeight="1" outlineLevel="2">
      <c r="C293" s="935"/>
      <c r="D293" s="1641"/>
      <c r="E293" s="1402" t="str">
        <f>+E273</f>
        <v xml:space="preserve">Especificaciones técnicas </v>
      </c>
      <c r="F293" s="1401"/>
      <c r="G293" s="1401"/>
      <c r="H293" s="1370">
        <f>P215</f>
        <v>0</v>
      </c>
      <c r="I293" s="1362"/>
      <c r="J293" s="1362"/>
      <c r="K293" s="1372">
        <f>H293</f>
        <v>0</v>
      </c>
      <c r="L293" s="1242"/>
      <c r="M293" s="1242"/>
      <c r="N293" s="1242"/>
      <c r="O293" s="1242"/>
      <c r="P293" s="1243"/>
      <c r="Q293" s="980"/>
      <c r="R293" s="934"/>
    </row>
    <row r="294" spans="3:18" s="933" customFormat="1" ht="22.5" customHeight="1" outlineLevel="2">
      <c r="C294" s="935"/>
      <c r="D294" s="1641"/>
      <c r="E294" s="1402" t="str">
        <f t="shared" ref="E294:E300" si="13">E274</f>
        <v>Unidades de Activos: Mobiliario</v>
      </c>
      <c r="F294" s="1401"/>
      <c r="G294" s="1401"/>
      <c r="H294" s="1370">
        <f>P219</f>
        <v>0</v>
      </c>
      <c r="I294" s="1251"/>
      <c r="J294" s="1251"/>
      <c r="K294" s="1241"/>
      <c r="L294" s="1242"/>
      <c r="M294" s="1242"/>
      <c r="N294" s="1331">
        <f>H294*0.5</f>
        <v>0</v>
      </c>
      <c r="O294" s="1331">
        <f>H294*0.5</f>
        <v>0</v>
      </c>
      <c r="P294" s="1252"/>
      <c r="Q294" s="980"/>
      <c r="R294" s="934"/>
    </row>
    <row r="295" spans="3:18" s="933" customFormat="1" ht="22.5" customHeight="1" outlineLevel="2">
      <c r="C295" s="935"/>
      <c r="D295" s="1641"/>
      <c r="E295" s="1402" t="str">
        <f t="shared" si="13"/>
        <v xml:space="preserve">Unidades de Activos: Equipamiento Pedagógico </v>
      </c>
      <c r="F295" s="1401"/>
      <c r="G295" s="1401"/>
      <c r="H295" s="1370">
        <f>P230</f>
        <v>0</v>
      </c>
      <c r="I295" s="1251"/>
      <c r="J295" s="1251"/>
      <c r="K295" s="1241"/>
      <c r="L295" s="1242"/>
      <c r="M295" s="1242"/>
      <c r="N295" s="1331">
        <f t="shared" ref="N295:N296" si="14">H295*0.5</f>
        <v>0</v>
      </c>
      <c r="O295" s="1331">
        <f t="shared" ref="O295:O296" si="15">H295*0.5</f>
        <v>0</v>
      </c>
      <c r="P295" s="1252"/>
      <c r="Q295" s="980"/>
      <c r="R295" s="934"/>
    </row>
    <row r="296" spans="3:18" s="933" customFormat="1" ht="22.5" customHeight="1" outlineLevel="2" thickBot="1">
      <c r="C296" s="935"/>
      <c r="D296" s="1643"/>
      <c r="E296" s="1769" t="str">
        <f t="shared" si="13"/>
        <v>Monitor de calidad (mobiliario y equipos)</v>
      </c>
      <c r="F296" s="1770"/>
      <c r="G296" s="1770"/>
      <c r="H296" s="1325">
        <f>P239</f>
        <v>0</v>
      </c>
      <c r="I296" s="1229"/>
      <c r="J296" s="1229"/>
      <c r="K296" s="1287"/>
      <c r="L296" s="1288"/>
      <c r="M296" s="1289"/>
      <c r="N296" s="1332">
        <f t="shared" si="14"/>
        <v>0</v>
      </c>
      <c r="O296" s="1332">
        <f t="shared" si="15"/>
        <v>0</v>
      </c>
      <c r="P296" s="1253"/>
      <c r="Q296" s="980"/>
      <c r="R296" s="934"/>
    </row>
    <row r="297" spans="3:18" s="933" customFormat="1" ht="22.5" customHeight="1" outlineLevel="2">
      <c r="C297" s="935"/>
      <c r="D297" s="1660" t="str">
        <f>+D277</f>
        <v xml:space="preserve">
DESARROLLO  DE  CAPACIDADES</v>
      </c>
      <c r="E297" s="1636" t="str">
        <f t="shared" si="13"/>
        <v>Términos de Referencia</v>
      </c>
      <c r="F297" s="1637"/>
      <c r="G297" s="1637"/>
      <c r="H297" s="1326">
        <f>P241</f>
        <v>0</v>
      </c>
      <c r="I297" s="1276"/>
      <c r="J297" s="1276"/>
      <c r="K297" s="1277"/>
      <c r="L297" s="1278"/>
      <c r="M297" s="1279"/>
      <c r="N297" s="1279"/>
      <c r="O297" s="1333">
        <f>H297</f>
        <v>0</v>
      </c>
      <c r="P297" s="1267"/>
      <c r="Q297" s="980"/>
      <c r="R297" s="934"/>
    </row>
    <row r="298" spans="3:18" s="933" customFormat="1" ht="22.5" customHeight="1" outlineLevel="2" thickBot="1">
      <c r="C298" s="935"/>
      <c r="D298" s="1661"/>
      <c r="E298" s="1461" t="str">
        <f t="shared" si="13"/>
        <v>Unidades de Activos: Generación de capacidades</v>
      </c>
      <c r="F298" s="1462"/>
      <c r="G298" s="1462"/>
      <c r="H298" s="1320">
        <f>+P243</f>
        <v>0</v>
      </c>
      <c r="I298" s="1268"/>
      <c r="J298" s="1268"/>
      <c r="K298" s="1269"/>
      <c r="L298" s="1270"/>
      <c r="M298" s="1271"/>
      <c r="N298" s="1271"/>
      <c r="O298" s="1270"/>
      <c r="P298" s="1336">
        <f>+H298</f>
        <v>0</v>
      </c>
      <c r="Q298" s="980"/>
      <c r="R298" s="934"/>
    </row>
    <row r="299" spans="3:18" s="933" customFormat="1" ht="22.5" customHeight="1" outlineLevel="2">
      <c r="C299" s="935"/>
      <c r="D299" s="1640" t="str">
        <f>+D279</f>
        <v xml:space="preserve">
GESTIÓN  DE  LA  UPS</v>
      </c>
      <c r="E299" s="1647" t="str">
        <f t="shared" si="13"/>
        <v>Términos de Referencia</v>
      </c>
      <c r="F299" s="1648"/>
      <c r="G299" s="1648"/>
      <c r="H299" s="1327">
        <f>+P246</f>
        <v>0</v>
      </c>
      <c r="I299" s="1263"/>
      <c r="J299" s="1263"/>
      <c r="K299" s="1264"/>
      <c r="L299" s="1265"/>
      <c r="M299" s="1266"/>
      <c r="N299" s="1334">
        <f>+H299</f>
        <v>0</v>
      </c>
      <c r="O299" s="1290"/>
      <c r="P299" s="1291"/>
      <c r="Q299" s="980"/>
      <c r="R299" s="934"/>
    </row>
    <row r="300" spans="3:18" s="933" customFormat="1" ht="22.5" customHeight="1" outlineLevel="2">
      <c r="C300" s="935"/>
      <c r="D300" s="1641"/>
      <c r="E300" s="1402" t="str">
        <f t="shared" si="13"/>
        <v>Unidades de Activos: Herramientas de gestión</v>
      </c>
      <c r="F300" s="1401"/>
      <c r="G300" s="1401"/>
      <c r="H300" s="1370">
        <f>+P248</f>
        <v>0</v>
      </c>
      <c r="I300" s="1362"/>
      <c r="J300" s="1362"/>
      <c r="K300" s="1250"/>
      <c r="L300" s="1245"/>
      <c r="M300" s="1246"/>
      <c r="N300" s="1246"/>
      <c r="O300" s="1331">
        <f>+H300*O280</f>
        <v>0</v>
      </c>
      <c r="P300" s="1335">
        <f>+H300*P280</f>
        <v>0</v>
      </c>
      <c r="Q300" s="980"/>
      <c r="R300" s="934"/>
    </row>
    <row r="301" spans="3:18" s="933" customFormat="1" ht="12.75" customHeight="1" outlineLevel="2">
      <c r="C301" s="935"/>
      <c r="D301" s="1642" t="s">
        <v>262</v>
      </c>
      <c r="E301" s="1642"/>
      <c r="F301" s="1642"/>
      <c r="G301" s="1642"/>
      <c r="H301" s="1328">
        <f>SUM(H284:H300)</f>
        <v>0</v>
      </c>
      <c r="Q301" s="980"/>
      <c r="R301" s="934"/>
    </row>
    <row r="302" spans="3:18" s="933" customFormat="1" ht="12.75" customHeight="1" outlineLevel="2">
      <c r="C302" s="935"/>
      <c r="D302" s="1018"/>
      <c r="E302" s="963"/>
      <c r="F302" s="963"/>
      <c r="G302" s="963"/>
      <c r="H302" s="963"/>
      <c r="I302" s="963"/>
      <c r="J302" s="963"/>
      <c r="K302" s="963"/>
      <c r="L302" s="963"/>
      <c r="M302" s="1020"/>
      <c r="N302" s="963"/>
      <c r="O302" s="961"/>
      <c r="P302" s="961"/>
      <c r="Q302" s="980"/>
      <c r="R302" s="934"/>
    </row>
    <row r="303" spans="3:18" s="933" customFormat="1" ht="12.75" customHeight="1" outlineLevel="2">
      <c r="C303" s="935"/>
      <c r="D303" s="1018"/>
      <c r="E303" s="963"/>
      <c r="F303" s="963"/>
      <c r="G303" s="963"/>
      <c r="H303" s="963"/>
      <c r="I303" s="963"/>
      <c r="J303" s="963"/>
      <c r="K303" s="963"/>
      <c r="L303" s="963"/>
      <c r="M303" s="1020"/>
      <c r="N303" s="963"/>
      <c r="O303" s="961"/>
      <c r="P303" s="961"/>
      <c r="Q303" s="980"/>
      <c r="R303" s="934"/>
    </row>
    <row r="304" spans="3:18" s="933" customFormat="1" ht="12.75" customHeight="1" outlineLevel="2">
      <c r="C304" s="935"/>
      <c r="D304" s="1457" t="s">
        <v>1486</v>
      </c>
      <c r="E304" s="1457"/>
      <c r="F304" s="1457"/>
      <c r="G304" s="1457"/>
      <c r="H304" s="1457"/>
      <c r="I304" s="1457"/>
      <c r="J304" s="1457"/>
      <c r="K304" s="1457"/>
      <c r="L304" s="1457"/>
      <c r="M304" s="1457"/>
      <c r="N304" s="1457"/>
      <c r="O304" s="1457"/>
      <c r="P304" s="1457"/>
      <c r="Q304" s="980"/>
      <c r="R304" s="934"/>
    </row>
    <row r="305" spans="3:18" s="933" customFormat="1" ht="17.25" customHeight="1" outlineLevel="2">
      <c r="C305" s="935"/>
      <c r="D305" s="1732" t="s">
        <v>781</v>
      </c>
      <c r="E305" s="1732"/>
      <c r="F305" s="1732"/>
      <c r="G305" s="1731" t="s">
        <v>1688</v>
      </c>
      <c r="H305" s="1731"/>
      <c r="I305" s="1731"/>
      <c r="J305" s="1731"/>
      <c r="K305" s="1731"/>
      <c r="L305" s="1731"/>
      <c r="M305" s="1731"/>
      <c r="N305" s="1731"/>
      <c r="O305" s="1731"/>
      <c r="P305" s="1731"/>
      <c r="Q305" s="980"/>
      <c r="R305" s="934"/>
    </row>
    <row r="306" spans="3:18" s="933" customFormat="1" outlineLevel="2">
      <c r="C306" s="935"/>
      <c r="D306" s="1732"/>
      <c r="E306" s="1732"/>
      <c r="F306" s="1732"/>
      <c r="G306" s="1390" t="s">
        <v>3</v>
      </c>
      <c r="H306" s="1390" t="s">
        <v>4</v>
      </c>
      <c r="I306" s="1390" t="s">
        <v>14</v>
      </c>
      <c r="J306" s="1390" t="s">
        <v>23</v>
      </c>
      <c r="K306" s="1390" t="s">
        <v>24</v>
      </c>
      <c r="L306" s="1390" t="s">
        <v>25</v>
      </c>
      <c r="M306" s="1390" t="s">
        <v>26</v>
      </c>
      <c r="N306" s="1390" t="s">
        <v>27</v>
      </c>
      <c r="O306" s="1390" t="s">
        <v>28</v>
      </c>
      <c r="P306" s="1390" t="s">
        <v>5</v>
      </c>
      <c r="Q306" s="980"/>
      <c r="R306" s="934"/>
    </row>
    <row r="307" spans="3:18" s="1045" customFormat="1" ht="12" customHeight="1" outlineLevel="2">
      <c r="C307" s="1044"/>
      <c r="D307" s="1459" t="s">
        <v>782</v>
      </c>
      <c r="E307" s="2233" t="s">
        <v>783</v>
      </c>
      <c r="F307" s="2233"/>
      <c r="G307" s="2234">
        <f>SUM(G308:G311)</f>
        <v>0</v>
      </c>
      <c r="H307" s="2234">
        <f t="shared" ref="H307:O307" si="16">SUM(H308:H311)</f>
        <v>0</v>
      </c>
      <c r="I307" s="2234">
        <f t="shared" si="16"/>
        <v>0</v>
      </c>
      <c r="J307" s="2234">
        <f t="shared" si="16"/>
        <v>0</v>
      </c>
      <c r="K307" s="2234">
        <f t="shared" si="16"/>
        <v>0</v>
      </c>
      <c r="L307" s="2234">
        <f t="shared" si="16"/>
        <v>0</v>
      </c>
      <c r="M307" s="2234">
        <f t="shared" si="16"/>
        <v>0</v>
      </c>
      <c r="N307" s="2234">
        <f t="shared" si="16"/>
        <v>0</v>
      </c>
      <c r="O307" s="2234">
        <f t="shared" si="16"/>
        <v>0</v>
      </c>
      <c r="P307" s="2234">
        <f>SUM(P308:P311)</f>
        <v>0</v>
      </c>
      <c r="Q307" s="979"/>
      <c r="R307" s="1046"/>
    </row>
    <row r="308" spans="3:18" s="1045" customFormat="1" ht="12.75" customHeight="1" outlineLevel="2">
      <c r="C308" s="1044"/>
      <c r="D308" s="1459"/>
      <c r="E308" s="1677" t="s">
        <v>98</v>
      </c>
      <c r="F308" s="1677"/>
      <c r="G308" s="1230"/>
      <c r="H308" s="1230"/>
      <c r="I308" s="1230"/>
      <c r="J308" s="1230"/>
      <c r="K308" s="1230"/>
      <c r="L308" s="1230"/>
      <c r="M308" s="1230"/>
      <c r="N308" s="1230"/>
      <c r="O308" s="1230"/>
      <c r="P308" s="1230"/>
      <c r="Q308" s="979"/>
      <c r="R308" s="1046"/>
    </row>
    <row r="309" spans="3:18" s="1045" customFormat="1" ht="12.75" customHeight="1" outlineLevel="2">
      <c r="C309" s="1044"/>
      <c r="D309" s="1459"/>
      <c r="E309" s="1456" t="s">
        <v>99</v>
      </c>
      <c r="F309" s="1456"/>
      <c r="G309" s="1230"/>
      <c r="H309" s="1230"/>
      <c r="I309" s="1230"/>
      <c r="J309" s="1230"/>
      <c r="K309" s="1230"/>
      <c r="L309" s="1230"/>
      <c r="M309" s="1230"/>
      <c r="N309" s="1230"/>
      <c r="O309" s="1230"/>
      <c r="P309" s="1230"/>
      <c r="Q309" s="979"/>
      <c r="R309" s="1046"/>
    </row>
    <row r="310" spans="3:18" s="1045" customFormat="1" ht="12.75" customHeight="1" outlineLevel="2">
      <c r="C310" s="1044"/>
      <c r="D310" s="1459"/>
      <c r="E310" s="1456" t="s">
        <v>458</v>
      </c>
      <c r="F310" s="1456"/>
      <c r="G310" s="1230"/>
      <c r="H310" s="1230"/>
      <c r="I310" s="1230"/>
      <c r="J310" s="1230"/>
      <c r="K310" s="1230"/>
      <c r="L310" s="1230"/>
      <c r="M310" s="1230"/>
      <c r="N310" s="1230"/>
      <c r="O310" s="1230"/>
      <c r="P310" s="1230"/>
      <c r="Q310" s="979"/>
      <c r="R310" s="1046"/>
    </row>
    <row r="311" spans="3:18" s="1045" customFormat="1" ht="12.75" customHeight="1" outlineLevel="2">
      <c r="C311" s="1044"/>
      <c r="D311" s="1459"/>
      <c r="E311" s="1676" t="s">
        <v>22</v>
      </c>
      <c r="F311" s="1676"/>
      <c r="G311" s="1230"/>
      <c r="H311" s="1230"/>
      <c r="I311" s="1230"/>
      <c r="J311" s="1230"/>
      <c r="K311" s="1230"/>
      <c r="L311" s="1230"/>
      <c r="M311" s="1230"/>
      <c r="N311" s="1230"/>
      <c r="O311" s="1230"/>
      <c r="P311" s="1230"/>
      <c r="Q311" s="979"/>
      <c r="R311" s="1046"/>
    </row>
    <row r="312" spans="3:18" s="1045" customFormat="1" ht="12.75" customHeight="1" outlineLevel="2">
      <c r="C312" s="1044"/>
      <c r="D312" s="1459"/>
      <c r="E312" s="2233" t="s">
        <v>784</v>
      </c>
      <c r="F312" s="2233"/>
      <c r="G312" s="2234">
        <f>+G313</f>
        <v>0</v>
      </c>
      <c r="H312" s="2234">
        <f t="shared" ref="H312:P312" si="17">+H313</f>
        <v>0</v>
      </c>
      <c r="I312" s="2234">
        <f t="shared" si="17"/>
        <v>0</v>
      </c>
      <c r="J312" s="2234">
        <f t="shared" si="17"/>
        <v>0</v>
      </c>
      <c r="K312" s="2234">
        <f t="shared" si="17"/>
        <v>0</v>
      </c>
      <c r="L312" s="2234">
        <f t="shared" si="17"/>
        <v>0</v>
      </c>
      <c r="M312" s="2234">
        <f t="shared" si="17"/>
        <v>0</v>
      </c>
      <c r="N312" s="2234">
        <f t="shared" si="17"/>
        <v>0</v>
      </c>
      <c r="O312" s="2234">
        <f t="shared" si="17"/>
        <v>0</v>
      </c>
      <c r="P312" s="2234">
        <f t="shared" si="17"/>
        <v>0</v>
      </c>
      <c r="Q312" s="979"/>
      <c r="R312" s="1046"/>
    </row>
    <row r="313" spans="3:18" s="1045" customFormat="1" ht="12.75" customHeight="1" outlineLevel="2">
      <c r="C313" s="1044"/>
      <c r="D313" s="1459"/>
      <c r="E313" s="1460" t="s">
        <v>101</v>
      </c>
      <c r="F313" s="1460"/>
      <c r="G313" s="1231"/>
      <c r="H313" s="1231"/>
      <c r="I313" s="1231"/>
      <c r="J313" s="1231"/>
      <c r="K313" s="1231"/>
      <c r="L313" s="1231"/>
      <c r="M313" s="1231"/>
      <c r="N313" s="1231"/>
      <c r="O313" s="1231"/>
      <c r="P313" s="1231"/>
      <c r="Q313" s="979"/>
      <c r="R313" s="1046"/>
    </row>
    <row r="314" spans="3:18" s="1045" customFormat="1" ht="12" customHeight="1" outlineLevel="2">
      <c r="C314" s="1044"/>
      <c r="D314" s="1459" t="s">
        <v>785</v>
      </c>
      <c r="E314" s="2233" t="s">
        <v>783</v>
      </c>
      <c r="F314" s="2233"/>
      <c r="G314" s="2234">
        <f>SUM(G315:G318)</f>
        <v>0</v>
      </c>
      <c r="H314" s="2234">
        <f t="shared" ref="H314:P314" si="18">SUM(H315:H318)</f>
        <v>0</v>
      </c>
      <c r="I314" s="2234">
        <f t="shared" si="18"/>
        <v>0</v>
      </c>
      <c r="J314" s="2234">
        <f t="shared" si="18"/>
        <v>0</v>
      </c>
      <c r="K314" s="2234">
        <f t="shared" si="18"/>
        <v>0</v>
      </c>
      <c r="L314" s="2234">
        <f t="shared" si="18"/>
        <v>0</v>
      </c>
      <c r="M314" s="2234">
        <f t="shared" si="18"/>
        <v>0</v>
      </c>
      <c r="N314" s="2234">
        <f t="shared" si="18"/>
        <v>0</v>
      </c>
      <c r="O314" s="2234">
        <f t="shared" si="18"/>
        <v>0</v>
      </c>
      <c r="P314" s="2234">
        <f t="shared" si="18"/>
        <v>0</v>
      </c>
      <c r="Q314" s="979"/>
      <c r="R314" s="1046"/>
    </row>
    <row r="315" spans="3:18" s="1045" customFormat="1" ht="12.75" customHeight="1" outlineLevel="2">
      <c r="C315" s="1044"/>
      <c r="D315" s="1459"/>
      <c r="E315" s="1677" t="s">
        <v>98</v>
      </c>
      <c r="F315" s="1677"/>
      <c r="G315" s="1230"/>
      <c r="H315" s="1230"/>
      <c r="I315" s="1230"/>
      <c r="J315" s="1230"/>
      <c r="K315" s="1230"/>
      <c r="L315" s="1230"/>
      <c r="M315" s="1230"/>
      <c r="N315" s="1230"/>
      <c r="O315" s="1230"/>
      <c r="P315" s="1230"/>
      <c r="Q315" s="979"/>
      <c r="R315" s="1046"/>
    </row>
    <row r="316" spans="3:18" s="1045" customFormat="1" ht="12.75" customHeight="1" outlineLevel="2">
      <c r="C316" s="1044"/>
      <c r="D316" s="1459"/>
      <c r="E316" s="1456" t="s">
        <v>99</v>
      </c>
      <c r="F316" s="1456"/>
      <c r="G316" s="1230"/>
      <c r="H316" s="1230"/>
      <c r="I316" s="1230"/>
      <c r="J316" s="1230"/>
      <c r="K316" s="1230"/>
      <c r="L316" s="1230"/>
      <c r="M316" s="1230"/>
      <c r="N316" s="1230"/>
      <c r="O316" s="1230"/>
      <c r="P316" s="1230"/>
      <c r="Q316" s="979"/>
      <c r="R316" s="1046"/>
    </row>
    <row r="317" spans="3:18" s="1045" customFormat="1" ht="12.75" customHeight="1" outlineLevel="2">
      <c r="C317" s="1044"/>
      <c r="D317" s="1459"/>
      <c r="E317" s="1456" t="s">
        <v>458</v>
      </c>
      <c r="F317" s="1456"/>
      <c r="G317" s="1230"/>
      <c r="H317" s="1230"/>
      <c r="I317" s="1230"/>
      <c r="J317" s="1230"/>
      <c r="K317" s="1230"/>
      <c r="L317" s="1230"/>
      <c r="M317" s="1230"/>
      <c r="N317" s="1230"/>
      <c r="O317" s="1230"/>
      <c r="P317" s="1230"/>
      <c r="Q317" s="979"/>
      <c r="R317" s="1046"/>
    </row>
    <row r="318" spans="3:18" s="1045" customFormat="1" ht="12.75" customHeight="1" outlineLevel="2">
      <c r="C318" s="1044"/>
      <c r="D318" s="1459"/>
      <c r="E318" s="1676" t="s">
        <v>22</v>
      </c>
      <c r="F318" s="1676"/>
      <c r="G318" s="1230"/>
      <c r="H318" s="1230"/>
      <c r="I318" s="1230"/>
      <c r="J318" s="1230"/>
      <c r="K318" s="1230"/>
      <c r="L318" s="1230"/>
      <c r="M318" s="1230"/>
      <c r="N318" s="1230"/>
      <c r="O318" s="1230"/>
      <c r="P318" s="1230"/>
      <c r="Q318" s="979"/>
      <c r="R318" s="1046"/>
    </row>
    <row r="319" spans="3:18" s="1045" customFormat="1" ht="12.75" customHeight="1" outlineLevel="2">
      <c r="C319" s="1044"/>
      <c r="D319" s="1459"/>
      <c r="E319" s="2233" t="s">
        <v>784</v>
      </c>
      <c r="F319" s="2233"/>
      <c r="G319" s="2234">
        <f>+G320</f>
        <v>0</v>
      </c>
      <c r="H319" s="2234">
        <f t="shared" ref="H319:P319" si="19">+H320</f>
        <v>0</v>
      </c>
      <c r="I319" s="2234">
        <f t="shared" si="19"/>
        <v>0</v>
      </c>
      <c r="J319" s="2234">
        <f t="shared" si="19"/>
        <v>0</v>
      </c>
      <c r="K319" s="2234">
        <f t="shared" si="19"/>
        <v>0</v>
      </c>
      <c r="L319" s="2234">
        <f t="shared" si="19"/>
        <v>0</v>
      </c>
      <c r="M319" s="2234">
        <f t="shared" si="19"/>
        <v>0</v>
      </c>
      <c r="N319" s="2234">
        <f t="shared" si="19"/>
        <v>0</v>
      </c>
      <c r="O319" s="2234">
        <f t="shared" si="19"/>
        <v>0</v>
      </c>
      <c r="P319" s="2234">
        <f t="shared" si="19"/>
        <v>0</v>
      </c>
      <c r="Q319" s="979"/>
      <c r="R319" s="1046"/>
    </row>
    <row r="320" spans="3:18" s="1045" customFormat="1" ht="12.75" customHeight="1" outlineLevel="2">
      <c r="C320" s="1044"/>
      <c r="D320" s="1459"/>
      <c r="E320" s="1460" t="s">
        <v>101</v>
      </c>
      <c r="F320" s="1460"/>
      <c r="G320" s="1231"/>
      <c r="H320" s="1231"/>
      <c r="I320" s="1231"/>
      <c r="J320" s="1231"/>
      <c r="K320" s="1231"/>
      <c r="L320" s="1231"/>
      <c r="M320" s="1231"/>
      <c r="N320" s="1231"/>
      <c r="O320" s="1231"/>
      <c r="P320" s="1231"/>
      <c r="Q320" s="979"/>
      <c r="R320" s="1046"/>
    </row>
    <row r="321" spans="3:18" s="1045" customFormat="1" ht="13.5" customHeight="1" outlineLevel="2">
      <c r="C321" s="1044"/>
      <c r="D321" s="1459" t="s">
        <v>883</v>
      </c>
      <c r="E321" s="2233" t="s">
        <v>783</v>
      </c>
      <c r="F321" s="2233"/>
      <c r="G321" s="2234">
        <f>+G314-G307</f>
        <v>0</v>
      </c>
      <c r="H321" s="2234">
        <f t="shared" ref="H321:O321" si="20">+H314-H307</f>
        <v>0</v>
      </c>
      <c r="I321" s="2234">
        <f t="shared" si="20"/>
        <v>0</v>
      </c>
      <c r="J321" s="2234">
        <f t="shared" si="20"/>
        <v>0</v>
      </c>
      <c r="K321" s="2234">
        <f t="shared" si="20"/>
        <v>0</v>
      </c>
      <c r="L321" s="2234">
        <f t="shared" si="20"/>
        <v>0</v>
      </c>
      <c r="M321" s="2234">
        <f t="shared" si="20"/>
        <v>0</v>
      </c>
      <c r="N321" s="2234">
        <f t="shared" si="20"/>
        <v>0</v>
      </c>
      <c r="O321" s="2234">
        <f t="shared" si="20"/>
        <v>0</v>
      </c>
      <c r="P321" s="2234">
        <f>+P314-P307</f>
        <v>0</v>
      </c>
      <c r="Q321" s="979"/>
      <c r="R321" s="1046"/>
    </row>
    <row r="322" spans="3:18" s="1045" customFormat="1" ht="13.5" customHeight="1" outlineLevel="2">
      <c r="C322" s="1044"/>
      <c r="D322" s="1459"/>
      <c r="E322" s="2233" t="s">
        <v>784</v>
      </c>
      <c r="F322" s="2233"/>
      <c r="G322" s="2234">
        <f>+G319-G312</f>
        <v>0</v>
      </c>
      <c r="H322" s="2234">
        <f t="shared" ref="H322:P322" si="21">+H319-H312</f>
        <v>0</v>
      </c>
      <c r="I322" s="2234">
        <f t="shared" si="21"/>
        <v>0</v>
      </c>
      <c r="J322" s="2234">
        <f t="shared" si="21"/>
        <v>0</v>
      </c>
      <c r="K322" s="2234">
        <f t="shared" si="21"/>
        <v>0</v>
      </c>
      <c r="L322" s="2234">
        <f t="shared" si="21"/>
        <v>0</v>
      </c>
      <c r="M322" s="2234">
        <f t="shared" si="21"/>
        <v>0</v>
      </c>
      <c r="N322" s="2234">
        <f t="shared" si="21"/>
        <v>0</v>
      </c>
      <c r="O322" s="2234">
        <f t="shared" si="21"/>
        <v>0</v>
      </c>
      <c r="P322" s="2234">
        <f t="shared" si="21"/>
        <v>0</v>
      </c>
      <c r="Q322" s="979"/>
      <c r="R322" s="1046"/>
    </row>
    <row r="323" spans="3:18" s="1045" customFormat="1" ht="10.5" customHeight="1" outlineLevel="2">
      <c r="C323" s="1044"/>
      <c r="D323" s="1701" t="s">
        <v>1699</v>
      </c>
      <c r="E323" s="1701"/>
      <c r="F323" s="1701"/>
      <c r="G323" s="1367">
        <f>+G322+G321</f>
        <v>0</v>
      </c>
      <c r="H323" s="1367">
        <f t="shared" ref="H323:P323" si="22">+H322+H321</f>
        <v>0</v>
      </c>
      <c r="I323" s="1367">
        <f t="shared" si="22"/>
        <v>0</v>
      </c>
      <c r="J323" s="1367">
        <f t="shared" si="22"/>
        <v>0</v>
      </c>
      <c r="K323" s="1367">
        <f t="shared" si="22"/>
        <v>0</v>
      </c>
      <c r="L323" s="1367">
        <f t="shared" si="22"/>
        <v>0</v>
      </c>
      <c r="M323" s="1367">
        <f t="shared" si="22"/>
        <v>0</v>
      </c>
      <c r="N323" s="1367">
        <f t="shared" si="22"/>
        <v>0</v>
      </c>
      <c r="O323" s="1367">
        <f t="shared" si="22"/>
        <v>0</v>
      </c>
      <c r="P323" s="1367">
        <f t="shared" si="22"/>
        <v>0</v>
      </c>
      <c r="Q323" s="979"/>
      <c r="R323" s="1046"/>
    </row>
    <row r="324" spans="3:18" s="1045" customFormat="1" ht="12.75" customHeight="1" outlineLevel="2">
      <c r="C324" s="1044"/>
      <c r="D324" s="1701" t="s">
        <v>1700</v>
      </c>
      <c r="E324" s="1701"/>
      <c r="F324" s="1701"/>
      <c r="G324" s="1337">
        <f>+G323*$P$253</f>
        <v>0</v>
      </c>
      <c r="H324" s="1337">
        <f t="shared" ref="H324:P324" si="23">+H323*$P$253</f>
        <v>0</v>
      </c>
      <c r="I324" s="1337">
        <f t="shared" si="23"/>
        <v>0</v>
      </c>
      <c r="J324" s="1337">
        <f t="shared" si="23"/>
        <v>0</v>
      </c>
      <c r="K324" s="1337">
        <f t="shared" si="23"/>
        <v>0</v>
      </c>
      <c r="L324" s="1337">
        <f t="shared" si="23"/>
        <v>0</v>
      </c>
      <c r="M324" s="1337">
        <f t="shared" si="23"/>
        <v>0</v>
      </c>
      <c r="N324" s="1337">
        <f t="shared" si="23"/>
        <v>0</v>
      </c>
      <c r="O324" s="1337">
        <f t="shared" si="23"/>
        <v>0</v>
      </c>
      <c r="P324" s="1337">
        <f t="shared" si="23"/>
        <v>0</v>
      </c>
      <c r="Q324" s="979"/>
      <c r="R324" s="1046"/>
    </row>
    <row r="325" spans="3:18" s="1045" customFormat="1" ht="12.75" customHeight="1" outlineLevel="2">
      <c r="C325" s="1044"/>
      <c r="D325" s="1040"/>
      <c r="E325" s="1047"/>
      <c r="F325" s="1047"/>
      <c r="G325" s="1234"/>
      <c r="H325" s="1234"/>
      <c r="I325" s="1234"/>
      <c r="J325" s="1234"/>
      <c r="K325" s="1234"/>
      <c r="L325" s="1234"/>
      <c r="M325" s="1234"/>
      <c r="N325" s="1234"/>
      <c r="O325" s="1234"/>
      <c r="P325" s="1234"/>
      <c r="Q325" s="979"/>
      <c r="R325" s="1046"/>
    </row>
    <row r="326" spans="3:18" s="933" customFormat="1" ht="12.75" customHeight="1" outlineLevel="2">
      <c r="C326" s="935"/>
      <c r="D326" s="1018" t="s">
        <v>1487</v>
      </c>
      <c r="E326" s="963"/>
      <c r="F326" s="963"/>
      <c r="G326" s="963"/>
      <c r="H326" s="963"/>
      <c r="I326" s="1702">
        <f>IFERROR((P251/G143),0)</f>
        <v>0</v>
      </c>
      <c r="J326" s="1703"/>
      <c r="K326" s="963"/>
      <c r="L326" s="1295"/>
      <c r="M326" s="1020"/>
      <c r="N326" s="963"/>
      <c r="O326" s="961"/>
      <c r="P326" s="961"/>
      <c r="Q326" s="980"/>
      <c r="R326" s="934"/>
    </row>
    <row r="327" spans="3:18" s="1045" customFormat="1" ht="12.75" customHeight="1" outlineLevel="2">
      <c r="C327" s="1044"/>
      <c r="D327" s="1040"/>
      <c r="E327" s="1047"/>
      <c r="F327" s="1047"/>
      <c r="G327" s="1047"/>
      <c r="H327" s="1047"/>
      <c r="I327" s="1047"/>
      <c r="J327" s="1047"/>
      <c r="K327" s="1047"/>
      <c r="L327" s="1295"/>
      <c r="M327" s="1048"/>
      <c r="N327" s="1047"/>
      <c r="O327" s="984"/>
      <c r="P327" s="984"/>
      <c r="Q327" s="979"/>
      <c r="R327" s="1046"/>
    </row>
    <row r="328" spans="3:18" s="933" customFormat="1" ht="12.75" customHeight="1" outlineLevel="1">
      <c r="C328" s="935"/>
      <c r="D328" s="1018" t="s">
        <v>1488</v>
      </c>
      <c r="E328" s="963"/>
      <c r="F328" s="963"/>
      <c r="G328" s="963"/>
      <c r="H328" s="963"/>
      <c r="I328" s="963"/>
      <c r="J328" s="963"/>
      <c r="K328" s="963"/>
      <c r="L328" s="1295"/>
      <c r="M328" s="1020"/>
      <c r="N328" s="963"/>
      <c r="O328" s="961"/>
      <c r="P328" s="961"/>
      <c r="Q328" s="980"/>
      <c r="R328" s="934"/>
    </row>
    <row r="329" spans="3:18" s="1045" customFormat="1" ht="11.25" outlineLevel="2">
      <c r="C329" s="1044"/>
      <c r="D329" s="1040"/>
      <c r="E329" s="1047"/>
      <c r="F329" s="1047"/>
      <c r="G329" s="1047"/>
      <c r="H329" s="1047"/>
      <c r="I329" s="1047"/>
      <c r="J329" s="1047"/>
      <c r="K329" s="1047"/>
      <c r="L329" s="1047"/>
      <c r="M329" s="1048"/>
      <c r="N329" s="1047"/>
      <c r="O329" s="984"/>
      <c r="P329" s="984"/>
      <c r="Q329" s="979"/>
      <c r="R329" s="1046"/>
    </row>
    <row r="330" spans="3:18" s="933" customFormat="1" ht="12.75" customHeight="1" outlineLevel="2">
      <c r="C330" s="935"/>
      <c r="D330" s="1018" t="s">
        <v>1489</v>
      </c>
      <c r="E330" s="963"/>
      <c r="F330" s="963"/>
      <c r="G330" s="963"/>
      <c r="H330" s="963"/>
      <c r="I330" s="963"/>
      <c r="J330" s="963"/>
      <c r="K330" s="963"/>
      <c r="L330" s="963"/>
      <c r="M330" s="1020"/>
      <c r="N330" s="963"/>
      <c r="O330" s="961"/>
      <c r="P330" s="961"/>
      <c r="Q330" s="980"/>
      <c r="R330" s="934"/>
    </row>
    <row r="331" spans="3:18" s="1045" customFormat="1" ht="12.75" customHeight="1" outlineLevel="2">
      <c r="C331" s="1044"/>
      <c r="D331" s="1690" t="s">
        <v>1748</v>
      </c>
      <c r="E331" s="1691"/>
      <c r="F331" s="1691"/>
      <c r="G331" s="1691"/>
      <c r="H331" s="1691"/>
      <c r="I331" s="1691"/>
      <c r="J331" s="1691"/>
      <c r="K331" s="1691"/>
      <c r="L331" s="1691"/>
      <c r="M331" s="1691"/>
      <c r="N331" s="1691"/>
      <c r="O331" s="1691"/>
      <c r="P331" s="1692"/>
      <c r="Q331" s="979"/>
      <c r="R331" s="1046"/>
    </row>
    <row r="332" spans="3:18" s="1045" customFormat="1" ht="12.75" customHeight="1" outlineLevel="2">
      <c r="C332" s="1044"/>
      <c r="D332" s="1693"/>
      <c r="E332" s="1694"/>
      <c r="F332" s="1694"/>
      <c r="G332" s="1694"/>
      <c r="H332" s="1694"/>
      <c r="I332" s="1694"/>
      <c r="J332" s="1694"/>
      <c r="K332" s="1694"/>
      <c r="L332" s="1694"/>
      <c r="M332" s="1694"/>
      <c r="N332" s="1694"/>
      <c r="O332" s="1694"/>
      <c r="P332" s="1695"/>
      <c r="Q332" s="979"/>
      <c r="R332" s="1046"/>
    </row>
    <row r="333" spans="3:18" s="1045" customFormat="1" ht="12.75" customHeight="1" outlineLevel="2">
      <c r="C333" s="1044"/>
      <c r="D333" s="1693"/>
      <c r="E333" s="1694"/>
      <c r="F333" s="1694"/>
      <c r="G333" s="1694"/>
      <c r="H333" s="1694"/>
      <c r="I333" s="1694"/>
      <c r="J333" s="1694"/>
      <c r="K333" s="1694"/>
      <c r="L333" s="1694"/>
      <c r="M333" s="1694"/>
      <c r="N333" s="1694"/>
      <c r="O333" s="1694"/>
      <c r="P333" s="1695"/>
      <c r="Q333" s="979"/>
      <c r="R333" s="1046"/>
    </row>
    <row r="334" spans="3:18" s="1045" customFormat="1" ht="35.25" customHeight="1" outlineLevel="2">
      <c r="C334" s="1044"/>
      <c r="D334" s="1696"/>
      <c r="E334" s="1697"/>
      <c r="F334" s="1697"/>
      <c r="G334" s="1697"/>
      <c r="H334" s="1697"/>
      <c r="I334" s="1697"/>
      <c r="J334" s="1697"/>
      <c r="K334" s="1697"/>
      <c r="L334" s="1697"/>
      <c r="M334" s="1697"/>
      <c r="N334" s="1697"/>
      <c r="O334" s="1697"/>
      <c r="P334" s="1698"/>
      <c r="Q334" s="979"/>
      <c r="R334" s="1046"/>
    </row>
    <row r="335" spans="3:18" s="1045" customFormat="1" ht="12.75" customHeight="1" outlineLevel="2">
      <c r="C335" s="1044"/>
      <c r="D335" s="1040"/>
      <c r="E335" s="1047"/>
      <c r="F335" s="1047"/>
      <c r="G335" s="1047"/>
      <c r="H335" s="1047"/>
      <c r="I335" s="1047"/>
      <c r="J335" s="1047"/>
      <c r="K335" s="1047"/>
      <c r="L335" s="1047"/>
      <c r="M335" s="1048"/>
      <c r="N335" s="1047"/>
      <c r="O335" s="984"/>
      <c r="P335" s="984"/>
      <c r="Q335" s="979"/>
      <c r="R335" s="1046"/>
    </row>
    <row r="336" spans="3:18" s="933" customFormat="1" ht="12.75" customHeight="1" outlineLevel="2">
      <c r="C336" s="935"/>
      <c r="D336" s="1018" t="s">
        <v>1490</v>
      </c>
      <c r="E336" s="963"/>
      <c r="F336" s="963"/>
      <c r="G336" s="963"/>
      <c r="H336" s="963"/>
      <c r="I336" s="1699">
        <f>SUM(G143:P143)</f>
        <v>0</v>
      </c>
      <c r="J336" s="1700"/>
      <c r="K336" s="963"/>
      <c r="L336" s="963"/>
      <c r="M336" s="1020"/>
      <c r="N336" s="963"/>
      <c r="O336" s="961"/>
      <c r="P336" s="961"/>
      <c r="Q336" s="980"/>
      <c r="R336" s="934"/>
    </row>
    <row r="337" spans="3:18" s="1045" customFormat="1" ht="12.75" customHeight="1" outlineLevel="2">
      <c r="C337" s="1044"/>
      <c r="D337" s="1040"/>
      <c r="E337" s="1047"/>
      <c r="F337" s="1047"/>
      <c r="G337" s="1047"/>
      <c r="H337" s="1047"/>
      <c r="I337" s="1047"/>
      <c r="J337" s="1047"/>
      <c r="K337" s="1047"/>
      <c r="L337" s="1047"/>
      <c r="M337" s="1048"/>
      <c r="N337" s="1047"/>
      <c r="O337" s="984"/>
      <c r="P337" s="984"/>
      <c r="Q337" s="979"/>
      <c r="R337" s="1046"/>
    </row>
    <row r="338" spans="3:18" s="933" customFormat="1" ht="12.75" customHeight="1" outlineLevel="1">
      <c r="C338" s="935"/>
      <c r="D338" s="1018" t="s">
        <v>1491</v>
      </c>
      <c r="E338" s="963"/>
      <c r="F338" s="963"/>
      <c r="G338" s="963"/>
      <c r="H338" s="963"/>
      <c r="I338" s="963"/>
      <c r="J338" s="963"/>
      <c r="K338" s="963"/>
      <c r="L338" s="963"/>
      <c r="M338" s="1020"/>
      <c r="N338" s="963"/>
      <c r="O338" s="961"/>
      <c r="P338" s="961"/>
      <c r="Q338" s="980"/>
      <c r="R338" s="934"/>
    </row>
    <row r="339" spans="3:18" s="1045" customFormat="1" ht="9" customHeight="1" outlineLevel="2">
      <c r="C339" s="1044"/>
      <c r="D339" s="1040"/>
      <c r="E339" s="1047"/>
      <c r="F339" s="1047"/>
      <c r="G339" s="1047"/>
      <c r="H339" s="1047"/>
      <c r="I339" s="1047"/>
      <c r="J339" s="1047"/>
      <c r="K339" s="1047"/>
      <c r="L339" s="1047"/>
      <c r="M339" s="1048"/>
      <c r="N339" s="1047"/>
      <c r="O339" s="984"/>
      <c r="P339" s="984"/>
      <c r="Q339" s="979"/>
      <c r="R339" s="1046"/>
    </row>
    <row r="340" spans="3:18" s="1045" customFormat="1" ht="15" customHeight="1" outlineLevel="2">
      <c r="C340" s="1044"/>
      <c r="D340" s="1466" t="s">
        <v>786</v>
      </c>
      <c r="E340" s="1467"/>
      <c r="F340" s="1447" t="s">
        <v>1714</v>
      </c>
      <c r="G340" s="1447"/>
      <c r="H340" s="1447"/>
      <c r="I340" s="1237" t="s">
        <v>1705</v>
      </c>
      <c r="J340" s="1046"/>
      <c r="K340" s="1046"/>
      <c r="L340" s="1232" t="s">
        <v>1698</v>
      </c>
      <c r="M340" s="1313">
        <v>0.08</v>
      </c>
      <c r="N340" s="1047"/>
      <c r="O340" s="984"/>
      <c r="P340" s="984"/>
      <c r="Q340" s="979"/>
      <c r="R340" s="1046"/>
    </row>
    <row r="341" spans="3:18" s="1045" customFormat="1" ht="17.25" customHeight="1" outlineLevel="2">
      <c r="C341" s="1044"/>
      <c r="D341" s="1409" t="s">
        <v>1804</v>
      </c>
      <c r="E341" s="1410"/>
      <c r="F341" s="1418" t="s">
        <v>787</v>
      </c>
      <c r="G341" s="1418"/>
      <c r="H341" s="1418"/>
      <c r="I341" s="1340">
        <f>NPV(M340, G324:P324)+P255</f>
        <v>0</v>
      </c>
      <c r="J341" s="1046"/>
      <c r="K341" s="1235"/>
      <c r="L341" s="1046"/>
      <c r="M341" s="1048"/>
      <c r="N341" s="1047"/>
      <c r="O341" s="984"/>
      <c r="P341" s="984"/>
      <c r="Q341" s="979"/>
      <c r="R341" s="1046"/>
    </row>
    <row r="342" spans="3:18" s="1045" customFormat="1" ht="17.25" customHeight="1" outlineLevel="2">
      <c r="C342" s="1044"/>
      <c r="D342" s="1411"/>
      <c r="E342" s="1412"/>
      <c r="F342" s="1415" t="s">
        <v>788</v>
      </c>
      <c r="G342" s="1416"/>
      <c r="H342" s="1417"/>
      <c r="I342" s="1340">
        <f>IFERROR((P255/(MAX(G143:P143))),0)</f>
        <v>0</v>
      </c>
      <c r="J342" s="1046"/>
      <c r="K342" s="1046"/>
      <c r="L342" s="1046"/>
      <c r="M342" s="1048"/>
      <c r="N342" s="1047"/>
      <c r="O342" s="984"/>
      <c r="P342" s="984"/>
      <c r="Q342" s="979"/>
      <c r="R342" s="1046"/>
    </row>
    <row r="343" spans="3:18" s="1045" customFormat="1" ht="17.25" customHeight="1" outlineLevel="2">
      <c r="C343" s="1044"/>
      <c r="D343" s="1413"/>
      <c r="E343" s="1414"/>
      <c r="F343" s="1418" t="s">
        <v>789</v>
      </c>
      <c r="G343" s="1418"/>
      <c r="H343" s="1418"/>
      <c r="I343" s="1340">
        <f>IFERROR((I341/I336), 0)</f>
        <v>0</v>
      </c>
      <c r="J343" s="1046"/>
      <c r="K343" s="1046"/>
      <c r="L343" s="1046"/>
      <c r="M343" s="1048"/>
      <c r="N343" s="1047"/>
      <c r="O343" s="984"/>
      <c r="P343" s="984"/>
      <c r="Q343" s="979"/>
      <c r="R343" s="1046"/>
    </row>
    <row r="344" spans="3:18" s="1045" customFormat="1" ht="12.75" customHeight="1" outlineLevel="2">
      <c r="C344" s="1044"/>
      <c r="D344" s="1049" t="s">
        <v>790</v>
      </c>
      <c r="E344" s="1049"/>
      <c r="F344" s="1049"/>
      <c r="G344" s="1049"/>
      <c r="H344" s="1049"/>
      <c r="I344" s="1047"/>
      <c r="L344" s="1047"/>
      <c r="M344" s="1048"/>
      <c r="N344" s="1047"/>
      <c r="O344" s="984"/>
      <c r="P344" s="984"/>
      <c r="Q344" s="979"/>
      <c r="R344" s="1046"/>
    </row>
    <row r="345" spans="3:18" s="1045" customFormat="1" ht="12.75" customHeight="1" outlineLevel="2">
      <c r="C345" s="1044"/>
      <c r="D345" s="1040"/>
      <c r="E345" s="1047"/>
      <c r="F345" s="1047"/>
      <c r="G345" s="1047"/>
      <c r="H345" s="1047"/>
      <c r="I345" s="1047"/>
      <c r="J345" s="1047"/>
      <c r="K345" s="1047"/>
      <c r="L345" s="1047"/>
      <c r="M345" s="1048"/>
      <c r="N345" s="1047"/>
      <c r="O345" s="984"/>
      <c r="P345" s="984"/>
      <c r="Q345" s="979"/>
      <c r="R345" s="1046"/>
    </row>
    <row r="346" spans="3:18" s="933" customFormat="1" ht="12.75" customHeight="1" outlineLevel="1">
      <c r="C346" s="935"/>
      <c r="D346" s="1018" t="s">
        <v>1492</v>
      </c>
      <c r="E346" s="963"/>
      <c r="F346" s="963"/>
      <c r="G346" s="963"/>
      <c r="H346" s="963"/>
      <c r="I346" s="963"/>
      <c r="J346" s="963"/>
      <c r="K346" s="963"/>
      <c r="L346" s="963"/>
      <c r="M346" s="1020"/>
      <c r="N346" s="963"/>
      <c r="O346" s="961"/>
      <c r="P346" s="961"/>
      <c r="Q346" s="980"/>
      <c r="R346" s="934"/>
    </row>
    <row r="347" spans="3:18" s="933" customFormat="1" outlineLevel="2">
      <c r="C347" s="935"/>
      <c r="D347" s="1018"/>
      <c r="E347" s="963"/>
      <c r="F347" s="963"/>
      <c r="G347" s="963"/>
      <c r="H347" s="963"/>
      <c r="I347" s="963"/>
      <c r="J347" s="963"/>
      <c r="K347" s="963"/>
      <c r="L347" s="963"/>
      <c r="M347" s="1020"/>
      <c r="N347" s="963"/>
      <c r="O347" s="961"/>
      <c r="P347" s="961"/>
      <c r="Q347" s="980"/>
      <c r="R347" s="934"/>
    </row>
    <row r="348" spans="3:18" ht="24" customHeight="1" outlineLevel="2">
      <c r="C348" s="1011"/>
      <c r="D348" s="1394" t="s">
        <v>1718</v>
      </c>
      <c r="E348" s="1394"/>
      <c r="F348" s="1394"/>
      <c r="G348" s="1394" t="s">
        <v>6</v>
      </c>
      <c r="H348" s="1394"/>
      <c r="I348" s="1394"/>
      <c r="J348" s="1394" t="s">
        <v>1712</v>
      </c>
      <c r="K348" s="1394"/>
      <c r="L348" s="1394"/>
      <c r="M348" s="1394"/>
      <c r="N348" s="1394"/>
      <c r="O348" s="1436" t="s">
        <v>1713</v>
      </c>
      <c r="P348" s="1437"/>
      <c r="Q348" s="980"/>
      <c r="R348" s="1043"/>
    </row>
    <row r="349" spans="3:18" ht="12.75" customHeight="1" outlineLevel="2">
      <c r="C349" s="1011"/>
      <c r="D349" s="1438" t="s">
        <v>1711</v>
      </c>
      <c r="E349" s="1438"/>
      <c r="F349" s="1438"/>
      <c r="G349" s="1438" t="s">
        <v>1370</v>
      </c>
      <c r="H349" s="1438"/>
      <c r="I349" s="1438"/>
      <c r="J349" s="1450" t="s">
        <v>1805</v>
      </c>
      <c r="K349" s="1450"/>
      <c r="L349" s="1450"/>
      <c r="M349" s="1450"/>
      <c r="N349" s="1450"/>
      <c r="O349" s="1463" t="s">
        <v>910</v>
      </c>
      <c r="P349" s="1463"/>
      <c r="Q349" s="980"/>
      <c r="R349" s="1043"/>
    </row>
    <row r="350" spans="3:18" outlineLevel="2">
      <c r="C350" s="1011"/>
      <c r="D350" s="1439"/>
      <c r="E350" s="1439"/>
      <c r="F350" s="1439"/>
      <c r="G350" s="1448"/>
      <c r="H350" s="1448"/>
      <c r="I350" s="1448"/>
      <c r="J350" s="1439"/>
      <c r="K350" s="1439"/>
      <c r="L350" s="1439"/>
      <c r="M350" s="1439"/>
      <c r="N350" s="1439"/>
      <c r="O350" s="1464"/>
      <c r="P350" s="1465"/>
      <c r="Q350" s="980"/>
      <c r="R350" s="1043"/>
    </row>
    <row r="351" spans="3:18" outlineLevel="2">
      <c r="C351" s="1011"/>
      <c r="D351" s="1440"/>
      <c r="E351" s="1440"/>
      <c r="F351" s="1440"/>
      <c r="G351" s="1449"/>
      <c r="H351" s="1449"/>
      <c r="I351" s="1449"/>
      <c r="J351" s="1440"/>
      <c r="K351" s="1440"/>
      <c r="L351" s="1440"/>
      <c r="M351" s="1440"/>
      <c r="N351" s="1440"/>
      <c r="O351" s="1392"/>
      <c r="P351" s="1393"/>
      <c r="Q351" s="980"/>
      <c r="R351" s="1043"/>
    </row>
    <row r="352" spans="3:18" outlineLevel="2">
      <c r="C352" s="1011"/>
      <c r="D352" s="1440"/>
      <c r="E352" s="1440"/>
      <c r="F352" s="1440"/>
      <c r="G352" s="1449"/>
      <c r="H352" s="1449"/>
      <c r="I352" s="1449"/>
      <c r="J352" s="1440"/>
      <c r="K352" s="1440"/>
      <c r="L352" s="1440"/>
      <c r="M352" s="1440"/>
      <c r="N352" s="1440"/>
      <c r="O352" s="1392"/>
      <c r="P352" s="1393"/>
      <c r="Q352" s="980"/>
      <c r="R352" s="1043"/>
    </row>
    <row r="353" spans="3:18" outlineLevel="2">
      <c r="C353" s="1011"/>
      <c r="D353" s="1440"/>
      <c r="E353" s="1440"/>
      <c r="F353" s="1440"/>
      <c r="G353" s="1449"/>
      <c r="H353" s="1449"/>
      <c r="I353" s="1449"/>
      <c r="J353" s="1440"/>
      <c r="K353" s="1440"/>
      <c r="L353" s="1440"/>
      <c r="M353" s="1440"/>
      <c r="N353" s="1440"/>
      <c r="O353" s="1392"/>
      <c r="P353" s="1393"/>
      <c r="Q353" s="980"/>
      <c r="R353" s="1043"/>
    </row>
    <row r="354" spans="3:18" outlineLevel="2">
      <c r="C354" s="1011"/>
      <c r="D354" s="1049" t="s">
        <v>1719</v>
      </c>
      <c r="E354" s="1051"/>
      <c r="F354" s="1008"/>
      <c r="G354" s="1051"/>
      <c r="H354" s="1051"/>
      <c r="I354" s="1051"/>
      <c r="J354" s="1051"/>
      <c r="K354" s="1051"/>
      <c r="L354" s="1051"/>
      <c r="M354" s="1052"/>
      <c r="N354" s="1051"/>
      <c r="O354" s="1051"/>
      <c r="P354" s="994"/>
      <c r="Q354" s="980"/>
      <c r="R354" s="1043"/>
    </row>
    <row r="355" spans="3:18" outlineLevel="2">
      <c r="C355" s="1011"/>
      <c r="D355" s="968"/>
      <c r="E355" s="994"/>
      <c r="F355" s="969"/>
      <c r="G355" s="994"/>
      <c r="H355" s="994"/>
      <c r="I355" s="994"/>
      <c r="J355" s="994"/>
      <c r="K355" s="994"/>
      <c r="L355" s="994"/>
      <c r="M355" s="1050"/>
      <c r="N355" s="994"/>
      <c r="O355" s="994"/>
      <c r="P355" s="994"/>
      <c r="Q355" s="980"/>
      <c r="R355" s="1043"/>
    </row>
    <row r="356" spans="3:18" ht="17.25" customHeight="1" outlineLevel="2">
      <c r="C356" s="1011"/>
      <c r="D356" s="968" t="s">
        <v>1809</v>
      </c>
      <c r="E356" s="994"/>
      <c r="F356" s="969"/>
      <c r="G356" s="994"/>
      <c r="H356" s="994"/>
      <c r="I356" s="994"/>
      <c r="J356" s="994"/>
      <c r="K356" s="994"/>
      <c r="L356" s="994"/>
      <c r="M356" s="1050"/>
      <c r="N356" s="994"/>
      <c r="O356" s="994"/>
      <c r="P356" s="994"/>
      <c r="Q356" s="980"/>
      <c r="R356" s="1043"/>
    </row>
    <row r="357" spans="3:18" ht="15" outlineLevel="3">
      <c r="C357" s="1011"/>
      <c r="D357" s="1051"/>
      <c r="E357" s="1300" t="s">
        <v>1493</v>
      </c>
      <c r="F357" s="1254"/>
      <c r="G357" s="1300" t="s">
        <v>134</v>
      </c>
      <c r="H357" s="1122"/>
      <c r="I357" s="1051"/>
      <c r="J357" s="1051"/>
      <c r="K357" s="1051"/>
      <c r="L357" s="1051"/>
      <c r="M357" s="1052"/>
      <c r="N357" s="1051"/>
      <c r="O357" s="1051"/>
      <c r="P357" s="994"/>
      <c r="Q357" s="980"/>
      <c r="R357" s="1043"/>
    </row>
    <row r="358" spans="3:18" outlineLevel="3">
      <c r="C358" s="1011"/>
      <c r="D358" s="1051"/>
      <c r="E358" s="1051"/>
      <c r="F358" s="958"/>
      <c r="G358" s="1051"/>
      <c r="H358" s="1051"/>
      <c r="I358" s="1051"/>
      <c r="J358" s="1051"/>
      <c r="K358" s="1051"/>
      <c r="L358" s="1051"/>
      <c r="M358" s="1052"/>
      <c r="N358" s="1051"/>
      <c r="O358" s="1051"/>
      <c r="P358" s="994"/>
      <c r="Q358" s="980"/>
      <c r="R358" s="1043"/>
    </row>
    <row r="359" spans="3:18" ht="18" customHeight="1" outlineLevel="3">
      <c r="C359" s="1011"/>
      <c r="D359" s="1433" t="s">
        <v>1494</v>
      </c>
      <c r="E359" s="1434"/>
      <c r="F359" s="1434"/>
      <c r="G359" s="1434"/>
      <c r="H359" s="1434"/>
      <c r="I359" s="1434"/>
      <c r="J359" s="1434"/>
      <c r="K359" s="1434"/>
      <c r="L359" s="1434"/>
      <c r="M359" s="1434"/>
      <c r="N359" s="1434"/>
      <c r="O359" s="1434"/>
      <c r="P359" s="1435"/>
      <c r="Q359" s="980"/>
      <c r="R359" s="1043"/>
    </row>
    <row r="360" spans="3:18" outlineLevel="3">
      <c r="C360" s="1011"/>
      <c r="D360" s="1351" t="s">
        <v>1495</v>
      </c>
      <c r="E360" s="1395"/>
      <c r="F360" s="1396"/>
      <c r="G360" s="1396"/>
      <c r="H360" s="1396"/>
      <c r="I360" s="1396"/>
      <c r="J360" s="1396"/>
      <c r="K360" s="1396"/>
      <c r="L360" s="1396"/>
      <c r="M360" s="1396"/>
      <c r="N360" s="1396"/>
      <c r="O360" s="1396"/>
      <c r="P360" s="1397"/>
      <c r="Q360" s="980"/>
      <c r="R360" s="1043"/>
    </row>
    <row r="361" spans="3:18" outlineLevel="3">
      <c r="C361" s="1011"/>
      <c r="D361" s="1351" t="s">
        <v>1496</v>
      </c>
      <c r="E361" s="1398"/>
      <c r="F361" s="1399"/>
      <c r="G361" s="1399"/>
      <c r="H361" s="1399"/>
      <c r="I361" s="1399"/>
      <c r="J361" s="1399"/>
      <c r="K361" s="1399"/>
      <c r="L361" s="1399"/>
      <c r="M361" s="1399"/>
      <c r="N361" s="1399"/>
      <c r="O361" s="1399"/>
      <c r="P361" s="1400"/>
      <c r="Q361" s="980"/>
      <c r="R361" s="1043"/>
    </row>
    <row r="362" spans="3:18" outlineLevel="3">
      <c r="C362" s="1011"/>
      <c r="D362" s="1351" t="s">
        <v>1497</v>
      </c>
      <c r="E362" s="1398"/>
      <c r="F362" s="1399"/>
      <c r="G362" s="1399"/>
      <c r="H362" s="1399"/>
      <c r="I362" s="1399"/>
      <c r="J362" s="1399"/>
      <c r="K362" s="1399"/>
      <c r="L362" s="1399"/>
      <c r="M362" s="1399"/>
      <c r="N362" s="1399"/>
      <c r="O362" s="1399"/>
      <c r="P362" s="1400"/>
      <c r="Q362" s="980"/>
      <c r="R362" s="1043"/>
    </row>
    <row r="363" spans="3:18" outlineLevel="3">
      <c r="C363" s="1011"/>
      <c r="D363" s="1351" t="s">
        <v>1498</v>
      </c>
      <c r="E363" s="1398"/>
      <c r="F363" s="1399"/>
      <c r="G363" s="1399"/>
      <c r="H363" s="1399"/>
      <c r="I363" s="1399"/>
      <c r="J363" s="1399"/>
      <c r="K363" s="1399"/>
      <c r="L363" s="1399"/>
      <c r="M363" s="1399"/>
      <c r="N363" s="1399"/>
      <c r="O363" s="1399"/>
      <c r="P363" s="1400"/>
      <c r="Q363" s="980"/>
      <c r="R363" s="1043"/>
    </row>
    <row r="364" spans="3:18" outlineLevel="3">
      <c r="C364" s="1011"/>
      <c r="D364" s="968"/>
      <c r="E364" s="994"/>
      <c r="F364" s="969"/>
      <c r="G364" s="994"/>
      <c r="H364" s="994"/>
      <c r="I364" s="994"/>
      <c r="J364" s="994"/>
      <c r="K364" s="994"/>
      <c r="L364" s="994"/>
      <c r="M364" s="1050"/>
      <c r="N364" s="994"/>
      <c r="O364" s="994"/>
      <c r="P364" s="994"/>
      <c r="Q364" s="980"/>
      <c r="R364" s="1043"/>
    </row>
    <row r="365" spans="3:18" outlineLevel="2">
      <c r="C365" s="1011"/>
      <c r="D365" s="968"/>
      <c r="E365" s="994"/>
      <c r="F365" s="969"/>
      <c r="G365" s="994"/>
      <c r="H365" s="994"/>
      <c r="I365" s="994"/>
      <c r="J365" s="994"/>
      <c r="K365" s="994"/>
      <c r="L365" s="994"/>
      <c r="M365" s="1050"/>
      <c r="N365" s="994"/>
      <c r="O365" s="994"/>
      <c r="P365" s="994"/>
      <c r="Q365" s="980"/>
      <c r="R365" s="1043"/>
    </row>
    <row r="366" spans="3:18" ht="12.75" customHeight="1" outlineLevel="1">
      <c r="C366" s="935"/>
      <c r="D366" s="1018" t="s">
        <v>1499</v>
      </c>
      <c r="E366" s="963"/>
      <c r="F366" s="963"/>
      <c r="G366" s="963"/>
      <c r="H366" s="963"/>
      <c r="I366" s="963"/>
      <c r="J366" s="963"/>
      <c r="K366" s="963"/>
      <c r="L366" s="963"/>
      <c r="M366" s="1020"/>
      <c r="N366" s="963"/>
      <c r="O366" s="961"/>
      <c r="P366" s="961"/>
      <c r="Q366" s="980"/>
    </row>
    <row r="367" spans="3:18" ht="12.75" customHeight="1" outlineLevel="2">
      <c r="C367" s="935"/>
      <c r="D367" s="1053"/>
      <c r="E367" s="1047"/>
      <c r="F367" s="1047"/>
      <c r="G367" s="1047"/>
      <c r="H367" s="1047"/>
      <c r="I367" s="1047"/>
      <c r="J367" s="1047"/>
      <c r="K367" s="963"/>
      <c r="L367" s="963"/>
      <c r="M367" s="1020"/>
      <c r="N367" s="963"/>
      <c r="O367" s="961"/>
      <c r="P367" s="961"/>
      <c r="Q367" s="980"/>
    </row>
    <row r="368" spans="3:18" ht="18" customHeight="1" outlineLevel="2">
      <c r="C368" s="1011"/>
      <c r="D368" s="1054" t="s">
        <v>1771</v>
      </c>
      <c r="E368" s="1055"/>
      <c r="F368" s="1055"/>
      <c r="G368" s="1448"/>
      <c r="H368" s="1448"/>
      <c r="I368" s="1448"/>
      <c r="J368" s="1448"/>
      <c r="K368" s="994"/>
      <c r="L368" s="994"/>
      <c r="M368" s="1050"/>
      <c r="N368" s="994"/>
      <c r="O368" s="994"/>
      <c r="P368" s="994"/>
      <c r="Q368" s="980"/>
      <c r="R368" s="1043"/>
    </row>
    <row r="369" spans="3:18" ht="12.75" customHeight="1" outlineLevel="2">
      <c r="C369" s="935"/>
      <c r="D369" s="1053"/>
      <c r="E369" s="1047"/>
      <c r="F369" s="1047"/>
      <c r="G369" s="1047"/>
      <c r="H369" s="1047"/>
      <c r="I369" s="1047"/>
      <c r="J369" s="1047"/>
      <c r="K369" s="963"/>
      <c r="L369" s="963"/>
      <c r="M369" s="1020"/>
      <c r="N369" s="963"/>
      <c r="O369" s="961"/>
      <c r="P369" s="961"/>
      <c r="Q369" s="980"/>
    </row>
    <row r="370" spans="3:18" ht="18" customHeight="1" outlineLevel="2">
      <c r="C370" s="1011"/>
      <c r="D370" s="1054" t="s">
        <v>792</v>
      </c>
      <c r="E370" s="1055"/>
      <c r="F370" s="1055"/>
      <c r="G370" s="1439"/>
      <c r="H370" s="1439"/>
      <c r="I370" s="1439"/>
      <c r="J370" s="1439"/>
      <c r="K370" s="994"/>
      <c r="L370" s="994"/>
      <c r="M370" s="1050"/>
      <c r="N370" s="994"/>
      <c r="O370" s="994"/>
      <c r="P370" s="994"/>
      <c r="Q370" s="980"/>
      <c r="R370" s="1043"/>
    </row>
    <row r="371" spans="3:18" outlineLevel="2">
      <c r="C371" s="1011"/>
      <c r="D371" s="1056"/>
      <c r="E371" s="1057"/>
      <c r="F371" s="1057"/>
      <c r="G371" s="1058"/>
      <c r="H371" s="1058"/>
      <c r="I371" s="1058"/>
      <c r="J371" s="1051"/>
      <c r="K371" s="994"/>
      <c r="L371" s="994"/>
      <c r="M371" s="1050"/>
      <c r="N371" s="994"/>
      <c r="O371" s="994"/>
      <c r="P371" s="994"/>
      <c r="Q371" s="980"/>
      <c r="R371" s="1043"/>
    </row>
    <row r="372" spans="3:18" outlineLevel="2">
      <c r="C372" s="1011"/>
      <c r="D372" s="961"/>
      <c r="E372" s="1355"/>
      <c r="F372" s="1004"/>
      <c r="G372" s="1004"/>
      <c r="H372" s="1004"/>
      <c r="I372" s="1004"/>
      <c r="J372" s="1004"/>
      <c r="K372" s="1004"/>
      <c r="L372" s="1004"/>
      <c r="M372" s="1059"/>
      <c r="N372" s="961"/>
      <c r="O372" s="969"/>
      <c r="P372" s="969"/>
      <c r="Q372" s="980"/>
      <c r="R372" s="1043"/>
    </row>
    <row r="373" spans="3:18" outlineLevel="1">
      <c r="C373" s="1011"/>
      <c r="D373" s="945" t="s">
        <v>1500</v>
      </c>
      <c r="E373" s="1060"/>
      <c r="F373" s="969"/>
      <c r="G373" s="961"/>
      <c r="H373" s="961"/>
      <c r="I373" s="961"/>
      <c r="J373" s="961"/>
      <c r="K373" s="961"/>
      <c r="L373" s="961"/>
      <c r="M373" s="1002"/>
      <c r="N373" s="961"/>
      <c r="O373" s="969"/>
      <c r="P373" s="969"/>
      <c r="Q373" s="980"/>
      <c r="R373" s="1043"/>
    </row>
    <row r="374" spans="3:18" ht="21.75" customHeight="1" outlineLevel="2">
      <c r="C374" s="1011"/>
      <c r="D374" s="1394" t="s">
        <v>881</v>
      </c>
      <c r="E374" s="1394"/>
      <c r="F374" s="1394"/>
      <c r="G374" s="1394"/>
      <c r="H374" s="1436" t="s">
        <v>880</v>
      </c>
      <c r="I374" s="1486"/>
      <c r="J374" s="1486"/>
      <c r="K374" s="1486"/>
      <c r="L374" s="1437"/>
      <c r="M374" s="1475" t="s">
        <v>1749</v>
      </c>
      <c r="N374" s="1476"/>
      <c r="O374" s="969"/>
      <c r="P374" s="969"/>
      <c r="Q374" s="980"/>
      <c r="R374" s="1043"/>
    </row>
    <row r="375" spans="3:18" ht="21" customHeight="1" outlineLevel="2">
      <c r="C375" s="1011"/>
      <c r="D375" s="1495"/>
      <c r="E375" s="1495"/>
      <c r="F375" s="1495"/>
      <c r="G375" s="1495"/>
      <c r="H375" s="1528"/>
      <c r="I375" s="1529"/>
      <c r="J375" s="1529"/>
      <c r="K375" s="1529"/>
      <c r="L375" s="1530"/>
      <c r="M375" s="1451"/>
      <c r="N375" s="1452"/>
      <c r="O375" s="969"/>
      <c r="P375" s="969"/>
      <c r="Q375" s="980"/>
      <c r="R375" s="1043"/>
    </row>
    <row r="376" spans="3:18" ht="21" customHeight="1" outlineLevel="2">
      <c r="C376" s="1011"/>
      <c r="D376" s="1495"/>
      <c r="E376" s="1495"/>
      <c r="F376" s="1495"/>
      <c r="G376" s="1495"/>
      <c r="H376" s="1528"/>
      <c r="I376" s="1529"/>
      <c r="J376" s="1529"/>
      <c r="K376" s="1529"/>
      <c r="L376" s="1530"/>
      <c r="M376" s="1451"/>
      <c r="N376" s="1452"/>
      <c r="O376" s="969"/>
      <c r="P376" s="969"/>
      <c r="Q376" s="980"/>
      <c r="R376" s="1043"/>
    </row>
    <row r="377" spans="3:18" ht="21" customHeight="1" outlineLevel="2">
      <c r="C377" s="1011"/>
      <c r="D377" s="1477"/>
      <c r="E377" s="1477"/>
      <c r="F377" s="1477"/>
      <c r="G377" s="1477"/>
      <c r="H377" s="1478"/>
      <c r="I377" s="1479"/>
      <c r="J377" s="1479"/>
      <c r="K377" s="1479"/>
      <c r="L377" s="1480"/>
      <c r="M377" s="1481"/>
      <c r="N377" s="1482"/>
      <c r="O377" s="969"/>
      <c r="P377" s="969"/>
      <c r="Q377" s="980"/>
      <c r="R377" s="1043"/>
    </row>
    <row r="378" spans="3:18" ht="21" customHeight="1" outlineLevel="2">
      <c r="C378" s="1011"/>
      <c r="D378" s="1477"/>
      <c r="E378" s="1477"/>
      <c r="F378" s="1477"/>
      <c r="G378" s="1477"/>
      <c r="H378" s="1478"/>
      <c r="I378" s="1479"/>
      <c r="J378" s="1479"/>
      <c r="K378" s="1479"/>
      <c r="L378" s="1480"/>
      <c r="M378" s="1481"/>
      <c r="N378" s="1482"/>
      <c r="O378" s="969"/>
      <c r="P378" s="969"/>
      <c r="Q378" s="980"/>
      <c r="R378" s="1043"/>
    </row>
    <row r="379" spans="3:18" outlineLevel="2">
      <c r="C379" s="1011"/>
      <c r="D379" s="961"/>
      <c r="E379" s="1355"/>
      <c r="F379" s="1004"/>
      <c r="G379" s="1004"/>
      <c r="H379" s="1004"/>
      <c r="I379" s="1004"/>
      <c r="J379" s="1004"/>
      <c r="K379" s="1004"/>
      <c r="L379" s="1004"/>
      <c r="M379" s="1059"/>
      <c r="N379" s="961"/>
      <c r="O379" s="969"/>
      <c r="P379" s="969"/>
      <c r="Q379" s="980"/>
      <c r="R379" s="1043"/>
    </row>
    <row r="380" spans="3:18" outlineLevel="2">
      <c r="C380" s="1011"/>
      <c r="D380" s="961"/>
      <c r="E380" s="1355"/>
      <c r="F380" s="1004"/>
      <c r="G380" s="1004"/>
      <c r="H380" s="1004"/>
      <c r="I380" s="1004"/>
      <c r="J380" s="1004"/>
      <c r="K380" s="1004"/>
      <c r="L380" s="1004"/>
      <c r="M380" s="1059"/>
      <c r="N380" s="961"/>
      <c r="O380" s="969"/>
      <c r="P380" s="969"/>
      <c r="Q380" s="980"/>
      <c r="R380" s="1043"/>
    </row>
    <row r="381" spans="3:18" ht="18.75" hidden="1" customHeight="1">
      <c r="C381" s="1087" t="s">
        <v>882</v>
      </c>
      <c r="D381" s="1091"/>
      <c r="E381" s="1088"/>
      <c r="F381" s="1088"/>
      <c r="G381" s="1088"/>
      <c r="H381" s="1088"/>
      <c r="I381" s="1088"/>
      <c r="J381" s="1088"/>
      <c r="K381" s="1088"/>
      <c r="L381" s="1088"/>
      <c r="M381" s="1089"/>
      <c r="N381" s="1088"/>
      <c r="O381" s="1088"/>
      <c r="P381" s="1088"/>
      <c r="Q381" s="1090"/>
    </row>
    <row r="382" spans="3:18" ht="13.5" hidden="1" customHeight="1" outlineLevel="1">
      <c r="C382" s="1011"/>
      <c r="D382" s="945"/>
      <c r="E382" s="961"/>
      <c r="F382" s="1004"/>
      <c r="G382" s="1004"/>
      <c r="H382" s="1004"/>
      <c r="I382" s="1004"/>
      <c r="J382" s="1004"/>
      <c r="K382" s="1004"/>
      <c r="L382" s="1004"/>
      <c r="M382" s="1059"/>
      <c r="N382" s="961"/>
      <c r="O382" s="969"/>
      <c r="P382" s="969"/>
      <c r="Q382" s="980"/>
      <c r="R382" s="1043"/>
    </row>
    <row r="383" spans="3:18" ht="13.5" hidden="1" customHeight="1" outlineLevel="1">
      <c r="C383" s="1011"/>
      <c r="D383" s="945" t="s">
        <v>884</v>
      </c>
      <c r="E383" s="961"/>
      <c r="F383" s="1004"/>
      <c r="G383" s="1004"/>
      <c r="H383" s="1004"/>
      <c r="I383" s="1004"/>
      <c r="J383" s="1004"/>
      <c r="K383" s="1004"/>
      <c r="L383" s="1004"/>
      <c r="M383" s="1059"/>
      <c r="N383" s="961"/>
      <c r="O383" s="969"/>
      <c r="P383" s="969"/>
      <c r="Q383" s="980"/>
      <c r="R383" s="1043"/>
    </row>
    <row r="384" spans="3:18" hidden="1" outlineLevel="2">
      <c r="C384" s="1011"/>
      <c r="D384" s="1527" t="s">
        <v>1460</v>
      </c>
      <c r="E384" s="1527" t="s">
        <v>57</v>
      </c>
      <c r="F384" s="1527"/>
      <c r="G384" s="1527"/>
      <c r="H384" s="1490" t="s">
        <v>1324</v>
      </c>
      <c r="I384" s="1491"/>
      <c r="J384" s="1491"/>
      <c r="K384" s="1492"/>
      <c r="L384" s="1527" t="s">
        <v>59</v>
      </c>
      <c r="M384" s="1527"/>
      <c r="N384" s="1527" t="s">
        <v>60</v>
      </c>
      <c r="O384" s="1527"/>
      <c r="P384" s="1527"/>
      <c r="Q384" s="980"/>
      <c r="R384" s="1043"/>
    </row>
    <row r="385" spans="3:18" ht="16.5" hidden="1" customHeight="1" outlineLevel="2">
      <c r="C385" s="1011"/>
      <c r="D385" s="1527"/>
      <c r="E385" s="1527"/>
      <c r="F385" s="1527"/>
      <c r="G385" s="1527"/>
      <c r="H385" s="1490" t="s">
        <v>266</v>
      </c>
      <c r="I385" s="1492"/>
      <c r="J385" s="1356" t="s">
        <v>1459</v>
      </c>
      <c r="K385" s="1356" t="s">
        <v>773</v>
      </c>
      <c r="L385" s="1527"/>
      <c r="M385" s="1527"/>
      <c r="N385" s="1527"/>
      <c r="O385" s="1527"/>
      <c r="P385" s="1527"/>
      <c r="Q385" s="980"/>
      <c r="R385" s="1043"/>
    </row>
    <row r="386" spans="3:18" ht="46.5" hidden="1" customHeight="1" outlineLevel="2">
      <c r="C386" s="1011"/>
      <c r="D386" s="1487" t="s">
        <v>61</v>
      </c>
      <c r="E386" s="1441" t="str">
        <f>+IF(D16="","","Contribución al logro de aprendizaje de los alumnos")</f>
        <v/>
      </c>
      <c r="F386" s="1442"/>
      <c r="G386" s="1443"/>
      <c r="H386" s="1483" t="s">
        <v>1461</v>
      </c>
      <c r="I386" s="1485"/>
      <c r="J386" s="1120"/>
      <c r="K386" s="1354"/>
      <c r="L386" s="1473" t="s">
        <v>1458</v>
      </c>
      <c r="M386" s="1474"/>
      <c r="N386" s="1493" t="s">
        <v>1462</v>
      </c>
      <c r="O386" s="1494"/>
      <c r="P386" s="1494"/>
      <c r="Q386" s="980"/>
      <c r="R386" s="1043"/>
    </row>
    <row r="387" spans="3:18" ht="46.5" hidden="1" customHeight="1" outlineLevel="2">
      <c r="C387" s="1011"/>
      <c r="D387" s="1489"/>
      <c r="E387" s="1444"/>
      <c r="F387" s="1445"/>
      <c r="G387" s="1446"/>
      <c r="H387" s="1483" t="s">
        <v>1478</v>
      </c>
      <c r="I387" s="1485"/>
      <c r="J387" s="1120"/>
      <c r="K387" s="1354"/>
      <c r="L387" s="1473" t="s">
        <v>1458</v>
      </c>
      <c r="M387" s="1474"/>
      <c r="N387" s="1494"/>
      <c r="O387" s="1494"/>
      <c r="P387" s="1494"/>
      <c r="Q387" s="980"/>
      <c r="R387" s="1043"/>
    </row>
    <row r="388" spans="3:18" ht="58.5" hidden="1" customHeight="1" outlineLevel="2">
      <c r="C388" s="1011"/>
      <c r="D388" s="1487" t="s">
        <v>62</v>
      </c>
      <c r="E388" s="1517" t="e">
        <f>+IF(#REF!="","",#REF!)</f>
        <v>#REF!</v>
      </c>
      <c r="F388" s="1518"/>
      <c r="G388" s="1519"/>
      <c r="H388" s="1483" t="e">
        <f>+#REF!</f>
        <v>#REF!</v>
      </c>
      <c r="I388" s="1485"/>
      <c r="J388" s="1120"/>
      <c r="K388" s="1354"/>
      <c r="L388" s="1473" t="s">
        <v>1456</v>
      </c>
      <c r="M388" s="1474"/>
      <c r="N388" s="1494"/>
      <c r="O388" s="1494"/>
      <c r="P388" s="1494"/>
      <c r="Q388" s="980"/>
      <c r="R388" s="1043"/>
    </row>
    <row r="389" spans="3:18" ht="58.5" hidden="1" customHeight="1" outlineLevel="2">
      <c r="C389" s="1011"/>
      <c r="D389" s="1489"/>
      <c r="E389" s="1523"/>
      <c r="F389" s="1524"/>
      <c r="G389" s="1525"/>
      <c r="H389" s="1483" t="e">
        <f>+#REF!</f>
        <v>#REF!</v>
      </c>
      <c r="I389" s="1485"/>
      <c r="J389" s="1120"/>
      <c r="K389" s="1354"/>
      <c r="L389" s="1496" t="e">
        <f>+IF(H389="","","ESCALE")</f>
        <v>#REF!</v>
      </c>
      <c r="M389" s="1474"/>
      <c r="N389" s="1494"/>
      <c r="O389" s="1494"/>
      <c r="P389" s="1494"/>
      <c r="Q389" s="980"/>
      <c r="R389" s="1043"/>
    </row>
    <row r="390" spans="3:18" ht="25.5" hidden="1" customHeight="1" outlineLevel="2">
      <c r="C390" s="1011"/>
      <c r="D390" s="1487" t="s">
        <v>63</v>
      </c>
      <c r="E390" s="1483" t="str">
        <f>+D104</f>
        <v>Se cuenta con una edificación educativa adecuada</v>
      </c>
      <c r="F390" s="1484"/>
      <c r="G390" s="1485"/>
      <c r="H390" s="1483"/>
      <c r="I390" s="1485"/>
      <c r="J390" s="1120"/>
      <c r="K390" s="1354"/>
      <c r="L390" s="1441" t="s">
        <v>1455</v>
      </c>
      <c r="M390" s="1468"/>
      <c r="N390" s="1517" t="s">
        <v>1464</v>
      </c>
      <c r="O390" s="1518"/>
      <c r="P390" s="1519"/>
      <c r="Q390" s="980"/>
      <c r="R390" s="1043"/>
    </row>
    <row r="391" spans="3:18" ht="25.5" hidden="1" customHeight="1" outlineLevel="2">
      <c r="C391" s="1011"/>
      <c r="D391" s="1488"/>
      <c r="E391" s="1483" t="str">
        <f>+D105</f>
        <v>Se dispone con equipamiento educativo adecuado</v>
      </c>
      <c r="F391" s="1484"/>
      <c r="G391" s="1485"/>
      <c r="H391" s="1483"/>
      <c r="I391" s="1485"/>
      <c r="J391" s="1120"/>
      <c r="K391" s="1354"/>
      <c r="L391" s="1469"/>
      <c r="M391" s="1470"/>
      <c r="N391" s="1520"/>
      <c r="O391" s="1521"/>
      <c r="P391" s="1522"/>
      <c r="Q391" s="980"/>
      <c r="R391" s="1043"/>
    </row>
    <row r="392" spans="3:18" ht="25.5" hidden="1" customHeight="1" outlineLevel="2">
      <c r="C392" s="1011"/>
      <c r="D392" s="1488"/>
      <c r="E392" s="1483">
        <f>+D106</f>
        <v>0</v>
      </c>
      <c r="F392" s="1484"/>
      <c r="G392" s="1485"/>
      <c r="H392" s="1483"/>
      <c r="I392" s="1485"/>
      <c r="J392" s="1120"/>
      <c r="K392" s="1354"/>
      <c r="L392" s="1469"/>
      <c r="M392" s="1470"/>
      <c r="N392" s="1520"/>
      <c r="O392" s="1521"/>
      <c r="P392" s="1522"/>
      <c r="Q392" s="980"/>
      <c r="R392" s="1043"/>
    </row>
    <row r="393" spans="3:18" ht="38.25" hidden="1" customHeight="1" outlineLevel="2">
      <c r="C393" s="1011"/>
      <c r="D393" s="1488"/>
      <c r="E393" s="1483" t="e">
        <f>+#REF!</f>
        <v>#REF!</v>
      </c>
      <c r="F393" s="1484"/>
      <c r="G393" s="1485"/>
      <c r="H393" s="1483"/>
      <c r="I393" s="1485"/>
      <c r="J393" s="1120"/>
      <c r="K393" s="1354"/>
      <c r="L393" s="1469"/>
      <c r="M393" s="1470"/>
      <c r="N393" s="1520"/>
      <c r="O393" s="1521"/>
      <c r="P393" s="1522"/>
      <c r="Q393" s="980"/>
      <c r="R393" s="1043"/>
    </row>
    <row r="394" spans="3:18" ht="42.75" hidden="1" customHeight="1" outlineLevel="2">
      <c r="C394" s="1011"/>
      <c r="D394" s="1489"/>
      <c r="E394" s="1483">
        <f t="shared" ref="E394" si="24">+D107</f>
        <v>0</v>
      </c>
      <c r="F394" s="1484"/>
      <c r="G394" s="1485"/>
      <c r="H394" s="1483"/>
      <c r="I394" s="1485"/>
      <c r="J394" s="1120"/>
      <c r="K394" s="1354"/>
      <c r="L394" s="1471"/>
      <c r="M394" s="1472"/>
      <c r="N394" s="1523"/>
      <c r="O394" s="1524"/>
      <c r="P394" s="1525"/>
      <c r="Q394" s="980"/>
      <c r="R394" s="1043"/>
    </row>
    <row r="395" spans="3:18" ht="25.5" hidden="1" customHeight="1" outlineLevel="2">
      <c r="C395" s="1011"/>
      <c r="D395" s="1487" t="s">
        <v>64</v>
      </c>
      <c r="E395" s="1483" t="s">
        <v>1445</v>
      </c>
      <c r="F395" s="1499"/>
      <c r="G395" s="1500"/>
      <c r="H395" s="1121" t="s">
        <v>1439</v>
      </c>
      <c r="I395" s="1420"/>
      <c r="J395" s="1421"/>
      <c r="K395" s="1422"/>
      <c r="L395" s="1511" t="s">
        <v>1452</v>
      </c>
      <c r="M395" s="1512"/>
      <c r="N395" s="1517" t="s">
        <v>1463</v>
      </c>
      <c r="O395" s="1518"/>
      <c r="P395" s="1519"/>
      <c r="Q395" s="980"/>
      <c r="R395" s="1043"/>
    </row>
    <row r="396" spans="3:18" ht="19.5" hidden="1" customHeight="1" outlineLevel="2">
      <c r="C396" s="1011"/>
      <c r="D396" s="1488"/>
      <c r="E396" s="1498" t="s">
        <v>1446</v>
      </c>
      <c r="F396" s="1499"/>
      <c r="G396" s="1500"/>
      <c r="H396" s="1121" t="s">
        <v>1439</v>
      </c>
      <c r="I396" s="1420"/>
      <c r="J396" s="1421"/>
      <c r="K396" s="1422"/>
      <c r="L396" s="1515"/>
      <c r="M396" s="1516"/>
      <c r="N396" s="1520"/>
      <c r="O396" s="1521"/>
      <c r="P396" s="1522"/>
      <c r="Q396" s="980"/>
      <c r="R396" s="1043"/>
    </row>
    <row r="397" spans="3:18" ht="19.5" hidden="1" customHeight="1" outlineLevel="2">
      <c r="C397" s="1011"/>
      <c r="D397" s="1488"/>
      <c r="E397" s="1498" t="s">
        <v>1451</v>
      </c>
      <c r="F397" s="1499"/>
      <c r="G397" s="1500"/>
      <c r="H397" s="1121" t="s">
        <v>1439</v>
      </c>
      <c r="I397" s="1420"/>
      <c r="J397" s="1421"/>
      <c r="K397" s="1422"/>
      <c r="L397" s="1511" t="s">
        <v>1453</v>
      </c>
      <c r="M397" s="1512"/>
      <c r="N397" s="1520"/>
      <c r="O397" s="1521"/>
      <c r="P397" s="1522"/>
      <c r="Q397" s="980"/>
      <c r="R397" s="1043"/>
    </row>
    <row r="398" spans="3:18" ht="19.5" hidden="1" customHeight="1" outlineLevel="2">
      <c r="C398" s="1011"/>
      <c r="D398" s="1488"/>
      <c r="E398" s="1483" t="s">
        <v>1449</v>
      </c>
      <c r="F398" s="1499"/>
      <c r="G398" s="1500"/>
      <c r="H398" s="1121" t="s">
        <v>1439</v>
      </c>
      <c r="I398" s="1420"/>
      <c r="J398" s="1421"/>
      <c r="K398" s="1422"/>
      <c r="L398" s="1515"/>
      <c r="M398" s="1516"/>
      <c r="N398" s="1520"/>
      <c r="O398" s="1521"/>
      <c r="P398" s="1522"/>
      <c r="Q398" s="980"/>
      <c r="R398" s="1043"/>
    </row>
    <row r="399" spans="3:18" ht="19.5" hidden="1" customHeight="1" outlineLevel="2">
      <c r="C399" s="1011"/>
      <c r="D399" s="1488"/>
      <c r="E399" s="1498" t="s">
        <v>1447</v>
      </c>
      <c r="F399" s="1499"/>
      <c r="G399" s="1500"/>
      <c r="H399" s="1121" t="s">
        <v>1439</v>
      </c>
      <c r="I399" s="1420"/>
      <c r="J399" s="1421"/>
      <c r="K399" s="1422"/>
      <c r="L399" s="1511" t="s">
        <v>1454</v>
      </c>
      <c r="M399" s="1512"/>
      <c r="N399" s="1520"/>
      <c r="O399" s="1521"/>
      <c r="P399" s="1522"/>
      <c r="Q399" s="980"/>
      <c r="R399" s="1043"/>
    </row>
    <row r="400" spans="3:18" ht="19.5" hidden="1" customHeight="1" outlineLevel="2">
      <c r="C400" s="1011"/>
      <c r="D400" s="1488"/>
      <c r="E400" s="1483" t="s">
        <v>1450</v>
      </c>
      <c r="F400" s="1499"/>
      <c r="G400" s="1500"/>
      <c r="H400" s="1121" t="s">
        <v>1439</v>
      </c>
      <c r="I400" s="1420"/>
      <c r="J400" s="1421"/>
      <c r="K400" s="1422"/>
      <c r="L400" s="1515"/>
      <c r="M400" s="1516"/>
      <c r="N400" s="1520"/>
      <c r="O400" s="1521"/>
      <c r="P400" s="1522"/>
      <c r="Q400" s="980"/>
      <c r="R400" s="1043"/>
    </row>
    <row r="401" spans="2:18" ht="19.5" hidden="1" customHeight="1" outlineLevel="2">
      <c r="C401" s="1011"/>
      <c r="D401" s="1488"/>
      <c r="E401" s="1498" t="s">
        <v>1448</v>
      </c>
      <c r="F401" s="1499"/>
      <c r="G401" s="1500"/>
      <c r="H401" s="1121" t="s">
        <v>1439</v>
      </c>
      <c r="I401" s="1420"/>
      <c r="J401" s="1421"/>
      <c r="K401" s="1422"/>
      <c r="L401" s="1511" t="s">
        <v>1457</v>
      </c>
      <c r="M401" s="1512"/>
      <c r="N401" s="1520"/>
      <c r="O401" s="1521"/>
      <c r="P401" s="1522"/>
      <c r="Q401" s="980"/>
      <c r="R401" s="1043"/>
    </row>
    <row r="402" spans="2:18" ht="17.25" hidden="1" customHeight="1" outlineLevel="2">
      <c r="C402" s="1011"/>
      <c r="D402" s="1488"/>
      <c r="E402" s="1498" t="s">
        <v>1440</v>
      </c>
      <c r="F402" s="1499"/>
      <c r="G402" s="1500"/>
      <c r="H402" s="1121" t="s">
        <v>1439</v>
      </c>
      <c r="I402" s="1420"/>
      <c r="J402" s="1421"/>
      <c r="K402" s="1422"/>
      <c r="L402" s="1513"/>
      <c r="M402" s="1514"/>
      <c r="N402" s="1520"/>
      <c r="O402" s="1521"/>
      <c r="P402" s="1522"/>
      <c r="Q402" s="980"/>
      <c r="R402" s="1043"/>
    </row>
    <row r="403" spans="2:18" ht="17.25" hidden="1" customHeight="1" outlineLevel="2">
      <c r="C403" s="1011"/>
      <c r="D403" s="1489"/>
      <c r="E403" s="1498" t="s">
        <v>1440</v>
      </c>
      <c r="F403" s="1499"/>
      <c r="G403" s="1500"/>
      <c r="H403" s="1121" t="s">
        <v>1439</v>
      </c>
      <c r="I403" s="1420"/>
      <c r="J403" s="1421"/>
      <c r="K403" s="1422"/>
      <c r="L403" s="1515"/>
      <c r="M403" s="1516"/>
      <c r="N403" s="1523"/>
      <c r="O403" s="1524"/>
      <c r="P403" s="1525"/>
      <c r="Q403" s="980"/>
      <c r="R403" s="1043"/>
    </row>
    <row r="404" spans="2:18" outlineLevel="2">
      <c r="C404" s="1011"/>
      <c r="D404" s="1004"/>
      <c r="E404" s="1004"/>
      <c r="F404" s="1004"/>
      <c r="G404" s="1004"/>
      <c r="H404" s="1004"/>
      <c r="I404" s="1004"/>
      <c r="J404" s="1004"/>
      <c r="K404" s="1004"/>
      <c r="L404" s="1004"/>
      <c r="M404" s="1059"/>
      <c r="N404" s="1004"/>
      <c r="O404" s="1035"/>
      <c r="P404" s="969"/>
      <c r="Q404" s="980"/>
      <c r="R404" s="1043"/>
    </row>
    <row r="405" spans="2:18" s="969" customFormat="1" ht="18.75" customHeight="1">
      <c r="B405" s="934"/>
      <c r="C405" s="1094" t="s">
        <v>1806</v>
      </c>
      <c r="D405" s="1112"/>
      <c r="E405" s="1113"/>
      <c r="F405" s="1113"/>
      <c r="G405" s="1113"/>
      <c r="H405" s="1113"/>
      <c r="I405" s="1113"/>
      <c r="J405" s="1113"/>
      <c r="K405" s="1114"/>
      <c r="L405" s="1114"/>
      <c r="M405" s="1115"/>
      <c r="N405" s="1114"/>
      <c r="O405" s="1116"/>
      <c r="P405" s="1117"/>
      <c r="Q405" s="980"/>
    </row>
    <row r="406" spans="2:18" s="961" customFormat="1" ht="12.75" customHeight="1" outlineLevel="1">
      <c r="B406" s="934"/>
      <c r="C406" s="1011"/>
      <c r="D406" s="1012"/>
      <c r="E406" s="1013"/>
      <c r="F406" s="1013"/>
      <c r="G406" s="1013"/>
      <c r="H406" s="1013"/>
      <c r="I406" s="1013"/>
      <c r="J406" s="1013"/>
      <c r="K406" s="1014"/>
      <c r="L406" s="1014"/>
      <c r="M406" s="1015"/>
      <c r="N406" s="1014"/>
      <c r="O406" s="1016"/>
      <c r="P406" s="1016"/>
      <c r="Q406" s="980"/>
    </row>
    <row r="407" spans="2:18" s="961" customFormat="1" ht="12.75" customHeight="1" outlineLevel="1">
      <c r="B407" s="934"/>
      <c r="C407" s="1011"/>
      <c r="D407" s="1018" t="s">
        <v>1681</v>
      </c>
      <c r="E407" s="1013"/>
      <c r="F407" s="1013"/>
      <c r="G407" s="1019"/>
      <c r="H407" s="1013"/>
      <c r="I407" s="1013"/>
      <c r="J407" s="1013"/>
      <c r="K407" s="1014"/>
      <c r="L407" s="1014"/>
      <c r="M407" s="1015"/>
      <c r="N407" s="1014"/>
      <c r="O407" s="1016"/>
      <c r="P407" s="1016"/>
      <c r="Q407" s="980"/>
    </row>
    <row r="408" spans="2:18" s="961" customFormat="1" ht="38.25" customHeight="1" outlineLevel="2">
      <c r="B408" s="934"/>
      <c r="C408" s="1011"/>
      <c r="D408" s="1501"/>
      <c r="E408" s="1502"/>
      <c r="F408" s="1502"/>
      <c r="G408" s="1502"/>
      <c r="H408" s="1502"/>
      <c r="I408" s="1502"/>
      <c r="J408" s="1502"/>
      <c r="K408" s="1502"/>
      <c r="L408" s="1502"/>
      <c r="M408" s="1502"/>
      <c r="N408" s="1502"/>
      <c r="O408" s="1502"/>
      <c r="P408" s="1503"/>
      <c r="Q408" s="980"/>
    </row>
    <row r="409" spans="2:18" s="961" customFormat="1" ht="38.25" customHeight="1" outlineLevel="2">
      <c r="C409" s="1011"/>
      <c r="D409" s="1504"/>
      <c r="E409" s="1505"/>
      <c r="F409" s="1505"/>
      <c r="G409" s="1505"/>
      <c r="H409" s="1505"/>
      <c r="I409" s="1505"/>
      <c r="J409" s="1505"/>
      <c r="K409" s="1505"/>
      <c r="L409" s="1505"/>
      <c r="M409" s="1505"/>
      <c r="N409" s="1505"/>
      <c r="O409" s="1505"/>
      <c r="P409" s="1506"/>
      <c r="Q409" s="980"/>
    </row>
    <row r="410" spans="2:18" s="961" customFormat="1" ht="38.25" customHeight="1" outlineLevel="2">
      <c r="C410" s="1011"/>
      <c r="D410" s="1507"/>
      <c r="E410" s="1508"/>
      <c r="F410" s="1508"/>
      <c r="G410" s="1508"/>
      <c r="H410" s="1508"/>
      <c r="I410" s="1508"/>
      <c r="J410" s="1508"/>
      <c r="K410" s="1508"/>
      <c r="L410" s="1508"/>
      <c r="M410" s="1508"/>
      <c r="N410" s="1508"/>
      <c r="O410" s="1508"/>
      <c r="P410" s="1509"/>
      <c r="Q410" s="1017"/>
    </row>
    <row r="411" spans="2:18" outlineLevel="2">
      <c r="C411" s="1011"/>
      <c r="D411" s="961"/>
      <c r="E411" s="961"/>
      <c r="F411" s="961"/>
      <c r="G411" s="961"/>
      <c r="H411" s="961"/>
      <c r="I411" s="961"/>
      <c r="J411" s="961"/>
      <c r="K411" s="961"/>
      <c r="L411" s="961"/>
      <c r="M411" s="1002"/>
      <c r="N411" s="961"/>
      <c r="O411" s="969"/>
      <c r="P411" s="969"/>
      <c r="Q411" s="980"/>
      <c r="R411" s="1043"/>
    </row>
    <row r="412" spans="2:18" s="961" customFormat="1" ht="12.75" customHeight="1" outlineLevel="1">
      <c r="C412" s="1011"/>
      <c r="D412" s="1018" t="s">
        <v>1682</v>
      </c>
      <c r="E412" s="1013"/>
      <c r="F412" s="1013"/>
      <c r="G412" s="1019"/>
      <c r="H412" s="1013"/>
      <c r="I412" s="1013"/>
      <c r="J412" s="1013"/>
      <c r="K412" s="1014"/>
      <c r="L412" s="1014"/>
      <c r="M412" s="1015"/>
      <c r="N412" s="1014"/>
      <c r="O412" s="1016"/>
      <c r="P412" s="1016"/>
      <c r="Q412" s="1017"/>
    </row>
    <row r="413" spans="2:18" s="961" customFormat="1" ht="33.75" customHeight="1" outlineLevel="2">
      <c r="C413" s="1011"/>
      <c r="D413" s="1501"/>
      <c r="E413" s="1502"/>
      <c r="F413" s="1502"/>
      <c r="G413" s="1502"/>
      <c r="H413" s="1502"/>
      <c r="I413" s="1502"/>
      <c r="J413" s="1502"/>
      <c r="K413" s="1502"/>
      <c r="L413" s="1502"/>
      <c r="M413" s="1502"/>
      <c r="N413" s="1502"/>
      <c r="O413" s="1502"/>
      <c r="P413" s="1503"/>
      <c r="Q413" s="1017"/>
    </row>
    <row r="414" spans="2:18" s="961" customFormat="1" ht="33.75" customHeight="1" outlineLevel="2">
      <c r="C414" s="1011"/>
      <c r="D414" s="1504"/>
      <c r="E414" s="1505"/>
      <c r="F414" s="1505"/>
      <c r="G414" s="1505"/>
      <c r="H414" s="1505"/>
      <c r="I414" s="1505"/>
      <c r="J414" s="1505"/>
      <c r="K414" s="1505"/>
      <c r="L414" s="1505"/>
      <c r="M414" s="1505"/>
      <c r="N414" s="1505"/>
      <c r="O414" s="1505"/>
      <c r="P414" s="1506"/>
      <c r="Q414" s="1017"/>
    </row>
    <row r="415" spans="2:18" s="961" customFormat="1" ht="33.75" customHeight="1" outlineLevel="2">
      <c r="C415" s="1011"/>
      <c r="D415" s="1507"/>
      <c r="E415" s="1508"/>
      <c r="F415" s="1508"/>
      <c r="G415" s="1508"/>
      <c r="H415" s="1508"/>
      <c r="I415" s="1508"/>
      <c r="J415" s="1508"/>
      <c r="K415" s="1508"/>
      <c r="L415" s="1508"/>
      <c r="M415" s="1508"/>
      <c r="N415" s="1508"/>
      <c r="O415" s="1508"/>
      <c r="P415" s="1509"/>
      <c r="Q415" s="1017"/>
    </row>
    <row r="416" spans="2:18" outlineLevel="2">
      <c r="C416" s="1011"/>
      <c r="D416" s="961"/>
      <c r="E416" s="961"/>
      <c r="F416" s="961"/>
      <c r="G416" s="961"/>
      <c r="H416" s="961"/>
      <c r="I416" s="961"/>
      <c r="J416" s="961"/>
      <c r="K416" s="961"/>
      <c r="L416" s="961"/>
      <c r="M416" s="1002"/>
      <c r="N416" s="961"/>
      <c r="O416" s="969"/>
      <c r="P416" s="969"/>
      <c r="Q416" s="980"/>
      <c r="R416" s="1043"/>
    </row>
    <row r="417" spans="3:18" outlineLevel="1">
      <c r="C417" s="1011"/>
      <c r="D417" s="961"/>
      <c r="E417" s="961"/>
      <c r="F417" s="961"/>
      <c r="G417" s="961"/>
      <c r="H417" s="961"/>
      <c r="I417" s="961"/>
      <c r="J417" s="961"/>
      <c r="K417" s="961"/>
      <c r="L417" s="961"/>
      <c r="M417" s="1002"/>
      <c r="N417" s="961"/>
      <c r="O417" s="969"/>
      <c r="P417" s="969"/>
      <c r="Q417" s="980"/>
      <c r="R417" s="1043"/>
    </row>
    <row r="418" spans="3:18" s="969" customFormat="1" ht="18.75" customHeight="1">
      <c r="C418" s="1094" t="s">
        <v>1683</v>
      </c>
      <c r="D418" s="1112"/>
      <c r="E418" s="1113"/>
      <c r="F418" s="1113"/>
      <c r="G418" s="1113"/>
      <c r="H418" s="1113"/>
      <c r="I418" s="1113"/>
      <c r="J418" s="1113"/>
      <c r="K418" s="1114"/>
      <c r="L418" s="1114"/>
      <c r="M418" s="1115"/>
      <c r="N418" s="1114"/>
      <c r="O418" s="1116"/>
      <c r="P418" s="1117"/>
      <c r="Q418" s="1017"/>
    </row>
    <row r="419" spans="3:18" s="961" customFormat="1" ht="12.75" customHeight="1" outlineLevel="1">
      <c r="C419" s="1011"/>
      <c r="D419" s="1040" t="s">
        <v>1807</v>
      </c>
      <c r="E419" s="1013"/>
      <c r="F419" s="1013"/>
      <c r="G419" s="1013"/>
      <c r="H419" s="1013"/>
      <c r="I419" s="1013"/>
      <c r="J419" s="1013"/>
      <c r="K419" s="1014"/>
      <c r="L419" s="1014"/>
      <c r="M419" s="1015"/>
      <c r="N419" s="1014"/>
      <c r="O419" s="1016"/>
      <c r="P419" s="1016"/>
      <c r="Q419" s="1017"/>
    </row>
    <row r="420" spans="3:18" s="961" customFormat="1" ht="12.75" customHeight="1" outlineLevel="1">
      <c r="C420" s="1011"/>
      <c r="D420" s="1705"/>
      <c r="E420" s="1706"/>
      <c r="F420" s="1706"/>
      <c r="G420" s="1706"/>
      <c r="H420" s="1706"/>
      <c r="I420" s="1706"/>
      <c r="J420" s="1706"/>
      <c r="K420" s="1706"/>
      <c r="L420" s="1706"/>
      <c r="M420" s="1706"/>
      <c r="N420" s="1706"/>
      <c r="O420" s="1706"/>
      <c r="P420" s="1707"/>
      <c r="Q420" s="1017"/>
    </row>
    <row r="421" spans="3:18" s="961" customFormat="1" ht="12.75" customHeight="1" outlineLevel="1">
      <c r="C421" s="1011"/>
      <c r="D421" s="1762"/>
      <c r="E421" s="1763"/>
      <c r="F421" s="1763"/>
      <c r="G421" s="1763"/>
      <c r="H421" s="1763"/>
      <c r="I421" s="1763"/>
      <c r="J421" s="1763"/>
      <c r="K421" s="1763"/>
      <c r="L421" s="1763"/>
      <c r="M421" s="1763"/>
      <c r="N421" s="1763"/>
      <c r="O421" s="1763"/>
      <c r="P421" s="1764"/>
      <c r="Q421" s="1017"/>
    </row>
    <row r="422" spans="3:18" s="961" customFormat="1" ht="12.75" customHeight="1" outlineLevel="1">
      <c r="C422" s="1011"/>
      <c r="D422" s="1762"/>
      <c r="E422" s="1763"/>
      <c r="F422" s="1763"/>
      <c r="G422" s="1763"/>
      <c r="H422" s="1763"/>
      <c r="I422" s="1763"/>
      <c r="J422" s="1763"/>
      <c r="K422" s="1763"/>
      <c r="L422" s="1763"/>
      <c r="M422" s="1763"/>
      <c r="N422" s="1763"/>
      <c r="O422" s="1763"/>
      <c r="P422" s="1764"/>
      <c r="Q422" s="1017"/>
    </row>
    <row r="423" spans="3:18" s="961" customFormat="1" ht="12.75" customHeight="1" outlineLevel="1">
      <c r="C423" s="1011"/>
      <c r="D423" s="1762"/>
      <c r="E423" s="1763"/>
      <c r="F423" s="1763"/>
      <c r="G423" s="1763"/>
      <c r="H423" s="1763"/>
      <c r="I423" s="1763"/>
      <c r="J423" s="1763"/>
      <c r="K423" s="1763"/>
      <c r="L423" s="1763"/>
      <c r="M423" s="1763"/>
      <c r="N423" s="1763"/>
      <c r="O423" s="1763"/>
      <c r="P423" s="1764"/>
      <c r="Q423" s="1017"/>
    </row>
    <row r="424" spans="3:18" s="961" customFormat="1" ht="12.75" customHeight="1" outlineLevel="1">
      <c r="C424" s="1011"/>
      <c r="D424" s="1762"/>
      <c r="E424" s="1763"/>
      <c r="F424" s="1763"/>
      <c r="G424" s="1763"/>
      <c r="H424" s="1763"/>
      <c r="I424" s="1763"/>
      <c r="J424" s="1763"/>
      <c r="K424" s="1763"/>
      <c r="L424" s="1763"/>
      <c r="M424" s="1763"/>
      <c r="N424" s="1763"/>
      <c r="O424" s="1763"/>
      <c r="P424" s="1764"/>
      <c r="Q424" s="1017"/>
    </row>
    <row r="425" spans="3:18" s="961" customFormat="1" ht="159" customHeight="1" outlineLevel="1">
      <c r="C425" s="1011"/>
      <c r="D425" s="1708"/>
      <c r="E425" s="1709"/>
      <c r="F425" s="1709"/>
      <c r="G425" s="1709"/>
      <c r="H425" s="1709"/>
      <c r="I425" s="1709"/>
      <c r="J425" s="1709"/>
      <c r="K425" s="1709"/>
      <c r="L425" s="1709"/>
      <c r="M425" s="1709"/>
      <c r="N425" s="1709"/>
      <c r="O425" s="1709"/>
      <c r="P425" s="1710"/>
      <c r="Q425" s="1017"/>
    </row>
    <row r="426" spans="3:18" s="961" customFormat="1" ht="12.75" customHeight="1" outlineLevel="1">
      <c r="C426" s="1011"/>
      <c r="D426" s="1012"/>
      <c r="E426" s="1013"/>
      <c r="F426" s="1013"/>
      <c r="G426" s="1013"/>
      <c r="H426" s="1013"/>
      <c r="I426" s="1013"/>
      <c r="J426" s="1013"/>
      <c r="K426" s="1014"/>
      <c r="L426" s="1014"/>
      <c r="M426" s="1015"/>
      <c r="N426" s="1014"/>
      <c r="O426" s="1016"/>
      <c r="P426" s="1016"/>
      <c r="Q426" s="1017"/>
    </row>
    <row r="427" spans="3:18" ht="15" outlineLevel="1">
      <c r="C427" s="1011"/>
      <c r="D427" s="1061" t="s">
        <v>81</v>
      </c>
      <c r="E427" s="961"/>
      <c r="F427" s="969"/>
      <c r="G427" s="961"/>
      <c r="H427" s="961"/>
      <c r="I427" s="961"/>
      <c r="J427" s="961"/>
      <c r="K427" s="961"/>
      <c r="L427" s="961"/>
      <c r="M427" s="1002"/>
      <c r="N427" s="961"/>
      <c r="O427" s="969"/>
      <c r="P427" s="969"/>
      <c r="Q427" s="990"/>
      <c r="R427" s="1043"/>
    </row>
    <row r="428" spans="3:18" outlineLevel="1">
      <c r="C428" s="935"/>
      <c r="D428" s="961"/>
      <c r="E428" s="961"/>
      <c r="F428" s="961"/>
      <c r="G428" s="961"/>
      <c r="H428" s="961"/>
      <c r="I428" s="961"/>
      <c r="J428" s="961"/>
      <c r="K428" s="961"/>
      <c r="L428" s="961"/>
      <c r="M428" s="1510" t="s">
        <v>1504</v>
      </c>
      <c r="N428" s="1510"/>
      <c r="O428" s="1344"/>
      <c r="P428" s="969"/>
      <c r="Q428" s="990"/>
    </row>
    <row r="429" spans="3:18" outlineLevel="1">
      <c r="C429" s="935"/>
      <c r="D429" s="961"/>
      <c r="E429" s="961"/>
      <c r="F429" s="961"/>
      <c r="G429" s="961"/>
      <c r="H429" s="961"/>
      <c r="I429" s="961"/>
      <c r="J429" s="961"/>
      <c r="K429" s="961"/>
      <c r="L429" s="961"/>
      <c r="M429" s="1002"/>
      <c r="N429" s="961"/>
      <c r="O429" s="969"/>
      <c r="P429" s="969"/>
      <c r="Q429" s="990"/>
    </row>
    <row r="430" spans="3:18" outlineLevel="1">
      <c r="C430" s="935"/>
      <c r="D430" s="961"/>
      <c r="E430" s="961"/>
      <c r="F430" s="961"/>
      <c r="G430" s="961"/>
      <c r="H430" s="961"/>
      <c r="I430" s="961"/>
      <c r="J430" s="961"/>
      <c r="K430" s="961"/>
      <c r="L430" s="961"/>
      <c r="M430" s="1002"/>
      <c r="N430" s="961"/>
      <c r="O430" s="969"/>
      <c r="P430" s="969"/>
      <c r="Q430" s="990"/>
    </row>
    <row r="431" spans="3:18" outlineLevel="1">
      <c r="C431" s="935"/>
      <c r="E431" s="969"/>
      <c r="F431" s="969"/>
      <c r="G431" s="969"/>
      <c r="H431" s="969"/>
      <c r="I431" s="969"/>
      <c r="J431" s="969"/>
      <c r="K431" s="969"/>
      <c r="L431" s="969"/>
      <c r="M431" s="970"/>
      <c r="N431" s="969"/>
      <c r="O431" s="969"/>
      <c r="P431" s="969"/>
      <c r="Q431" s="990"/>
    </row>
    <row r="432" spans="3:18" ht="42" customHeight="1" outlineLevel="1">
      <c r="C432" s="935"/>
      <c r="E432" s="1003"/>
      <c r="F432" s="1003"/>
      <c r="G432" s="1003"/>
      <c r="H432" s="1003"/>
      <c r="I432" s="969"/>
      <c r="J432" s="969"/>
      <c r="K432" s="969"/>
      <c r="L432" s="1003"/>
      <c r="M432" s="1062"/>
      <c r="N432" s="1003"/>
      <c r="O432" s="969"/>
      <c r="P432" s="969"/>
      <c r="Q432" s="990"/>
    </row>
    <row r="433" spans="3:18" outlineLevel="1">
      <c r="C433" s="935"/>
      <c r="E433" s="1526" t="s">
        <v>1470</v>
      </c>
      <c r="F433" s="1526"/>
      <c r="G433" s="1526"/>
      <c r="H433" s="1526"/>
      <c r="I433" s="969"/>
      <c r="J433" s="969"/>
      <c r="K433" s="961"/>
      <c r="L433" s="1497" t="s">
        <v>1</v>
      </c>
      <c r="M433" s="1497"/>
      <c r="N433" s="1497"/>
      <c r="O433" s="969"/>
      <c r="P433" s="969"/>
      <c r="Q433" s="990"/>
    </row>
    <row r="434" spans="3:18" outlineLevel="1">
      <c r="C434" s="935"/>
      <c r="D434" s="961"/>
      <c r="E434" s="961"/>
      <c r="F434" s="961"/>
      <c r="G434" s="961"/>
      <c r="H434" s="961"/>
      <c r="I434" s="961"/>
      <c r="J434" s="961"/>
      <c r="K434" s="961"/>
      <c r="L434" s="961"/>
      <c r="M434" s="1002"/>
      <c r="N434" s="961"/>
      <c r="O434" s="969"/>
      <c r="P434" s="969"/>
      <c r="Q434" s="990"/>
    </row>
    <row r="435" spans="3:18" outlineLevel="1">
      <c r="C435" s="935"/>
      <c r="D435" s="961"/>
      <c r="E435" s="961"/>
      <c r="F435" s="961"/>
      <c r="G435" s="961"/>
      <c r="H435" s="961"/>
      <c r="I435" s="961"/>
      <c r="J435" s="961"/>
      <c r="K435" s="961"/>
      <c r="L435" s="961"/>
      <c r="M435" s="1002"/>
      <c r="N435" s="961"/>
      <c r="O435" s="969"/>
      <c r="P435" s="969"/>
      <c r="Q435" s="990"/>
    </row>
    <row r="436" spans="3:18" outlineLevel="1">
      <c r="C436" s="935"/>
      <c r="E436" s="969"/>
      <c r="F436" s="969"/>
      <c r="G436" s="969"/>
      <c r="H436" s="969"/>
      <c r="I436" s="969"/>
      <c r="J436" s="969"/>
      <c r="K436" s="969"/>
      <c r="L436" s="969"/>
      <c r="M436" s="970"/>
      <c r="N436" s="969"/>
      <c r="O436" s="969"/>
      <c r="P436" s="969"/>
      <c r="Q436" s="990"/>
    </row>
    <row r="437" spans="3:18" outlineLevel="1">
      <c r="C437" s="935"/>
      <c r="E437" s="969"/>
      <c r="F437" s="969"/>
      <c r="G437" s="969"/>
      <c r="H437" s="969"/>
      <c r="I437" s="969"/>
      <c r="J437" s="969"/>
      <c r="K437" s="969"/>
      <c r="L437" s="969"/>
      <c r="M437" s="970"/>
      <c r="N437" s="969"/>
      <c r="O437" s="969"/>
      <c r="P437" s="969"/>
      <c r="Q437" s="990"/>
    </row>
    <row r="438" spans="3:18" outlineLevel="1">
      <c r="C438" s="935"/>
      <c r="D438" s="961"/>
      <c r="E438" s="961"/>
      <c r="F438" s="961"/>
      <c r="G438" s="961"/>
      <c r="H438" s="961"/>
      <c r="I438" s="961"/>
      <c r="J438" s="961"/>
      <c r="K438" s="961"/>
      <c r="L438" s="961"/>
      <c r="M438" s="1002"/>
      <c r="N438" s="961"/>
      <c r="O438" s="969"/>
      <c r="P438" s="969"/>
      <c r="Q438" s="990"/>
    </row>
    <row r="439" spans="3:18" s="933" customFormat="1" outlineLevel="1">
      <c r="C439" s="935"/>
      <c r="D439" s="961"/>
      <c r="E439" s="961"/>
      <c r="F439" s="961"/>
      <c r="G439" s="961"/>
      <c r="H439" s="961"/>
      <c r="I439" s="961"/>
      <c r="J439" s="961"/>
      <c r="K439" s="961"/>
      <c r="L439" s="961"/>
      <c r="M439" s="1002"/>
      <c r="N439" s="961"/>
      <c r="O439" s="969"/>
      <c r="P439" s="969"/>
      <c r="Q439" s="990"/>
      <c r="R439" s="934"/>
    </row>
    <row r="440" spans="3:18" s="933" customFormat="1" outlineLevel="1">
      <c r="C440" s="1033"/>
      <c r="D440" s="1063"/>
      <c r="E440" s="1063"/>
      <c r="F440" s="1063"/>
      <c r="G440" s="1063"/>
      <c r="H440" s="1063"/>
      <c r="I440" s="1063"/>
      <c r="J440" s="1063"/>
      <c r="K440" s="1063"/>
      <c r="L440" s="1063"/>
      <c r="M440" s="1064"/>
      <c r="N440" s="1063"/>
      <c r="O440" s="1003"/>
      <c r="P440" s="1003"/>
      <c r="Q440" s="1065"/>
      <c r="R440" s="934"/>
    </row>
    <row r="441" spans="3:18" outlineLevel="1"/>
    <row r="442" spans="3:18" outlineLevel="1"/>
  </sheetData>
  <sheetProtection algorithmName="SHA-512" hashValue="0G3LstE+h+XEnspfvPoOrNhFWMwTWJc+iGdKoPBpmFuFnzxtCIuEhp/TNLm5WmifvloLnzPsDX1RIVJwI6/gWA==" saltValue="IXfGWfge1xly2P0Q9M0dKA==" spinCount="100000" sheet="1" objects="1" scenarios="1" insertColumns="0" insertRows="0" selectLockedCells="1"/>
  <dataConsolidate/>
  <mergeCells count="465">
    <mergeCell ref="E168:F168"/>
    <mergeCell ref="E292:G292"/>
    <mergeCell ref="H223:J223"/>
    <mergeCell ref="H219:J219"/>
    <mergeCell ref="H190:J190"/>
    <mergeCell ref="D420:P425"/>
    <mergeCell ref="D284:D291"/>
    <mergeCell ref="H239:J239"/>
    <mergeCell ref="H240:J240"/>
    <mergeCell ref="E286:G286"/>
    <mergeCell ref="H231:J231"/>
    <mergeCell ref="H232:J232"/>
    <mergeCell ref="I268:I271"/>
    <mergeCell ref="J268:J271"/>
    <mergeCell ref="H287:H290"/>
    <mergeCell ref="I287:I290"/>
    <mergeCell ref="J287:J290"/>
    <mergeCell ref="E296:G296"/>
    <mergeCell ref="E297:G297"/>
    <mergeCell ref="E298:G298"/>
    <mergeCell ref="E299:G299"/>
    <mergeCell ref="E288:G288"/>
    <mergeCell ref="E319:F319"/>
    <mergeCell ref="P268:P271"/>
    <mergeCell ref="H185:J185"/>
    <mergeCell ref="D147:P149"/>
    <mergeCell ref="D107:G107"/>
    <mergeCell ref="H121:I121"/>
    <mergeCell ref="H120:I120"/>
    <mergeCell ref="P176:P177"/>
    <mergeCell ref="M176:N176"/>
    <mergeCell ref="O176:O177"/>
    <mergeCell ref="D175:P175"/>
    <mergeCell ref="K176:L176"/>
    <mergeCell ref="E142:F142"/>
    <mergeCell ref="D121:G121"/>
    <mergeCell ref="E140:F140"/>
    <mergeCell ref="D152:P153"/>
    <mergeCell ref="E156:F156"/>
    <mergeCell ref="J107:K107"/>
    <mergeCell ref="N107:O107"/>
    <mergeCell ref="H107:I107"/>
    <mergeCell ref="E159:F159"/>
    <mergeCell ref="J121:L121"/>
    <mergeCell ref="E160:F160"/>
    <mergeCell ref="E158:F158"/>
    <mergeCell ref="D161:F161"/>
    <mergeCell ref="E167:F167"/>
    <mergeCell ref="H212:J212"/>
    <mergeCell ref="H216:J216"/>
    <mergeCell ref="E215:E240"/>
    <mergeCell ref="F215:F240"/>
    <mergeCell ref="G215:G240"/>
    <mergeCell ref="H218:J218"/>
    <mergeCell ref="H238:J238"/>
    <mergeCell ref="H217:J217"/>
    <mergeCell ref="H220:J220"/>
    <mergeCell ref="H213:J213"/>
    <mergeCell ref="H230:J230"/>
    <mergeCell ref="H204:J204"/>
    <mergeCell ref="E178:E214"/>
    <mergeCell ref="F178:F214"/>
    <mergeCell ref="G178:G214"/>
    <mergeCell ref="D170:F170"/>
    <mergeCell ref="H178:J178"/>
    <mergeCell ref="G305:P305"/>
    <mergeCell ref="D305:F306"/>
    <mergeCell ref="E290:G290"/>
    <mergeCell ref="E291:G291"/>
    <mergeCell ref="D297:D298"/>
    <mergeCell ref="D215:D237"/>
    <mergeCell ref="E273:G273"/>
    <mergeCell ref="H205:J205"/>
    <mergeCell ref="H206:J206"/>
    <mergeCell ref="H210:J210"/>
    <mergeCell ref="H211:J211"/>
    <mergeCell ref="H207:J207"/>
    <mergeCell ref="H208:J208"/>
    <mergeCell ref="H186:J186"/>
    <mergeCell ref="H188:J188"/>
    <mergeCell ref="H209:J209"/>
    <mergeCell ref="M255:O255"/>
    <mergeCell ref="H181:J181"/>
    <mergeCell ref="D331:P334"/>
    <mergeCell ref="I336:J336"/>
    <mergeCell ref="D323:F323"/>
    <mergeCell ref="I326:J326"/>
    <mergeCell ref="D324:F324"/>
    <mergeCell ref="D120:G120"/>
    <mergeCell ref="D134:P135"/>
    <mergeCell ref="D143:F143"/>
    <mergeCell ref="E138:F138"/>
    <mergeCell ref="H246:J246"/>
    <mergeCell ref="E241:E245"/>
    <mergeCell ref="F241:F245"/>
    <mergeCell ref="J120:L120"/>
    <mergeCell ref="D129:P131"/>
    <mergeCell ref="E141:F141"/>
    <mergeCell ref="H224:J224"/>
    <mergeCell ref="H225:J225"/>
    <mergeCell ref="H226:J226"/>
    <mergeCell ref="D176:G176"/>
    <mergeCell ref="H176:J177"/>
    <mergeCell ref="H214:J214"/>
    <mergeCell ref="H179:J179"/>
    <mergeCell ref="E169:F169"/>
    <mergeCell ref="H183:J183"/>
    <mergeCell ref="E307:F307"/>
    <mergeCell ref="M287:M290"/>
    <mergeCell ref="N287:N290"/>
    <mergeCell ref="O287:O290"/>
    <mergeCell ref="P287:P290"/>
    <mergeCell ref="K268:K271"/>
    <mergeCell ref="E267:G267"/>
    <mergeCell ref="D259:P259"/>
    <mergeCell ref="G241:G245"/>
    <mergeCell ref="H250:J250"/>
    <mergeCell ref="M251:O251"/>
    <mergeCell ref="D273:D276"/>
    <mergeCell ref="D266:D272"/>
    <mergeCell ref="E318:F318"/>
    <mergeCell ref="E314:F314"/>
    <mergeCell ref="E315:F315"/>
    <mergeCell ref="E316:F316"/>
    <mergeCell ref="E308:F308"/>
    <mergeCell ref="E309:F309"/>
    <mergeCell ref="E310:F310"/>
    <mergeCell ref="E311:F311"/>
    <mergeCell ref="E312:F312"/>
    <mergeCell ref="E313:F313"/>
    <mergeCell ref="H104:I104"/>
    <mergeCell ref="J104:K104"/>
    <mergeCell ref="D103:G103"/>
    <mergeCell ref="D104:G104"/>
    <mergeCell ref="D105:G105"/>
    <mergeCell ref="J96:L96"/>
    <mergeCell ref="D277:D278"/>
    <mergeCell ref="D102:P102"/>
    <mergeCell ref="J97:L97"/>
    <mergeCell ref="J98:L98"/>
    <mergeCell ref="H103:I103"/>
    <mergeCell ref="H106:I106"/>
    <mergeCell ref="J105:K105"/>
    <mergeCell ref="L103:M103"/>
    <mergeCell ref="N103:O103"/>
    <mergeCell ref="J103:K103"/>
    <mergeCell ref="L104:M104"/>
    <mergeCell ref="E165:F165"/>
    <mergeCell ref="D111:P114"/>
    <mergeCell ref="L106:M106"/>
    <mergeCell ref="L107:M107"/>
    <mergeCell ref="L105:M105"/>
    <mergeCell ref="H180:J180"/>
    <mergeCell ref="D178:D214"/>
    <mergeCell ref="H105:I105"/>
    <mergeCell ref="K292:P292"/>
    <mergeCell ref="D304:P304"/>
    <mergeCell ref="E277:G277"/>
    <mergeCell ref="K287:K290"/>
    <mergeCell ref="L287:L290"/>
    <mergeCell ref="E284:G284"/>
    <mergeCell ref="E275:G275"/>
    <mergeCell ref="E276:G276"/>
    <mergeCell ref="E266:G266"/>
    <mergeCell ref="D299:D300"/>
    <mergeCell ref="D301:G301"/>
    <mergeCell ref="E294:G294"/>
    <mergeCell ref="E295:G295"/>
    <mergeCell ref="D292:D296"/>
    <mergeCell ref="E300:G300"/>
    <mergeCell ref="E278:G278"/>
    <mergeCell ref="D279:D280"/>
    <mergeCell ref="E279:G279"/>
    <mergeCell ref="E293:G293"/>
    <mergeCell ref="D106:G106"/>
    <mergeCell ref="J106:K106"/>
    <mergeCell ref="I274:I275"/>
    <mergeCell ref="J274:J275"/>
    <mergeCell ref="G26:P26"/>
    <mergeCell ref="G23:M23"/>
    <mergeCell ref="D27:F27"/>
    <mergeCell ref="D32:F32"/>
    <mergeCell ref="O268:O271"/>
    <mergeCell ref="H187:J187"/>
    <mergeCell ref="H184:J184"/>
    <mergeCell ref="H182:J182"/>
    <mergeCell ref="G39:P39"/>
    <mergeCell ref="G40:P40"/>
    <mergeCell ref="G36:P36"/>
    <mergeCell ref="D246:D250"/>
    <mergeCell ref="E246:E250"/>
    <mergeCell ref="F246:F250"/>
    <mergeCell ref="G246:G250"/>
    <mergeCell ref="E89:J89"/>
    <mergeCell ref="L89:O89"/>
    <mergeCell ref="E90:J90"/>
    <mergeCell ref="L90:O90"/>
    <mergeCell ref="I66:O66"/>
    <mergeCell ref="I67:O67"/>
    <mergeCell ref="N104:O104"/>
    <mergeCell ref="N105:O105"/>
    <mergeCell ref="N106:O106"/>
    <mergeCell ref="C2:Q2"/>
    <mergeCell ref="C3:P3"/>
    <mergeCell ref="C4:Q4"/>
    <mergeCell ref="G20:M20"/>
    <mergeCell ref="G22:M22"/>
    <mergeCell ref="G16:J16"/>
    <mergeCell ref="K16:P16"/>
    <mergeCell ref="G15:J15"/>
    <mergeCell ref="K15:P15"/>
    <mergeCell ref="G19:M19"/>
    <mergeCell ref="L10:N10"/>
    <mergeCell ref="L11:N11"/>
    <mergeCell ref="J11:K11"/>
    <mergeCell ref="D11:I11"/>
    <mergeCell ref="D10:I10"/>
    <mergeCell ref="J10:K10"/>
    <mergeCell ref="D15:F15"/>
    <mergeCell ref="G21:M21"/>
    <mergeCell ref="D16:F16"/>
    <mergeCell ref="I64:O64"/>
    <mergeCell ref="I60:J61"/>
    <mergeCell ref="K60:M60"/>
    <mergeCell ref="I53:J53"/>
    <mergeCell ref="D53:G53"/>
    <mergeCell ref="G60:H61"/>
    <mergeCell ref="D64:G65"/>
    <mergeCell ref="I65:O65"/>
    <mergeCell ref="E45:E46"/>
    <mergeCell ref="J47:L47"/>
    <mergeCell ref="M45:N46"/>
    <mergeCell ref="M47:N47"/>
    <mergeCell ref="O45:P46"/>
    <mergeCell ref="O47:P47"/>
    <mergeCell ref="K61:M61"/>
    <mergeCell ref="F49:H49"/>
    <mergeCell ref="F51:H51"/>
    <mergeCell ref="J45:L46"/>
    <mergeCell ref="G45:I45"/>
    <mergeCell ref="N41:P41"/>
    <mergeCell ref="N59:O59"/>
    <mergeCell ref="G33:P33"/>
    <mergeCell ref="G27:P27"/>
    <mergeCell ref="G28:P28"/>
    <mergeCell ref="G43:P43"/>
    <mergeCell ref="K59:M59"/>
    <mergeCell ref="G37:P37"/>
    <mergeCell ref="G38:P38"/>
    <mergeCell ref="G42:P42"/>
    <mergeCell ref="G31:P31"/>
    <mergeCell ref="K51:L51"/>
    <mergeCell ref="G32:P32"/>
    <mergeCell ref="H41:I41"/>
    <mergeCell ref="K41:L41"/>
    <mergeCell ref="H394:I394"/>
    <mergeCell ref="H386:I386"/>
    <mergeCell ref="K264:P264"/>
    <mergeCell ref="F45:F46"/>
    <mergeCell ref="H229:J229"/>
    <mergeCell ref="H221:J221"/>
    <mergeCell ref="H222:J222"/>
    <mergeCell ref="L80:O80"/>
    <mergeCell ref="I72:O72"/>
    <mergeCell ref="I73:O73"/>
    <mergeCell ref="L83:O83"/>
    <mergeCell ref="L87:O87"/>
    <mergeCell ref="L88:O88"/>
    <mergeCell ref="E84:J84"/>
    <mergeCell ref="E86:J86"/>
    <mergeCell ref="L84:O84"/>
    <mergeCell ref="E81:J81"/>
    <mergeCell ref="L81:O81"/>
    <mergeCell ref="L86:O86"/>
    <mergeCell ref="O98:P98"/>
    <mergeCell ref="N60:O60"/>
    <mergeCell ref="N61:O61"/>
    <mergeCell ref="D60:F61"/>
    <mergeCell ref="D71:G71"/>
    <mergeCell ref="D66:G67"/>
    <mergeCell ref="I75:O75"/>
    <mergeCell ref="E80:J80"/>
    <mergeCell ref="E87:J87"/>
    <mergeCell ref="E88:J88"/>
    <mergeCell ref="H97:I98"/>
    <mergeCell ref="O96:P96"/>
    <mergeCell ref="O97:P97"/>
    <mergeCell ref="I68:O68"/>
    <mergeCell ref="D72:G72"/>
    <mergeCell ref="D73:G73"/>
    <mergeCell ref="E92:K92"/>
    <mergeCell ref="E83:J83"/>
    <mergeCell ref="I69:O69"/>
    <mergeCell ref="I71:O71"/>
    <mergeCell ref="D68:G69"/>
    <mergeCell ref="D97:E98"/>
    <mergeCell ref="F97:G98"/>
    <mergeCell ref="I402:K402"/>
    <mergeCell ref="N384:P385"/>
    <mergeCell ref="E401:G401"/>
    <mergeCell ref="E402:G402"/>
    <mergeCell ref="D377:G377"/>
    <mergeCell ref="H377:L377"/>
    <mergeCell ref="M377:N377"/>
    <mergeCell ref="H375:L375"/>
    <mergeCell ref="H376:L376"/>
    <mergeCell ref="H391:I391"/>
    <mergeCell ref="H392:I392"/>
    <mergeCell ref="E391:G391"/>
    <mergeCell ref="N390:P394"/>
    <mergeCell ref="D388:D389"/>
    <mergeCell ref="E388:G389"/>
    <mergeCell ref="H385:I385"/>
    <mergeCell ref="E384:G385"/>
    <mergeCell ref="D384:D385"/>
    <mergeCell ref="L384:M385"/>
    <mergeCell ref="H388:I388"/>
    <mergeCell ref="H389:I389"/>
    <mergeCell ref="H390:I390"/>
    <mergeCell ref="D386:D387"/>
    <mergeCell ref="E390:G390"/>
    <mergeCell ref="L433:N433"/>
    <mergeCell ref="E403:G403"/>
    <mergeCell ref="D408:P410"/>
    <mergeCell ref="D413:P415"/>
    <mergeCell ref="M428:N428"/>
    <mergeCell ref="L401:M403"/>
    <mergeCell ref="N395:P403"/>
    <mergeCell ref="E395:G395"/>
    <mergeCell ref="E433:H433"/>
    <mergeCell ref="L395:M396"/>
    <mergeCell ref="D395:D403"/>
    <mergeCell ref="I395:K395"/>
    <mergeCell ref="I396:K396"/>
    <mergeCell ref="I397:K397"/>
    <mergeCell ref="I398:K398"/>
    <mergeCell ref="I401:K401"/>
    <mergeCell ref="I403:K403"/>
    <mergeCell ref="E396:G396"/>
    <mergeCell ref="E399:G399"/>
    <mergeCell ref="E400:G400"/>
    <mergeCell ref="E397:G397"/>
    <mergeCell ref="E398:G398"/>
    <mergeCell ref="L399:M400"/>
    <mergeCell ref="L397:M398"/>
    <mergeCell ref="L390:M394"/>
    <mergeCell ref="L388:M388"/>
    <mergeCell ref="G370:J370"/>
    <mergeCell ref="G368:J368"/>
    <mergeCell ref="M374:N374"/>
    <mergeCell ref="M375:N375"/>
    <mergeCell ref="D378:G378"/>
    <mergeCell ref="H378:L378"/>
    <mergeCell ref="M378:N378"/>
    <mergeCell ref="E394:G394"/>
    <mergeCell ref="H374:L374"/>
    <mergeCell ref="D390:D394"/>
    <mergeCell ref="E393:G393"/>
    <mergeCell ref="L387:M387"/>
    <mergeCell ref="H384:K384"/>
    <mergeCell ref="N386:P389"/>
    <mergeCell ref="E392:G392"/>
    <mergeCell ref="H387:I387"/>
    <mergeCell ref="H393:I393"/>
    <mergeCell ref="D374:G374"/>
    <mergeCell ref="D375:G375"/>
    <mergeCell ref="D376:G376"/>
    <mergeCell ref="L389:M389"/>
    <mergeCell ref="L386:M386"/>
    <mergeCell ref="M376:N376"/>
    <mergeCell ref="J353:N353"/>
    <mergeCell ref="H248:J248"/>
    <mergeCell ref="D260:P262"/>
    <mergeCell ref="H245:J245"/>
    <mergeCell ref="D241:D245"/>
    <mergeCell ref="K282:P282"/>
    <mergeCell ref="D253:G255"/>
    <mergeCell ref="E317:F317"/>
    <mergeCell ref="D282:J282"/>
    <mergeCell ref="D314:D320"/>
    <mergeCell ref="D307:D313"/>
    <mergeCell ref="E320:F320"/>
    <mergeCell ref="E272:G272"/>
    <mergeCell ref="E283:G283"/>
    <mergeCell ref="E285:G285"/>
    <mergeCell ref="O349:P349"/>
    <mergeCell ref="O350:P350"/>
    <mergeCell ref="O351:P351"/>
    <mergeCell ref="O352:P352"/>
    <mergeCell ref="D321:D322"/>
    <mergeCell ref="E321:F321"/>
    <mergeCell ref="E322:F322"/>
    <mergeCell ref="D340:E340"/>
    <mergeCell ref="E386:G387"/>
    <mergeCell ref="F340:H340"/>
    <mergeCell ref="H192:J192"/>
    <mergeCell ref="H193:J193"/>
    <mergeCell ref="H194:J194"/>
    <mergeCell ref="H195:J195"/>
    <mergeCell ref="H196:J196"/>
    <mergeCell ref="H201:J201"/>
    <mergeCell ref="H202:J202"/>
    <mergeCell ref="H197:J197"/>
    <mergeCell ref="H198:J198"/>
    <mergeCell ref="D353:F353"/>
    <mergeCell ref="G348:I348"/>
    <mergeCell ref="G349:I349"/>
    <mergeCell ref="G350:I350"/>
    <mergeCell ref="G351:I351"/>
    <mergeCell ref="G352:I352"/>
    <mergeCell ref="G353:I353"/>
    <mergeCell ref="J349:N349"/>
    <mergeCell ref="J350:N350"/>
    <mergeCell ref="J351:N351"/>
    <mergeCell ref="J352:N352"/>
    <mergeCell ref="H249:J249"/>
    <mergeCell ref="H247:J247"/>
    <mergeCell ref="I399:K399"/>
    <mergeCell ref="I400:K400"/>
    <mergeCell ref="F341:H341"/>
    <mergeCell ref="H243:J243"/>
    <mergeCell ref="E289:G289"/>
    <mergeCell ref="E270:G270"/>
    <mergeCell ref="E271:G271"/>
    <mergeCell ref="H215:J215"/>
    <mergeCell ref="H199:J199"/>
    <mergeCell ref="H200:J200"/>
    <mergeCell ref="E265:G265"/>
    <mergeCell ref="H241:J241"/>
    <mergeCell ref="H242:J242"/>
    <mergeCell ref="H244:J244"/>
    <mergeCell ref="E269:G269"/>
    <mergeCell ref="E362:P362"/>
    <mergeCell ref="E363:P363"/>
    <mergeCell ref="D359:P359"/>
    <mergeCell ref="O348:P348"/>
    <mergeCell ref="D348:F348"/>
    <mergeCell ref="D349:F349"/>
    <mergeCell ref="D350:F350"/>
    <mergeCell ref="D351:F351"/>
    <mergeCell ref="D352:F352"/>
    <mergeCell ref="D110:P110"/>
    <mergeCell ref="O353:P353"/>
    <mergeCell ref="H203:J203"/>
    <mergeCell ref="J348:N348"/>
    <mergeCell ref="E360:P360"/>
    <mergeCell ref="E361:P361"/>
    <mergeCell ref="H235:J235"/>
    <mergeCell ref="H236:J236"/>
    <mergeCell ref="H237:J237"/>
    <mergeCell ref="H227:J227"/>
    <mergeCell ref="H228:J228"/>
    <mergeCell ref="H233:J233"/>
    <mergeCell ref="E287:G287"/>
    <mergeCell ref="E280:G280"/>
    <mergeCell ref="E274:G274"/>
    <mergeCell ref="E268:G268"/>
    <mergeCell ref="K284:P284"/>
    <mergeCell ref="K286:P286"/>
    <mergeCell ref="D341:E343"/>
    <mergeCell ref="F342:H342"/>
    <mergeCell ref="F343:H343"/>
    <mergeCell ref="H234:J234"/>
    <mergeCell ref="H189:J189"/>
    <mergeCell ref="H191:J191"/>
  </mergeCells>
  <conditionalFormatting sqref="E386:P403">
    <cfRule type="expression" dxfId="238" priority="149">
      <formula>$D$16=""</formula>
    </cfRule>
  </conditionalFormatting>
  <conditionalFormatting sqref="C55:P58 P81 C82:P83 C70:P70 C67:C69 C66:D66 C75:H76 C72:C74 H74:O74 H72:H73 C77:P80 C85:P91 P84 C59:H59 J59:K59 C60:D60 C62:P62 C63:G63 I63:O63 C99:P102 C103:N103 P103 C104:G107 C97:D97 C108:P109 K60 C61 C98 N59 C71:I71 J96:J98 M96:N96 C64:C65 C81:K81 C84:K84 C93:P95 C92:E92 L92:P92 A215:G215 A179:C214 H179:P180 H213:P214 H239:P240 A217:D240 A178:G178 H216:P217 C110:D110 H182:P211 H219:P237 A111:P177 A241:P440">
    <cfRule type="expression" dxfId="237" priority="425">
      <formula>$K$53="No"</formula>
    </cfRule>
  </conditionalFormatting>
  <conditionalFormatting sqref="P200">
    <cfRule type="expression" dxfId="236" priority="144">
      <formula>$K$53="No"</formula>
    </cfRule>
  </conditionalFormatting>
  <conditionalFormatting sqref="H198:J198">
    <cfRule type="expression" dxfId="235" priority="147">
      <formula>$K$53="No"</formula>
    </cfRule>
  </conditionalFormatting>
  <conditionalFormatting sqref="K200:O200">
    <cfRule type="expression" dxfId="234" priority="145">
      <formula>$K$53="No"</formula>
    </cfRule>
  </conditionalFormatting>
  <conditionalFormatting sqref="P213">
    <cfRule type="expression" dxfId="233" priority="140">
      <formula>$K$53="No"</formula>
    </cfRule>
  </conditionalFormatting>
  <conditionalFormatting sqref="P243">
    <cfRule type="expression" dxfId="232" priority="118">
      <formula>$K$53="No"</formula>
    </cfRule>
  </conditionalFormatting>
  <conditionalFormatting sqref="P179">
    <cfRule type="expression" dxfId="231" priority="141">
      <formula>$K$53="No"</formula>
    </cfRule>
  </conditionalFormatting>
  <conditionalFormatting sqref="D68">
    <cfRule type="expression" dxfId="230" priority="134">
      <formula>$K$53="No"</formula>
    </cfRule>
  </conditionalFormatting>
  <conditionalFormatting sqref="C96:H96">
    <cfRule type="expression" dxfId="229" priority="133">
      <formula>$K$53="No"</formula>
    </cfRule>
  </conditionalFormatting>
  <conditionalFormatting sqref="O96">
    <cfRule type="expression" dxfId="228" priority="131">
      <formula>$K$53="No"</formula>
    </cfRule>
  </conditionalFormatting>
  <conditionalFormatting sqref="K241">
    <cfRule type="expression" dxfId="227" priority="124">
      <formula>$K$53="No"</formula>
    </cfRule>
  </conditionalFormatting>
  <conditionalFormatting sqref="H241">
    <cfRule type="expression" dxfId="226" priority="123">
      <formula>$K$53="No"</formula>
    </cfRule>
  </conditionalFormatting>
  <conditionalFormatting sqref="P241">
    <cfRule type="expression" dxfId="225" priority="122">
      <formula>$K$53="No"</formula>
    </cfRule>
  </conditionalFormatting>
  <conditionalFormatting sqref="P248">
    <cfRule type="expression" dxfId="224" priority="110">
      <formula>$K$53="No"</formula>
    </cfRule>
  </conditionalFormatting>
  <conditionalFormatting sqref="C243">
    <cfRule type="expression" dxfId="223" priority="121">
      <formula>$K$53="No"</formula>
    </cfRule>
  </conditionalFormatting>
  <conditionalFormatting sqref="K243">
    <cfRule type="expression" dxfId="222" priority="120">
      <formula>$K$53="No"</formula>
    </cfRule>
  </conditionalFormatting>
  <conditionalFormatting sqref="H243">
    <cfRule type="expression" dxfId="221" priority="119">
      <formula>$K$53="No"</formula>
    </cfRule>
  </conditionalFormatting>
  <conditionalFormatting sqref="C246:G246">
    <cfRule type="expression" dxfId="220" priority="117">
      <formula>$K$53="No"</formula>
    </cfRule>
  </conditionalFormatting>
  <conditionalFormatting sqref="K246">
    <cfRule type="expression" dxfId="219" priority="116">
      <formula>$K$53="No"</formula>
    </cfRule>
  </conditionalFormatting>
  <conditionalFormatting sqref="P246">
    <cfRule type="expression" dxfId="218" priority="114">
      <formula>$K$53="No"</formula>
    </cfRule>
  </conditionalFormatting>
  <conditionalFormatting sqref="C248">
    <cfRule type="expression" dxfId="217" priority="113">
      <formula>$K$53="No"</formula>
    </cfRule>
  </conditionalFormatting>
  <conditionalFormatting sqref="K248">
    <cfRule type="expression" dxfId="216" priority="112">
      <formula>$K$53="No"</formula>
    </cfRule>
  </conditionalFormatting>
  <conditionalFormatting sqref="H248">
    <cfRule type="expression" dxfId="215" priority="111">
      <formula>$K$53="No"</formula>
    </cfRule>
  </conditionalFormatting>
  <conditionalFormatting sqref="K61">
    <cfRule type="expression" dxfId="214" priority="109">
      <formula>$K$53="No"</formula>
    </cfRule>
  </conditionalFormatting>
  <conditionalFormatting sqref="D64">
    <cfRule type="expression" dxfId="213" priority="108">
      <formula>$K$53="No"</formula>
    </cfRule>
  </conditionalFormatting>
  <conditionalFormatting sqref="C265:P265">
    <cfRule type="expression" dxfId="212" priority="107">
      <formula>$K$53="No"</formula>
    </cfRule>
  </conditionalFormatting>
  <conditionalFormatting sqref="H179">
    <cfRule type="expression" dxfId="211" priority="106">
      <formula>$K$53="No"</formula>
    </cfRule>
  </conditionalFormatting>
  <conditionalFormatting sqref="H182:J182">
    <cfRule type="expression" dxfId="210" priority="105">
      <formula>$K$53="No"</formula>
    </cfRule>
  </conditionalFormatting>
  <conditionalFormatting sqref="H183:J190">
    <cfRule type="expression" dxfId="209" priority="104">
      <formula>$K$53="No"</formula>
    </cfRule>
  </conditionalFormatting>
  <conditionalFormatting sqref="N183:N190">
    <cfRule type="expression" dxfId="208" priority="103">
      <formula>$K$53="No"</formula>
    </cfRule>
  </conditionalFormatting>
  <conditionalFormatting sqref="H191:P191">
    <cfRule type="expression" dxfId="207" priority="102">
      <formula>$K$53="No"</formula>
    </cfRule>
  </conditionalFormatting>
  <conditionalFormatting sqref="H192:J192">
    <cfRule type="expression" dxfId="206" priority="101">
      <formula>$K$53="No"</formula>
    </cfRule>
  </conditionalFormatting>
  <conditionalFormatting sqref="H196:J196">
    <cfRule type="expression" dxfId="205" priority="100">
      <formula>$K$53="No"</formula>
    </cfRule>
  </conditionalFormatting>
  <conditionalFormatting sqref="H194:J194">
    <cfRule type="expression" dxfId="204" priority="99">
      <formula>$K$53="No"</formula>
    </cfRule>
  </conditionalFormatting>
  <conditionalFormatting sqref="H193:J193">
    <cfRule type="expression" dxfId="203" priority="98">
      <formula>$K$53="No"</formula>
    </cfRule>
  </conditionalFormatting>
  <conditionalFormatting sqref="H195:J195">
    <cfRule type="expression" dxfId="202" priority="97">
      <formula>$K$53="No"</formula>
    </cfRule>
  </conditionalFormatting>
  <conditionalFormatting sqref="K192">
    <cfRule type="expression" dxfId="201" priority="96">
      <formula>$K$53="No"</formula>
    </cfRule>
  </conditionalFormatting>
  <conditionalFormatting sqref="K196">
    <cfRule type="expression" dxfId="200" priority="95">
      <formula>$K$53="No"</formula>
    </cfRule>
  </conditionalFormatting>
  <conditionalFormatting sqref="K194">
    <cfRule type="expression" dxfId="199" priority="94">
      <formula>$K$53="No"</formula>
    </cfRule>
  </conditionalFormatting>
  <conditionalFormatting sqref="K193">
    <cfRule type="expression" dxfId="198" priority="93">
      <formula>$K$53="No"</formula>
    </cfRule>
  </conditionalFormatting>
  <conditionalFormatting sqref="K195">
    <cfRule type="expression" dxfId="197" priority="92">
      <formula>$K$53="No"</formula>
    </cfRule>
  </conditionalFormatting>
  <conditionalFormatting sqref="M192">
    <cfRule type="expression" dxfId="196" priority="91">
      <formula>$K$53="No"</formula>
    </cfRule>
  </conditionalFormatting>
  <conditionalFormatting sqref="M196">
    <cfRule type="expression" dxfId="195" priority="90">
      <formula>$K$53="No"</formula>
    </cfRule>
  </conditionalFormatting>
  <conditionalFormatting sqref="M194">
    <cfRule type="expression" dxfId="194" priority="89">
      <formula>$K$53="No"</formula>
    </cfRule>
  </conditionalFormatting>
  <conditionalFormatting sqref="M193">
    <cfRule type="expression" dxfId="193" priority="88">
      <formula>$K$53="No"</formula>
    </cfRule>
  </conditionalFormatting>
  <conditionalFormatting sqref="M195">
    <cfRule type="expression" dxfId="192" priority="87">
      <formula>$K$53="No"</formula>
    </cfRule>
  </conditionalFormatting>
  <conditionalFormatting sqref="N192">
    <cfRule type="expression" dxfId="191" priority="86">
      <formula>$K$53="No"</formula>
    </cfRule>
  </conditionalFormatting>
  <conditionalFormatting sqref="N196">
    <cfRule type="expression" dxfId="190" priority="85">
      <formula>$K$53="No"</formula>
    </cfRule>
  </conditionalFormatting>
  <conditionalFormatting sqref="N194">
    <cfRule type="expression" dxfId="189" priority="84">
      <formula>$K$53="No"</formula>
    </cfRule>
  </conditionalFormatting>
  <conditionalFormatting sqref="N193">
    <cfRule type="expression" dxfId="188" priority="83">
      <formula>$K$53="No"</formula>
    </cfRule>
  </conditionalFormatting>
  <conditionalFormatting sqref="N195">
    <cfRule type="expression" dxfId="187" priority="82">
      <formula>$K$53="No"</formula>
    </cfRule>
  </conditionalFormatting>
  <conditionalFormatting sqref="H197">
    <cfRule type="expression" dxfId="186" priority="81">
      <formula>$K$53="No"</formula>
    </cfRule>
  </conditionalFormatting>
  <conditionalFormatting sqref="N198">
    <cfRule type="expression" dxfId="185" priority="80">
      <formula>$K$53="No"</formula>
    </cfRule>
  </conditionalFormatting>
  <conditionalFormatting sqref="H200">
    <cfRule type="expression" dxfId="184" priority="79">
      <formula>$K$53="No"</formula>
    </cfRule>
  </conditionalFormatting>
  <conditionalFormatting sqref="H211">
    <cfRule type="expression" dxfId="183" priority="78">
      <formula>$K$53="No"</formula>
    </cfRule>
  </conditionalFormatting>
  <conditionalFormatting sqref="O228">
    <cfRule type="expression" dxfId="182" priority="63">
      <formula>$K$53="No"</formula>
    </cfRule>
  </conditionalFormatting>
  <conditionalFormatting sqref="H220:L226 K221:K229">
    <cfRule type="expression" dxfId="181" priority="71">
      <formula>$K$53="No"</formula>
    </cfRule>
  </conditionalFormatting>
  <conditionalFormatting sqref="H219">
    <cfRule type="expression" dxfId="180" priority="73">
      <formula>$K$53="No"</formula>
    </cfRule>
  </conditionalFormatting>
  <conditionalFormatting sqref="M220:M228">
    <cfRule type="expression" dxfId="179" priority="72">
      <formula>$K$53="No"</formula>
    </cfRule>
  </conditionalFormatting>
  <conditionalFormatting sqref="H227:J227">
    <cfRule type="expression" dxfId="178" priority="69">
      <formula>$K$53="No"</formula>
    </cfRule>
  </conditionalFormatting>
  <conditionalFormatting sqref="N220:N227">
    <cfRule type="expression" dxfId="177" priority="70">
      <formula>$K$53="No"</formula>
    </cfRule>
  </conditionalFormatting>
  <conditionalFormatting sqref="H228:J228">
    <cfRule type="expression" dxfId="176" priority="68">
      <formula>$K$53="No"</formula>
    </cfRule>
  </conditionalFormatting>
  <conditionalFormatting sqref="H229:J229">
    <cfRule type="expression" dxfId="175" priority="67">
      <formula>$K$53="No"</formula>
    </cfRule>
  </conditionalFormatting>
  <conditionalFormatting sqref="N228">
    <cfRule type="expression" dxfId="174" priority="66">
      <formula>$K$53="No"</formula>
    </cfRule>
  </conditionalFormatting>
  <conditionalFormatting sqref="O229">
    <cfRule type="expression" dxfId="173" priority="65">
      <formula>$K$53="No"</formula>
    </cfRule>
  </conditionalFormatting>
  <conditionalFormatting sqref="O220:O227">
    <cfRule type="expression" dxfId="172" priority="64">
      <formula>$K$53="No"</formula>
    </cfRule>
  </conditionalFormatting>
  <conditionalFormatting sqref="H234:J234">
    <cfRule type="expression" dxfId="171" priority="59">
      <formula>$K$53="No"</formula>
    </cfRule>
  </conditionalFormatting>
  <conditionalFormatting sqref="H230">
    <cfRule type="expression" dxfId="170" priority="62">
      <formula>$K$53="No"</formula>
    </cfRule>
  </conditionalFormatting>
  <conditionalFormatting sqref="K234:M234">
    <cfRule type="expression" dxfId="169" priority="61">
      <formula>$K$53="No"</formula>
    </cfRule>
  </conditionalFormatting>
  <conditionalFormatting sqref="N234">
    <cfRule type="expression" dxfId="168" priority="60">
      <formula>$K$53="No"</formula>
    </cfRule>
  </conditionalFormatting>
  <conditionalFormatting sqref="H246">
    <cfRule type="expression" dxfId="167" priority="58">
      <formula>$K$53="No"</formula>
    </cfRule>
  </conditionalFormatting>
  <conditionalFormatting sqref="H213">
    <cfRule type="expression" dxfId="166" priority="57">
      <formula>$K$53="No"</formula>
    </cfRule>
  </conditionalFormatting>
  <conditionalFormatting sqref="M255">
    <cfRule type="expression" dxfId="165" priority="56">
      <formula>$K$53="No"</formula>
    </cfRule>
  </conditionalFormatting>
  <conditionalFormatting sqref="M340">
    <cfRule type="expression" dxfId="164" priority="55">
      <formula>$K$53="No"</formula>
    </cfRule>
  </conditionalFormatting>
  <conditionalFormatting sqref="K287:N287">
    <cfRule type="expression" dxfId="163" priority="54">
      <formula>$K$53="No"</formula>
    </cfRule>
  </conditionalFormatting>
  <conditionalFormatting sqref="E284:G284">
    <cfRule type="expression" dxfId="162" priority="53">
      <formula>$K$53="No"</formula>
    </cfRule>
  </conditionalFormatting>
  <conditionalFormatting sqref="H268:J268">
    <cfRule type="expression" dxfId="161" priority="50">
      <formula>$K$53="No"</formula>
    </cfRule>
  </conditionalFormatting>
  <conditionalFormatting sqref="K268:N268">
    <cfRule type="expression" dxfId="160" priority="49">
      <formula>$K$53="No"</formula>
    </cfRule>
  </conditionalFormatting>
  <conditionalFormatting sqref="N269">
    <cfRule type="expression" dxfId="159" priority="48">
      <formula>$K$53="No"</formula>
    </cfRule>
  </conditionalFormatting>
  <conditionalFormatting sqref="L269:N269">
    <cfRule type="expression" dxfId="158" priority="47">
      <formula>$K$53="No"</formula>
    </cfRule>
  </conditionalFormatting>
  <conditionalFormatting sqref="N270">
    <cfRule type="expression" dxfId="157" priority="46">
      <formula>$K$53="No"</formula>
    </cfRule>
  </conditionalFormatting>
  <conditionalFormatting sqref="L270:N270">
    <cfRule type="expression" dxfId="156" priority="45">
      <formula>$K$53="No"</formula>
    </cfRule>
  </conditionalFormatting>
  <conditionalFormatting sqref="N271">
    <cfRule type="expression" dxfId="155" priority="44">
      <formula>$K$53="No"</formula>
    </cfRule>
  </conditionalFormatting>
  <conditionalFormatting sqref="L271:N271">
    <cfRule type="expression" dxfId="154" priority="43">
      <formula>$K$53="No"</formula>
    </cfRule>
  </conditionalFormatting>
  <conditionalFormatting sqref="N275:O275">
    <cfRule type="expression" dxfId="153" priority="42">
      <formula>$K$53="No"</formula>
    </cfRule>
  </conditionalFormatting>
  <conditionalFormatting sqref="K239">
    <cfRule type="expression" dxfId="152" priority="41">
      <formula>$K$53="No"</formula>
    </cfRule>
  </conditionalFormatting>
  <conditionalFormatting sqref="P239">
    <cfRule type="expression" dxfId="151" priority="40">
      <formula>$K$53="No"</formula>
    </cfRule>
  </conditionalFormatting>
  <conditionalFormatting sqref="H239">
    <cfRule type="expression" dxfId="150" priority="39">
      <formula>$K$53="No"</formula>
    </cfRule>
  </conditionalFormatting>
  <conditionalFormatting sqref="E286:G286">
    <cfRule type="expression" dxfId="149" priority="38">
      <formula>$K$53="No"</formula>
    </cfRule>
  </conditionalFormatting>
  <conditionalFormatting sqref="D215">
    <cfRule type="expression" dxfId="148" priority="37">
      <formula>$K$53="No"</formula>
    </cfRule>
  </conditionalFormatting>
  <conditionalFormatting sqref="I257">
    <cfRule type="expression" dxfId="147" priority="36">
      <formula>$K$53="No"</formula>
    </cfRule>
  </conditionalFormatting>
  <conditionalFormatting sqref="I342">
    <cfRule type="expression" dxfId="146" priority="34">
      <formula>$K$53="No"</formula>
    </cfRule>
  </conditionalFormatting>
  <conditionalFormatting sqref="F340:I340">
    <cfRule type="expression" dxfId="145" priority="33">
      <formula>$K$53="No"</formula>
    </cfRule>
  </conditionalFormatting>
  <conditionalFormatting sqref="I341">
    <cfRule type="expression" dxfId="144" priority="32">
      <formula>$K$53="No"</formula>
    </cfRule>
  </conditionalFormatting>
  <conditionalFormatting sqref="I343">
    <cfRule type="expression" dxfId="143" priority="31">
      <formula>$K$53="No"</formula>
    </cfRule>
  </conditionalFormatting>
  <conditionalFormatting sqref="O278:O280">
    <cfRule type="expression" dxfId="142" priority="29">
      <formula>$K$53="No"</formula>
    </cfRule>
  </conditionalFormatting>
  <conditionalFormatting sqref="H277">
    <cfRule type="expression" dxfId="141" priority="28">
      <formula>$K$53="No"</formula>
    </cfRule>
  </conditionalFormatting>
  <conditionalFormatting sqref="H279">
    <cfRule type="expression" dxfId="140" priority="27">
      <formula>$K$53="No"</formula>
    </cfRule>
  </conditionalFormatting>
  <conditionalFormatting sqref="D111:P114">
    <cfRule type="expression" dxfId="139" priority="26">
      <formula>$K$53="No"</formula>
    </cfRule>
  </conditionalFormatting>
  <conditionalFormatting sqref="A55:P109 A110:D110">
    <cfRule type="expression" dxfId="138" priority="25">
      <formula>$K$53="No"</formula>
    </cfRule>
  </conditionalFormatting>
  <conditionalFormatting sqref="H178 N215">
    <cfRule type="expression" dxfId="137" priority="24">
      <formula>$J$65="No"</formula>
    </cfRule>
  </conditionalFormatting>
  <conditionalFormatting sqref="H181">
    <cfRule type="expression" dxfId="136" priority="23">
      <formula>$J$65="No"</formula>
    </cfRule>
  </conditionalFormatting>
  <conditionalFormatting sqref="K212:O212">
    <cfRule type="expression" dxfId="135" priority="22">
      <formula>$J$53="No"</formula>
    </cfRule>
  </conditionalFormatting>
  <conditionalFormatting sqref="P212">
    <cfRule type="expression" dxfId="134" priority="21">
      <formula>$J$53="No"</formula>
    </cfRule>
  </conditionalFormatting>
  <conditionalFormatting sqref="H212">
    <cfRule type="expression" dxfId="133" priority="20">
      <formula>$J$65="No"</formula>
    </cfRule>
  </conditionalFormatting>
  <conditionalFormatting sqref="A216:D216">
    <cfRule type="expression" dxfId="132" priority="19">
      <formula>$K$53="No"</formula>
    </cfRule>
  </conditionalFormatting>
  <conditionalFormatting sqref="P216">
    <cfRule type="expression" dxfId="131" priority="18">
      <formula>$K$53="No"</formula>
    </cfRule>
  </conditionalFormatting>
  <conditionalFormatting sqref="H216">
    <cfRule type="expression" dxfId="130" priority="17">
      <formula>$K$53="No"</formula>
    </cfRule>
  </conditionalFormatting>
  <conditionalFormatting sqref="D216">
    <cfRule type="expression" dxfId="129" priority="16">
      <formula>$K$53="No"</formula>
    </cfRule>
  </conditionalFormatting>
  <conditionalFormatting sqref="K215">
    <cfRule type="expression" dxfId="128" priority="15">
      <formula>$J$65="No"</formula>
    </cfRule>
  </conditionalFormatting>
  <conditionalFormatting sqref="P215">
    <cfRule type="expression" dxfId="127" priority="14">
      <formula>$J$65="No"</formula>
    </cfRule>
  </conditionalFormatting>
  <conditionalFormatting sqref="H215">
    <cfRule type="expression" dxfId="126" priority="13">
      <formula>$J$65="No"</formula>
    </cfRule>
  </conditionalFormatting>
  <conditionalFormatting sqref="K218:P218">
    <cfRule type="expression" dxfId="125" priority="12">
      <formula>$J$65="No"</formula>
    </cfRule>
  </conditionalFormatting>
  <conditionalFormatting sqref="H218">
    <cfRule type="expression" dxfId="124" priority="11">
      <formula>$J$65="No"</formula>
    </cfRule>
  </conditionalFormatting>
  <conditionalFormatting sqref="K238:P238">
    <cfRule type="expression" dxfId="123" priority="7">
      <formula>$J$65="No"</formula>
    </cfRule>
  </conditionalFormatting>
  <conditionalFormatting sqref="H238">
    <cfRule type="expression" dxfId="122" priority="6">
      <formula>$J$65="No"</formula>
    </cfRule>
  </conditionalFormatting>
  <conditionalFormatting sqref="L220:L227">
    <cfRule type="expression" dxfId="121" priority="5">
      <formula>$K$53="No"</formula>
    </cfRule>
  </conditionalFormatting>
  <conditionalFormatting sqref="L228">
    <cfRule type="expression" dxfId="120" priority="4">
      <formula>$K$53="No"</formula>
    </cfRule>
  </conditionalFormatting>
  <conditionalFormatting sqref="L234">
    <cfRule type="expression" dxfId="119" priority="3">
      <formula>$K$53="No"</formula>
    </cfRule>
  </conditionalFormatting>
  <conditionalFormatting sqref="L234">
    <cfRule type="expression" dxfId="118" priority="2">
      <formula>$K$53="No"</formula>
    </cfRule>
  </conditionalFormatting>
  <dataValidations xWindow="499" yWindow="633" count="3">
    <dataValidation type="decimal" operator="lessThanOrEqual" allowBlank="1" showInputMessage="1" showErrorMessage="1" error="INGRESAR VALOR ENTRE 0% AL 43%" sqref="J387">
      <formula1>0.43</formula1>
    </dataValidation>
    <dataValidation type="decimal" allowBlank="1" showInputMessage="1" showErrorMessage="1" error="INGRESAR VALOR ENTRE 0% AL 100%" sqref="J388:J394">
      <formula1>0</formula1>
      <formula2>1</formula2>
    </dataValidation>
    <dataValidation type="decimal" operator="lessThanOrEqual" allowBlank="1" showInputMessage="1" showErrorMessage="1" error="INGRESAR VALOR ENTRE 0% AL 69%" sqref="J386">
      <formula1>0.69</formula1>
    </dataValidation>
  </dataValidations>
  <printOptions horizontalCentered="1"/>
  <pageMargins left="0.23622047244094491" right="0.23622047244094491" top="0.74803149606299213" bottom="0.74803149606299213" header="0.31496062992125984" footer="0.31496062992125984"/>
  <pageSetup paperSize="9" scale="58" fitToHeight="10" orientation="portrait" r:id="rId1"/>
  <headerFooter alignWithMargins="0">
    <oddHeader>&amp;L&amp;G</oddHeader>
    <oddFooter>&amp;R&amp;P</oddFooter>
  </headerFooter>
  <rowBreaks count="6" manualBreakCount="6">
    <brk id="70" min="2" max="16" man="1"/>
    <brk id="136" min="2" max="16" man="1"/>
    <brk id="199" min="2" max="16" man="1"/>
    <brk id="272" min="2" max="16" man="1"/>
    <brk id="325" min="2" max="16" man="1"/>
    <brk id="417" min="2" max="16" man="1"/>
  </rowBreaks>
  <ignoredErrors>
    <ignoredError sqref="G167:P169 H170:P170 P179 P208 P241 J121 G307:P307 P187:P188 K285:O285 K291:O291 K288:N290 K293:O293 K295:O296 K294:M294 O294 G323:P324 K287:O287 K286 K292 G312:P312 G314:P314 G319:P319 G321:P322" unlocked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36" id="{0607ED09-25D6-485D-B0F5-D3080CD3A6BC}">
            <xm:f>'C:\Users\ASISTENTEUP0\AppData\Roaming\Microsoft\Excel\[FICHA_TECNICA_SIMPLIFICADA (version 1).xlsb]FICHA_SIMPLIFICADA'!#REF!="No"</xm:f>
            <x14:dxf>
              <font>
                <color theme="0"/>
              </font>
              <fill>
                <patternFill>
                  <bgColor theme="0"/>
                </patternFill>
              </fill>
              <border>
                <left/>
                <right/>
                <top/>
                <bottom/>
                <vertical/>
                <horizontal/>
              </border>
            </x14:dxf>
          </x14:cfRule>
          <xm:sqref>N177 H253:H255 D256:H256</xm:sqref>
        </x14:conditionalFormatting>
        <x14:conditionalFormatting xmlns:xm="http://schemas.microsoft.com/office/excel/2006/main">
          <x14:cfRule type="expression" priority="35" id="{FD0600C8-CCBF-489C-B8EA-DCD1513F3962}">
            <xm:f>'C:\Users\ASISTENTEUP0\AppData\Roaming\Microsoft\Excel\[FICHA_TECNICA_SIMPLIFICADA (version 1).xlsb]FICHA_SIMPLIFICADA'!#REF!="No"</xm:f>
            <x14:dxf>
              <font>
                <color theme="0"/>
              </font>
              <fill>
                <patternFill>
                  <bgColor theme="0"/>
                </patternFill>
              </fill>
              <border>
                <left/>
                <right/>
                <top/>
                <bottom/>
                <vertical/>
                <horizontal/>
              </border>
            </x14:dxf>
          </x14:cfRule>
          <xm:sqref>D257:H257</xm:sqref>
        </x14:conditionalFormatting>
        <x14:conditionalFormatting xmlns:xm="http://schemas.microsoft.com/office/excel/2006/main">
          <x14:cfRule type="expression" priority="1" id="{AF460FDD-6853-41C3-8E1A-5502FF15C523}">
            <xm:f>'C:\Users\ASISTENTEUP0\AppData\Roaming\Microsoft\Excel\[FICHA_TECNICA_SIMPLIFICADA (version 1).xlsb]FICHA_SIMPLIFICADA'!#REF!="No"</xm:f>
            <x14:dxf>
              <font>
                <color theme="0"/>
              </font>
              <fill>
                <patternFill>
                  <bgColor theme="0"/>
                </patternFill>
              </fill>
              <border>
                <left/>
                <right/>
                <top/>
                <bottom/>
                <vertical/>
                <horizontal/>
              </border>
            </x14:dxf>
          </x14:cfRule>
          <xm:sqref>D258</xm:sqref>
        </x14:conditionalFormatting>
      </x14:conditionalFormattings>
    </ext>
    <ext xmlns:x14="http://schemas.microsoft.com/office/spreadsheetml/2009/9/main" uri="{CCE6A557-97BC-4b89-ADB6-D9C93CAAB3DF}">
      <x14:dataValidations xmlns:xm="http://schemas.microsoft.com/office/excel/2006/main" xWindow="499" yWindow="633" count="33">
        <x14:dataValidation type="list" allowBlank="1" showInputMessage="1" showErrorMessage="1">
          <x14:formula1>
            <xm:f>'D1'!$A$3:$A$7</xm:f>
          </x14:formula1>
          <xm:sqref>D16:F16</xm:sqref>
        </x14:dataValidation>
        <x14:dataValidation type="list" allowBlank="1" showInputMessage="1" showErrorMessage="1">
          <x14:formula1>
            <xm:f>'D1'!$H$3:$H$5</xm:f>
          </x14:formula1>
          <xm:sqref>G43:P43</xm:sqref>
        </x14:dataValidation>
        <x14:dataValidation type="list" allowBlank="1" showInputMessage="1" showErrorMessage="1">
          <x14:formula1>
            <xm:f>'[3]Tipos de intervencion'!#REF!</xm:f>
          </x14:formula1>
          <xm:sqref>Q21</xm:sqref>
        </x14:dataValidation>
        <x14:dataValidation type="list" allowBlank="1" showInputMessage="1" showErrorMessage="1">
          <x14:formula1>
            <xm:f>'D1'!$I$3:$I$4</xm:f>
          </x14:formula1>
          <xm:sqref>K53</xm:sqref>
        </x14:dataValidation>
        <x14:dataValidation type="list" allowBlank="1" showInputMessage="1" showErrorMessage="1">
          <x14:formula1>
            <xm:f>'D1'!$E$100:$E$105</xm:f>
          </x14:formula1>
          <xm:sqref>L87:O90</xm:sqref>
        </x14:dataValidation>
        <x14:dataValidation type="list" allowBlank="1" showInputMessage="1" showErrorMessage="1">
          <x14:formula1>
            <xm:f>'D1'!$D$130:$D$133</xm:f>
          </x14:formula1>
          <xm:sqref>O350:O353</xm:sqref>
        </x14:dataValidation>
        <x14:dataValidation type="list" allowBlank="1" showInputMessage="1" showErrorMessage="1">
          <x14:formula1>
            <xm:f>'D1'!$O$3:$O$7</xm:f>
          </x14:formula1>
          <xm:sqref>G368:J368</xm:sqref>
        </x14:dataValidation>
        <x14:dataValidation type="list" allowBlank="1" showInputMessage="1" showErrorMessage="1">
          <x14:formula1>
            <xm:f>'D1'!$P$3:$P$7</xm:f>
          </x14:formula1>
          <xm:sqref>G370:J370</xm:sqref>
        </x14:dataValidation>
        <x14:dataValidation type="list" allowBlank="1" showInputMessage="1" showErrorMessage="1">
          <x14:formula1>
            <xm:f>'D1'!$G$3:$G$4</xm:f>
          </x14:formula1>
          <xm:sqref>G42:P42</xm:sqref>
        </x14:dataValidation>
        <x14:dataValidation type="list" allowBlank="1" showInputMessage="1" showErrorMessage="1">
          <x14:formula1>
            <xm:f>'D1'!$R$3:$R$16</xm:f>
          </x14:formula1>
          <xm:sqref>K386:K394</xm:sqref>
        </x14:dataValidation>
        <x14:dataValidation type="list" allowBlank="1" showInputMessage="1" showErrorMessage="1">
          <x14:formula1>
            <xm:f>Base_datos!$B$3:$B$8</xm:f>
          </x14:formula1>
          <xm:sqref>H390:I394</xm:sqref>
        </x14:dataValidation>
        <x14:dataValidation type="list" allowBlank="1" showInputMessage="1" showErrorMessage="1">
          <x14:formula1>
            <xm:f>Base_datos!$Q$12:$Q$14</xm:f>
          </x14:formula1>
          <xm:sqref>K12</xm:sqref>
        </x14:dataValidation>
        <x14:dataValidation type="list" allowBlank="1" showInputMessage="1" showErrorMessage="1">
          <x14:formula1>
            <xm:f>'D1'!$C$100:$C$107</xm:f>
          </x14:formula1>
          <xm:sqref>D350:D353</xm:sqref>
        </x14:dataValidation>
        <x14:dataValidation type="list" allowBlank="1" showInputMessage="1" showErrorMessage="1">
          <x14:formula1>
            <xm:f>'D1'!$D$100:$D$108</xm:f>
          </x14:formula1>
          <xm:sqref>G350:G353</xm:sqref>
        </x14:dataValidation>
        <x14:dataValidation type="list" allowBlank="1" showInputMessage="1" showErrorMessage="1">
          <x14:formula1>
            <xm:f>D_metodologías!$A$3:$A$4</xm:f>
          </x14:formula1>
          <xm:sqref>D64:G65</xm:sqref>
        </x14:dataValidation>
        <x14:dataValidation type="list" allowBlank="1" showInputMessage="1" showErrorMessage="1">
          <x14:formula1>
            <xm:f>D_metodologías!$B$3:$B$4</xm:f>
          </x14:formula1>
          <xm:sqref>D66:G67</xm:sqref>
        </x14:dataValidation>
        <x14:dataValidation type="list" allowBlank="1" showInputMessage="1" showErrorMessage="1">
          <x14:formula1>
            <xm:f>D_metodologías!$C$3:$C$4</xm:f>
          </x14:formula1>
          <xm:sqref>D68:G69</xm:sqref>
        </x14:dataValidation>
        <x14:dataValidation type="list" allowBlank="1" showInputMessage="1" showErrorMessage="1">
          <x14:formula1>
            <xm:f>D_metodologías!$A$11:$A$12</xm:f>
          </x14:formula1>
          <xm:sqref>I64:O64</xm:sqref>
        </x14:dataValidation>
        <x14:dataValidation type="list" allowBlank="1" showInputMessage="1" showErrorMessage="1">
          <x14:formula1>
            <xm:f>D_metodologías!$B$11:$B$12</xm:f>
          </x14:formula1>
          <xm:sqref>I65:O65</xm:sqref>
        </x14:dataValidation>
        <x14:dataValidation type="list" allowBlank="1" showInputMessage="1" showErrorMessage="1">
          <x14:formula1>
            <xm:f>D_metodologías!$C$11:$C$12</xm:f>
          </x14:formula1>
          <xm:sqref>I66:O66</xm:sqref>
        </x14:dataValidation>
        <x14:dataValidation type="list" allowBlank="1" showInputMessage="1" showErrorMessage="1">
          <x14:formula1>
            <xm:f>D_metodologías!$D$11:$D$12</xm:f>
          </x14:formula1>
          <xm:sqref>I67:O67</xm:sqref>
        </x14:dataValidation>
        <x14:dataValidation type="list" allowBlank="1" showInputMessage="1" showErrorMessage="1">
          <x14:formula1>
            <xm:f>D_metodologías!$E$11:$E$12</xm:f>
          </x14:formula1>
          <xm:sqref>I68:O68</xm:sqref>
        </x14:dataValidation>
        <x14:dataValidation type="list" allowBlank="1" showInputMessage="1" showErrorMessage="1">
          <x14:formula1>
            <xm:f>D_metodologías!$F$11:$F$12</xm:f>
          </x14:formula1>
          <xm:sqref>I69:O69</xm:sqref>
        </x14:dataValidation>
        <x14:dataValidation type="list" allowBlank="1" showInputMessage="1" showErrorMessage="1">
          <x14:formula1>
            <xm:f>D_metodologías!$A$17:$A$18</xm:f>
          </x14:formula1>
          <xm:sqref>D106:G106</xm:sqref>
        </x14:dataValidation>
        <x14:dataValidation type="list" allowBlank="1" showInputMessage="1" showErrorMessage="1">
          <x14:formula1>
            <xm:f>D_metodologías!$B$17:$B$18</xm:f>
          </x14:formula1>
          <xm:sqref>D107:G107</xm:sqref>
        </x14:dataValidation>
        <x14:dataValidation type="list" allowBlank="1" showInputMessage="1" showErrorMessage="1">
          <x14:formula1>
            <xm:f>D_metodologías!$A$21:$A$22</xm:f>
          </x14:formula1>
          <xm:sqref>H106:I106</xm:sqref>
        </x14:dataValidation>
        <x14:dataValidation type="list" allowBlank="1" showInputMessage="1" showErrorMessage="1">
          <x14:formula1>
            <xm:f>D_metodologías!$B$21:$B$22</xm:f>
          </x14:formula1>
          <xm:sqref>H107:I107</xm:sqref>
        </x14:dataValidation>
        <x14:dataValidation type="list" allowBlank="1" showInputMessage="1" showErrorMessage="1">
          <x14:formula1>
            <xm:f>D_metodologías!$A$24:$A$25</xm:f>
          </x14:formula1>
          <xm:sqref>J106:K106</xm:sqref>
        </x14:dataValidation>
        <x14:dataValidation type="list" allowBlank="1" showInputMessage="1" showErrorMessage="1">
          <x14:formula1>
            <xm:f>D_metodologías!$B$24:$B$25</xm:f>
          </x14:formula1>
          <xm:sqref>J107:K107</xm:sqref>
        </x14:dataValidation>
        <x14:dataValidation type="list" allowBlank="1" showInputMessage="1" showErrorMessage="1">
          <x14:formula1>
            <xm:f>D_metodologías!$A$27:$A$28</xm:f>
          </x14:formula1>
          <xm:sqref>L106:M106</xm:sqref>
        </x14:dataValidation>
        <x14:dataValidation type="list" allowBlank="1" showInputMessage="1" showErrorMessage="1">
          <x14:formula1>
            <xm:f>D_metodologías!$B$27:$B$28</xm:f>
          </x14:formula1>
          <xm:sqref>L107:M107</xm:sqref>
        </x14:dataValidation>
        <x14:dataValidation type="list" allowBlank="1" showInputMessage="1" showErrorMessage="1">
          <x14:formula1>
            <xm:f>D_metodologías!$A$30:$A$31</xm:f>
          </x14:formula1>
          <xm:sqref>N106:O106</xm:sqref>
        </x14:dataValidation>
        <x14:dataValidation type="list" allowBlank="1" showInputMessage="1" showErrorMessage="1">
          <x14:formula1>
            <xm:f>D_metodologías!$B$30:$B$31</xm:f>
          </x14:formula1>
          <xm:sqref>N107:O107</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tabColor theme="5" tint="-0.249977111117893"/>
  </sheetPr>
  <dimension ref="A1:AI1036"/>
  <sheetViews>
    <sheetView showGridLines="0" workbookViewId="0">
      <selection activeCell="F37" sqref="F37:H37"/>
    </sheetView>
  </sheetViews>
  <sheetFormatPr baseColWidth="10" defaultColWidth="10.85546875" defaultRowHeight="13.5" outlineLevelRow="2"/>
  <cols>
    <col min="1" max="1" width="7.140625" style="26" customWidth="1"/>
    <col min="2" max="2" width="62.140625" style="26" customWidth="1"/>
    <col min="3" max="3" width="9.42578125" style="26" customWidth="1"/>
    <col min="4" max="4" width="12.140625" style="26" customWidth="1"/>
    <col min="5" max="5" width="14.42578125" style="26" customWidth="1"/>
    <col min="6" max="6" width="15.28515625" style="26" customWidth="1"/>
    <col min="7" max="7" width="14.28515625" style="26" customWidth="1"/>
    <col min="8" max="8" width="10.5703125" style="26" customWidth="1"/>
    <col min="9" max="10" width="11.42578125" style="26" customWidth="1"/>
    <col min="11" max="11" width="13.28515625" style="26" customWidth="1"/>
    <col min="12" max="12" width="11.42578125" style="26" customWidth="1"/>
    <col min="13" max="13" width="10.85546875" style="26" customWidth="1"/>
    <col min="14" max="14" width="14.42578125" style="26" customWidth="1"/>
    <col min="15" max="15" width="2.140625" style="26" customWidth="1"/>
    <col min="16" max="16" width="1.5703125" style="26" customWidth="1"/>
    <col min="17" max="17" width="14.85546875" style="26" customWidth="1"/>
    <col min="18" max="18" width="13.85546875" style="26" customWidth="1"/>
    <col min="19" max="20" width="10.85546875" style="26"/>
    <col min="21" max="21" width="29.5703125" style="26" customWidth="1"/>
    <col min="22" max="22" width="14.42578125" style="26" customWidth="1"/>
    <col min="23" max="16384" width="10.85546875" style="26"/>
  </cols>
  <sheetData>
    <row r="1" spans="1:25" s="921" customFormat="1" ht="15.75">
      <c r="A1" s="928" t="s">
        <v>1285</v>
      </c>
    </row>
    <row r="2" spans="1:25" s="933" customFormat="1" ht="12.75" customHeight="1" outlineLevel="2">
      <c r="B2" s="1018" t="s">
        <v>1574</v>
      </c>
      <c r="C2" s="963"/>
      <c r="D2" s="963"/>
      <c r="E2" s="963"/>
      <c r="F2" s="963"/>
      <c r="G2" s="963"/>
      <c r="H2" s="963"/>
      <c r="I2" s="963"/>
      <c r="J2" s="963"/>
      <c r="K2" s="1020"/>
      <c r="L2" s="963"/>
      <c r="O2" s="980"/>
    </row>
    <row r="3" spans="1:25" s="933" customFormat="1" ht="16.5" customHeight="1" outlineLevel="2">
      <c r="B3" s="1981" t="s">
        <v>252</v>
      </c>
      <c r="C3" s="1981"/>
      <c r="D3" s="1981"/>
      <c r="E3" s="1981"/>
      <c r="F3" s="1981"/>
      <c r="G3" s="1981"/>
      <c r="H3" s="1981"/>
      <c r="I3" s="1981"/>
      <c r="J3" s="1981"/>
      <c r="K3" s="1981"/>
      <c r="L3" s="1981"/>
      <c r="M3" s="1981"/>
      <c r="N3" s="1981"/>
      <c r="O3" s="980"/>
    </row>
    <row r="4" spans="1:25" s="933" customFormat="1" ht="17.25" customHeight="1" outlineLevel="2">
      <c r="B4" s="1982" t="s">
        <v>244</v>
      </c>
      <c r="C4" s="1983"/>
      <c r="D4" s="1983"/>
      <c r="E4" s="1984"/>
      <c r="F4" s="1985" t="s">
        <v>1508</v>
      </c>
      <c r="G4" s="1986"/>
      <c r="H4" s="1987"/>
      <c r="I4" s="1982" t="s">
        <v>245</v>
      </c>
      <c r="J4" s="1984"/>
      <c r="K4" s="1982" t="s">
        <v>246</v>
      </c>
      <c r="L4" s="1984"/>
      <c r="M4" s="1985" t="s">
        <v>1577</v>
      </c>
      <c r="N4" s="1991" t="s">
        <v>1509</v>
      </c>
      <c r="O4" s="980"/>
    </row>
    <row r="5" spans="1:25" s="933" customFormat="1" ht="45" outlineLevel="2">
      <c r="B5" s="1039" t="s">
        <v>248</v>
      </c>
      <c r="C5" s="1039" t="s">
        <v>1510</v>
      </c>
      <c r="D5" s="1039" t="s">
        <v>73</v>
      </c>
      <c r="E5" s="1039" t="s">
        <v>249</v>
      </c>
      <c r="F5" s="1988"/>
      <c r="G5" s="1989"/>
      <c r="H5" s="1990"/>
      <c r="I5" s="1039" t="s">
        <v>780</v>
      </c>
      <c r="J5" s="1039" t="s">
        <v>253</v>
      </c>
      <c r="K5" s="1039" t="s">
        <v>1511</v>
      </c>
      <c r="L5" s="1039" t="s">
        <v>1512</v>
      </c>
      <c r="M5" s="1988"/>
      <c r="N5" s="1992"/>
      <c r="O5" s="980"/>
      <c r="S5" s="1123" t="s">
        <v>1513</v>
      </c>
      <c r="T5" s="1124" t="s">
        <v>1514</v>
      </c>
      <c r="U5" s="1124" t="s">
        <v>1515</v>
      </c>
      <c r="V5" s="1124" t="s">
        <v>1516</v>
      </c>
      <c r="W5" s="1124" t="s">
        <v>1517</v>
      </c>
      <c r="X5" s="1124" t="s">
        <v>21</v>
      </c>
      <c r="Y5" s="1125" t="s">
        <v>0</v>
      </c>
    </row>
    <row r="6" spans="1:25" s="933" customFormat="1" ht="30" customHeight="1" outlineLevel="2">
      <c r="B6" s="1993" t="s">
        <v>1567</v>
      </c>
      <c r="C6" s="1994" t="s">
        <v>35</v>
      </c>
      <c r="D6" s="1995">
        <f>L6+L14</f>
        <v>147.93600000000001</v>
      </c>
      <c r="E6" s="1996">
        <f>N6+N14+N24+N27+N35+N37</f>
        <v>881862.28077427193</v>
      </c>
      <c r="F6" s="1972" t="s">
        <v>1518</v>
      </c>
      <c r="G6" s="1973"/>
      <c r="H6" s="1973"/>
      <c r="I6" s="1126" t="s">
        <v>758</v>
      </c>
      <c r="J6" s="1126">
        <f>SUM(J7:J12)</f>
        <v>6</v>
      </c>
      <c r="K6" s="1127" t="s">
        <v>35</v>
      </c>
      <c r="L6" s="1127">
        <f>SUM(L7:L13)</f>
        <v>131.46800000000002</v>
      </c>
      <c r="M6" s="1128"/>
      <c r="N6" s="1129">
        <f>SUM(N7:N13)</f>
        <v>475807.80493307032</v>
      </c>
      <c r="O6" s="980"/>
      <c r="Q6" s="934" t="s">
        <v>1519</v>
      </c>
      <c r="R6" s="1130"/>
      <c r="S6" s="1131"/>
      <c r="T6" s="1129">
        <f>+T14+T18+T24+T27</f>
        <v>253865.90873136924</v>
      </c>
    </row>
    <row r="7" spans="1:25" s="933" customFormat="1" ht="13.5" customHeight="1" outlineLevel="2">
      <c r="B7" s="1993"/>
      <c r="C7" s="1994"/>
      <c r="D7" s="1995"/>
      <c r="E7" s="1996"/>
      <c r="F7" s="1974" t="s">
        <v>1520</v>
      </c>
      <c r="G7" s="1974"/>
      <c r="H7" s="1974"/>
      <c r="I7" s="1132" t="s">
        <v>1521</v>
      </c>
      <c r="J7" s="1132">
        <v>1</v>
      </c>
      <c r="K7" s="1108" t="s">
        <v>35</v>
      </c>
      <c r="L7" s="1133">
        <v>80</v>
      </c>
      <c r="M7" s="1134">
        <f t="shared" ref="M7:M12" si="0">N7/L7</f>
        <v>3619.1910193588578</v>
      </c>
      <c r="N7" s="1134">
        <f>Y7</f>
        <v>289535.28154870862</v>
      </c>
      <c r="O7" s="980"/>
      <c r="Q7" s="1135">
        <f t="shared" ref="Q7:Q13" si="1">R7/L7</f>
        <v>543.605861129137</v>
      </c>
      <c r="R7" s="1135">
        <f>(L7/D6)*R18</f>
        <v>43488.468890330958</v>
      </c>
      <c r="S7" s="1134">
        <f>2012.32+Q7</f>
        <v>2555.925861129137</v>
      </c>
      <c r="T7" s="1136">
        <f t="shared" ref="T7:T13" si="2">(L7*1)*S7</f>
        <v>204474.06889033096</v>
      </c>
      <c r="U7" s="1136">
        <f>T7*0.1</f>
        <v>20447.406889033096</v>
      </c>
      <c r="V7" s="1136">
        <f>T7*0.1</f>
        <v>20447.406889033096</v>
      </c>
      <c r="W7" s="1136">
        <f>T7+U7+V7</f>
        <v>245368.88266839716</v>
      </c>
      <c r="X7" s="1136">
        <f>W7*0.18</f>
        <v>44166.398880311484</v>
      </c>
      <c r="Y7" s="1136">
        <f>SUM(W7:X7)</f>
        <v>289535.28154870862</v>
      </c>
    </row>
    <row r="8" spans="1:25" s="933" customFormat="1" ht="12.75" outlineLevel="2">
      <c r="B8" s="1993"/>
      <c r="C8" s="1994"/>
      <c r="D8" s="1995"/>
      <c r="E8" s="1996"/>
      <c r="F8" s="1974" t="s">
        <v>298</v>
      </c>
      <c r="G8" s="1974"/>
      <c r="H8" s="1974"/>
      <c r="I8" s="1132" t="s">
        <v>1521</v>
      </c>
      <c r="J8" s="1132">
        <v>1</v>
      </c>
      <c r="K8" s="1108" t="s">
        <v>35</v>
      </c>
      <c r="L8" s="1133">
        <v>7</v>
      </c>
      <c r="M8" s="1134">
        <f t="shared" si="0"/>
        <v>3619.1910193588587</v>
      </c>
      <c r="N8" s="1134">
        <f t="shared" ref="N8:N34" si="3">Y8</f>
        <v>25334.337135512011</v>
      </c>
      <c r="O8" s="980"/>
      <c r="Q8" s="1135">
        <f t="shared" si="1"/>
        <v>543.605861129137</v>
      </c>
      <c r="R8" s="1135">
        <f>(L8/D6)*R18</f>
        <v>3805.2410279039591</v>
      </c>
      <c r="S8" s="1134">
        <f t="shared" ref="S8:S17" si="4">2012.32+Q8</f>
        <v>2555.925861129137</v>
      </c>
      <c r="T8" s="1136">
        <f t="shared" si="2"/>
        <v>17891.481027903959</v>
      </c>
      <c r="U8" s="1136">
        <f t="shared" ref="U8:U23" si="5">T8*0.1</f>
        <v>1789.148102790396</v>
      </c>
      <c r="V8" s="1136">
        <f t="shared" ref="V8:V13" si="6">T8*0.1</f>
        <v>1789.148102790396</v>
      </c>
      <c r="W8" s="1136">
        <f t="shared" ref="W8:W13" si="7">T8+U8+V8</f>
        <v>21469.777233484754</v>
      </c>
      <c r="X8" s="1136">
        <f t="shared" ref="X8:X23" si="8">W8*0.18</f>
        <v>3864.5599020272557</v>
      </c>
      <c r="Y8" s="1136">
        <f t="shared" ref="Y8:Y13" si="9">SUM(W8:X8)</f>
        <v>25334.337135512011</v>
      </c>
    </row>
    <row r="9" spans="1:25" s="933" customFormat="1" ht="12.75" outlineLevel="2">
      <c r="B9" s="1993"/>
      <c r="C9" s="1994"/>
      <c r="D9" s="1995"/>
      <c r="E9" s="1996"/>
      <c r="F9" s="1974" t="s">
        <v>1522</v>
      </c>
      <c r="G9" s="1974"/>
      <c r="H9" s="1974"/>
      <c r="I9" s="1132" t="s">
        <v>1521</v>
      </c>
      <c r="J9" s="1132">
        <v>1</v>
      </c>
      <c r="K9" s="1108" t="s">
        <v>35</v>
      </c>
      <c r="L9" s="1133">
        <v>10.5</v>
      </c>
      <c r="M9" s="1134">
        <f t="shared" si="0"/>
        <v>3619.1910193588583</v>
      </c>
      <c r="N9" s="1134">
        <f>Y9</f>
        <v>38001.505703268012</v>
      </c>
      <c r="O9" s="980"/>
      <c r="Q9" s="1135">
        <f t="shared" si="1"/>
        <v>543.605861129137</v>
      </c>
      <c r="R9" s="1135">
        <f>(L9/D6)*R18</f>
        <v>5707.8615418559384</v>
      </c>
      <c r="S9" s="1134">
        <f t="shared" si="4"/>
        <v>2555.925861129137</v>
      </c>
      <c r="T9" s="1136">
        <f t="shared" si="2"/>
        <v>26837.221541855939</v>
      </c>
      <c r="U9" s="1136">
        <f t="shared" si="5"/>
        <v>2683.7221541855943</v>
      </c>
      <c r="V9" s="1136">
        <f t="shared" si="6"/>
        <v>2683.7221541855943</v>
      </c>
      <c r="W9" s="1136">
        <f t="shared" si="7"/>
        <v>32204.665850227128</v>
      </c>
      <c r="X9" s="1136">
        <f t="shared" si="8"/>
        <v>5796.8398530408831</v>
      </c>
      <c r="Y9" s="1136">
        <f t="shared" si="9"/>
        <v>38001.505703268012</v>
      </c>
    </row>
    <row r="10" spans="1:25" s="933" customFormat="1" ht="12.75" outlineLevel="2">
      <c r="B10" s="1993"/>
      <c r="C10" s="1994"/>
      <c r="D10" s="1995"/>
      <c r="E10" s="1996"/>
      <c r="F10" s="1974" t="s">
        <v>20</v>
      </c>
      <c r="G10" s="1974"/>
      <c r="H10" s="1974"/>
      <c r="I10" s="1132" t="s">
        <v>1521</v>
      </c>
      <c r="J10" s="1132">
        <v>1</v>
      </c>
      <c r="K10" s="1108" t="s">
        <v>35</v>
      </c>
      <c r="L10" s="1133">
        <v>8.6999999999999993</v>
      </c>
      <c r="M10" s="1134">
        <f>N10/L10</f>
        <v>3619.1910193588583</v>
      </c>
      <c r="N10" s="1134">
        <f t="shared" si="3"/>
        <v>31486.961868422066</v>
      </c>
      <c r="O10" s="980"/>
      <c r="Q10" s="1135">
        <f t="shared" si="1"/>
        <v>543.605861129137</v>
      </c>
      <c r="R10" s="1135">
        <f>(L10/D6)*R18</f>
        <v>4729.3709918234917</v>
      </c>
      <c r="S10" s="1134">
        <f t="shared" si="4"/>
        <v>2555.925861129137</v>
      </c>
      <c r="T10" s="1136">
        <f t="shared" si="2"/>
        <v>22236.55499182349</v>
      </c>
      <c r="U10" s="1136">
        <f t="shared" si="5"/>
        <v>2223.6554991823491</v>
      </c>
      <c r="V10" s="1136">
        <f t="shared" si="6"/>
        <v>2223.6554991823491</v>
      </c>
      <c r="W10" s="1136">
        <f t="shared" si="7"/>
        <v>26683.865990188191</v>
      </c>
      <c r="X10" s="1136">
        <f t="shared" si="8"/>
        <v>4803.0958782338739</v>
      </c>
      <c r="Y10" s="1136">
        <f t="shared" si="9"/>
        <v>31486.961868422066</v>
      </c>
    </row>
    <row r="11" spans="1:25" s="933" customFormat="1" ht="12.75" outlineLevel="2">
      <c r="B11" s="1993"/>
      <c r="C11" s="1994"/>
      <c r="D11" s="1995"/>
      <c r="E11" s="1996"/>
      <c r="F11" s="1974" t="s">
        <v>1523</v>
      </c>
      <c r="G11" s="1974"/>
      <c r="H11" s="1974"/>
      <c r="I11" s="1132" t="s">
        <v>1521</v>
      </c>
      <c r="J11" s="1132">
        <v>1</v>
      </c>
      <c r="K11" s="1108" t="s">
        <v>35</v>
      </c>
      <c r="L11" s="1133">
        <v>5</v>
      </c>
      <c r="M11" s="1134">
        <f t="shared" si="0"/>
        <v>3619.1910193588578</v>
      </c>
      <c r="N11" s="1134">
        <f t="shared" si="3"/>
        <v>18095.955096794289</v>
      </c>
      <c r="O11" s="980"/>
      <c r="Q11" s="1135">
        <f t="shared" si="1"/>
        <v>543.605861129137</v>
      </c>
      <c r="R11" s="1135">
        <f>(L11/D6)*R18</f>
        <v>2718.0293056456849</v>
      </c>
      <c r="S11" s="1134">
        <f t="shared" si="4"/>
        <v>2555.925861129137</v>
      </c>
      <c r="T11" s="1136">
        <f>(L11*1)*S11</f>
        <v>12779.629305645685</v>
      </c>
      <c r="U11" s="1136">
        <f t="shared" si="5"/>
        <v>1277.9629305645685</v>
      </c>
      <c r="V11" s="1136">
        <f t="shared" si="6"/>
        <v>1277.9629305645685</v>
      </c>
      <c r="W11" s="1136">
        <f>T11+U11+V11</f>
        <v>15335.555166774822</v>
      </c>
      <c r="X11" s="1136">
        <f t="shared" si="8"/>
        <v>2760.3999300194678</v>
      </c>
      <c r="Y11" s="1136">
        <f>SUM(W11:X11)</f>
        <v>18095.955096794289</v>
      </c>
    </row>
    <row r="12" spans="1:25" s="933" customFormat="1" ht="12.75" outlineLevel="2">
      <c r="B12" s="1993"/>
      <c r="C12" s="1994"/>
      <c r="D12" s="1995"/>
      <c r="E12" s="1996"/>
      <c r="F12" s="1974" t="s">
        <v>1524</v>
      </c>
      <c r="G12" s="1974"/>
      <c r="H12" s="1974"/>
      <c r="I12" s="1132" t="s">
        <v>1521</v>
      </c>
      <c r="J12" s="1132">
        <v>1</v>
      </c>
      <c r="K12" s="1108" t="s">
        <v>35</v>
      </c>
      <c r="L12" s="1133">
        <v>3.12</v>
      </c>
      <c r="M12" s="1134">
        <f t="shared" si="0"/>
        <v>3619.1910193588583</v>
      </c>
      <c r="N12" s="1134">
        <f t="shared" si="3"/>
        <v>11291.875980399638</v>
      </c>
      <c r="O12" s="980"/>
      <c r="Q12" s="1135">
        <f t="shared" si="1"/>
        <v>543.605861129137</v>
      </c>
      <c r="R12" s="1135">
        <f>(L12/D6)*R18</f>
        <v>1696.0502867229075</v>
      </c>
      <c r="S12" s="1134">
        <f t="shared" si="4"/>
        <v>2555.925861129137</v>
      </c>
      <c r="T12" s="1136">
        <f>(L12*1)*S12</f>
        <v>7974.4886867229079</v>
      </c>
      <c r="U12" s="1136">
        <f t="shared" si="5"/>
        <v>797.44886867229081</v>
      </c>
      <c r="V12" s="1136">
        <f t="shared" si="6"/>
        <v>797.44886867229081</v>
      </c>
      <c r="W12" s="1136">
        <f t="shared" si="7"/>
        <v>9569.3864240674902</v>
      </c>
      <c r="X12" s="1136">
        <f t="shared" si="8"/>
        <v>1722.4895563321481</v>
      </c>
      <c r="Y12" s="1136">
        <f t="shared" si="9"/>
        <v>11291.875980399638</v>
      </c>
    </row>
    <row r="13" spans="1:25" s="933" customFormat="1" ht="12.75" outlineLevel="2">
      <c r="B13" s="1993"/>
      <c r="C13" s="1994"/>
      <c r="D13" s="1995"/>
      <c r="E13" s="1996"/>
      <c r="F13" s="1997" t="s">
        <v>1525</v>
      </c>
      <c r="G13" s="1998"/>
      <c r="H13" s="1999"/>
      <c r="I13" s="1137"/>
      <c r="J13" s="1137"/>
      <c r="K13" s="1138" t="s">
        <v>35</v>
      </c>
      <c r="L13" s="1138">
        <f>SUM(L7:L12)*0.15</f>
        <v>17.148</v>
      </c>
      <c r="M13" s="1134">
        <f>M12</f>
        <v>3619.1910193588583</v>
      </c>
      <c r="N13" s="1134">
        <f>L13*M13</f>
        <v>62061.887599965703</v>
      </c>
      <c r="O13" s="980"/>
      <c r="Q13" s="1135">
        <f t="shared" si="1"/>
        <v>543.605861129137</v>
      </c>
      <c r="R13" s="1135">
        <f>(L13/D6)*R18</f>
        <v>9321.7533066424403</v>
      </c>
      <c r="S13" s="1134">
        <f t="shared" si="4"/>
        <v>2555.925861129137</v>
      </c>
      <c r="T13" s="1136">
        <f t="shared" si="2"/>
        <v>43829.016666642441</v>
      </c>
      <c r="U13" s="1136">
        <f t="shared" si="5"/>
        <v>4382.9016666642447</v>
      </c>
      <c r="V13" s="1136">
        <f t="shared" si="6"/>
        <v>4382.9016666642447</v>
      </c>
      <c r="W13" s="1136">
        <f t="shared" si="7"/>
        <v>52594.819999970925</v>
      </c>
      <c r="X13" s="1136">
        <f t="shared" si="8"/>
        <v>9467.0675999947653</v>
      </c>
      <c r="Y13" s="1136">
        <f t="shared" si="9"/>
        <v>62061.887599965688</v>
      </c>
    </row>
    <row r="14" spans="1:25" s="933" customFormat="1" ht="26.25" customHeight="1" outlineLevel="2">
      <c r="B14" s="1993"/>
      <c r="C14" s="1994"/>
      <c r="D14" s="1995"/>
      <c r="E14" s="1996"/>
      <c r="F14" s="1972" t="s">
        <v>1526</v>
      </c>
      <c r="G14" s="1973"/>
      <c r="H14" s="1973"/>
      <c r="I14" s="1126" t="s">
        <v>758</v>
      </c>
      <c r="J14" s="1126">
        <f>SUM(J15:J16)</f>
        <v>2</v>
      </c>
      <c r="K14" s="1127" t="s">
        <v>35</v>
      </c>
      <c r="L14" s="1127">
        <f>SUM(L15:L17)</f>
        <v>16.468</v>
      </c>
      <c r="M14" s="1128"/>
      <c r="N14" s="1129">
        <f>SUM(N15:N17)</f>
        <v>59600.837706801671</v>
      </c>
      <c r="O14" s="980"/>
      <c r="R14" s="1135"/>
      <c r="T14" s="1129">
        <f>SUM(T15:T16)</f>
        <v>36600.858331369243</v>
      </c>
      <c r="U14" s="1125"/>
      <c r="V14" s="1125"/>
      <c r="W14" s="1125"/>
      <c r="X14" s="1125"/>
      <c r="Y14" s="1125"/>
    </row>
    <row r="15" spans="1:25" s="933" customFormat="1" ht="12.75" outlineLevel="2">
      <c r="B15" s="1993"/>
      <c r="C15" s="1994"/>
      <c r="D15" s="1995"/>
      <c r="E15" s="1996"/>
      <c r="F15" s="2000" t="s">
        <v>42</v>
      </c>
      <c r="G15" s="2001"/>
      <c r="H15" s="2002"/>
      <c r="I15" s="1132" t="s">
        <v>1521</v>
      </c>
      <c r="J15" s="1132">
        <v>1</v>
      </c>
      <c r="K15" s="1108" t="s">
        <v>35</v>
      </c>
      <c r="L15" s="1133">
        <v>6</v>
      </c>
      <c r="M15" s="1134">
        <f>N15/L15</f>
        <v>3619.1910193588587</v>
      </c>
      <c r="N15" s="1134">
        <f t="shared" si="3"/>
        <v>21715.146116153152</v>
      </c>
      <c r="O15" s="980"/>
      <c r="Q15" s="1135">
        <f>R15/L15</f>
        <v>543.605861129137</v>
      </c>
      <c r="R15" s="1135">
        <f>(L15/D6)*R18</f>
        <v>3261.6351667748218</v>
      </c>
      <c r="S15" s="1134">
        <f>2012.32+Q15</f>
        <v>2555.925861129137</v>
      </c>
      <c r="T15" s="1136">
        <f>(L15*1)*S15</f>
        <v>15335.555166774822</v>
      </c>
      <c r="U15" s="1136">
        <f t="shared" si="5"/>
        <v>1533.5555166774823</v>
      </c>
      <c r="V15" s="1136">
        <f>T15*0.1</f>
        <v>1533.5555166774823</v>
      </c>
      <c r="W15" s="1136">
        <f>T15+U15+V15</f>
        <v>18402.666200129788</v>
      </c>
      <c r="X15" s="1136">
        <f t="shared" si="8"/>
        <v>3312.479916023362</v>
      </c>
      <c r="Y15" s="1136">
        <f>SUM(W15:X15)</f>
        <v>21715.146116153152</v>
      </c>
    </row>
    <row r="16" spans="1:25" s="933" customFormat="1" ht="12.75" outlineLevel="2">
      <c r="B16" s="1993"/>
      <c r="C16" s="1994"/>
      <c r="D16" s="1995"/>
      <c r="E16" s="1996"/>
      <c r="F16" s="1974" t="s">
        <v>1527</v>
      </c>
      <c r="G16" s="1974"/>
      <c r="H16" s="1974"/>
      <c r="I16" s="1132" t="s">
        <v>1521</v>
      </c>
      <c r="J16" s="1132">
        <v>1</v>
      </c>
      <c r="K16" s="1108" t="s">
        <v>35</v>
      </c>
      <c r="L16" s="1133">
        <v>8.32</v>
      </c>
      <c r="M16" s="1134">
        <f>N16/L16</f>
        <v>3619.1910193588578</v>
      </c>
      <c r="N16" s="1134">
        <f t="shared" si="3"/>
        <v>30111.669281065697</v>
      </c>
      <c r="O16" s="980"/>
      <c r="Q16" s="1135">
        <f>R16/L16</f>
        <v>543.605861129137</v>
      </c>
      <c r="R16" s="1135">
        <f>(L16/D6)*R18</f>
        <v>4522.8007645944199</v>
      </c>
      <c r="S16" s="1134">
        <f t="shared" si="4"/>
        <v>2555.925861129137</v>
      </c>
      <c r="T16" s="1136">
        <f>(L16*1)*S16</f>
        <v>21265.303164594421</v>
      </c>
      <c r="U16" s="1136">
        <f t="shared" si="5"/>
        <v>2126.530316459442</v>
      </c>
      <c r="V16" s="1136">
        <f>T16*0.1</f>
        <v>2126.530316459442</v>
      </c>
      <c r="W16" s="1136">
        <f>T16+U16+V16</f>
        <v>25518.363797513302</v>
      </c>
      <c r="X16" s="1136">
        <f t="shared" si="8"/>
        <v>4593.3054835523944</v>
      </c>
      <c r="Y16" s="1136">
        <f>SUM(W16:X16)</f>
        <v>30111.669281065697</v>
      </c>
    </row>
    <row r="17" spans="2:25" s="933" customFormat="1" ht="12.75" outlineLevel="2">
      <c r="B17" s="1993"/>
      <c r="C17" s="1994"/>
      <c r="D17" s="1995"/>
      <c r="E17" s="1996"/>
      <c r="F17" s="1997" t="s">
        <v>1525</v>
      </c>
      <c r="G17" s="1998"/>
      <c r="H17" s="1999"/>
      <c r="I17" s="1137"/>
      <c r="J17" s="1137"/>
      <c r="K17" s="1138" t="s">
        <v>35</v>
      </c>
      <c r="L17" s="1138">
        <f>SUM(L15:L16)*0.15</f>
        <v>2.1480000000000001</v>
      </c>
      <c r="M17" s="1134">
        <f>M16</f>
        <v>3619.1910193588578</v>
      </c>
      <c r="N17" s="1134">
        <f>L17*M17</f>
        <v>7774.0223095828269</v>
      </c>
      <c r="O17" s="980"/>
      <c r="Q17" s="1135">
        <f>R17/L17</f>
        <v>543.605861129137</v>
      </c>
      <c r="R17" s="1135">
        <f>(L17/D6)*R18</f>
        <v>1167.6653897053864</v>
      </c>
      <c r="S17" s="1134">
        <f t="shared" si="4"/>
        <v>2555.925861129137</v>
      </c>
      <c r="T17" s="1136">
        <f>(L17*1)*S17</f>
        <v>5490.1287497053863</v>
      </c>
      <c r="U17" s="1136">
        <f t="shared" si="5"/>
        <v>549.01287497053863</v>
      </c>
      <c r="V17" s="1136">
        <f>T17*0.1</f>
        <v>549.01287497053863</v>
      </c>
      <c r="W17" s="1136">
        <f>T17+U17+V17</f>
        <v>6588.1544996464636</v>
      </c>
      <c r="X17" s="1136">
        <f t="shared" si="8"/>
        <v>1185.8678099363633</v>
      </c>
      <c r="Y17" s="1136">
        <f>SUM(W17:X17)</f>
        <v>7774.0223095828269</v>
      </c>
    </row>
    <row r="18" spans="2:25" s="933" customFormat="1" ht="15" hidden="1" customHeight="1" outlineLevel="2">
      <c r="B18" s="1993"/>
      <c r="C18" s="1994"/>
      <c r="D18" s="1995"/>
      <c r="E18" s="1996"/>
      <c r="F18" s="1972" t="s">
        <v>1528</v>
      </c>
      <c r="G18" s="1973"/>
      <c r="H18" s="1973"/>
      <c r="I18" s="1126" t="s">
        <v>1519</v>
      </c>
      <c r="J18" s="1126">
        <f>SUM(J19:J23)</f>
        <v>5</v>
      </c>
      <c r="K18" s="1127" t="s">
        <v>35</v>
      </c>
      <c r="L18" s="1127">
        <f>SUM(L19:L23)</f>
        <v>490.82</v>
      </c>
      <c r="M18" s="1128"/>
      <c r="O18" s="980"/>
      <c r="R18" s="1129">
        <f>SUM(R19:R23)</f>
        <v>80418.876672000013</v>
      </c>
      <c r="T18" s="1129">
        <f>SUM(T19:T23)</f>
        <v>56792.991999999998</v>
      </c>
      <c r="U18" s="1125"/>
      <c r="V18" s="1125"/>
      <c r="W18" s="1125"/>
      <c r="X18" s="1125"/>
      <c r="Y18" s="1125"/>
    </row>
    <row r="19" spans="2:25" s="933" customFormat="1" ht="15.75" hidden="1" customHeight="1" outlineLevel="2">
      <c r="B19" s="1993"/>
      <c r="C19" s="1994"/>
      <c r="D19" s="1995"/>
      <c r="E19" s="1996"/>
      <c r="F19" s="1974" t="s">
        <v>1529</v>
      </c>
      <c r="G19" s="1974"/>
      <c r="H19" s="1974"/>
      <c r="I19" s="1132" t="s">
        <v>1530</v>
      </c>
      <c r="J19" s="1132">
        <v>1</v>
      </c>
      <c r="K19" s="1108" t="s">
        <v>35</v>
      </c>
      <c r="L19" s="1108">
        <v>31.64</v>
      </c>
      <c r="M19" s="1132">
        <v>889.83</v>
      </c>
      <c r="O19" s="980"/>
      <c r="R19" s="1134">
        <f>Y19</f>
        <v>39866.377219200003</v>
      </c>
      <c r="T19" s="1136">
        <f>(L19*1)*M19</f>
        <v>28154.221200000004</v>
      </c>
      <c r="U19" s="1136">
        <f t="shared" si="5"/>
        <v>2815.4221200000006</v>
      </c>
      <c r="V19" s="1136">
        <f>T19*0.1</f>
        <v>2815.4221200000006</v>
      </c>
      <c r="W19" s="1136">
        <f>T19+U19+V19</f>
        <v>33785.065440000006</v>
      </c>
      <c r="X19" s="1136">
        <f t="shared" si="8"/>
        <v>6081.3117792000012</v>
      </c>
      <c r="Y19" s="1136">
        <f>SUM(W19:X19)</f>
        <v>39866.377219200003</v>
      </c>
    </row>
    <row r="20" spans="2:25" s="933" customFormat="1" ht="24.75" hidden="1" customHeight="1" outlineLevel="2">
      <c r="B20" s="1993"/>
      <c r="C20" s="1994"/>
      <c r="D20" s="1995"/>
      <c r="E20" s="1996"/>
      <c r="F20" s="1974" t="s">
        <v>1531</v>
      </c>
      <c r="G20" s="1974"/>
      <c r="H20" s="1974"/>
      <c r="I20" s="1132" t="s">
        <v>1530</v>
      </c>
      <c r="J20" s="1132">
        <v>1</v>
      </c>
      <c r="K20" s="1108" t="s">
        <v>35</v>
      </c>
      <c r="L20" s="1108">
        <v>115</v>
      </c>
      <c r="M20" s="1132">
        <v>100.08</v>
      </c>
      <c r="O20" s="980"/>
      <c r="Q20" s="1139"/>
      <c r="R20" s="1134">
        <f>Y20</f>
        <v>16297.027199999999</v>
      </c>
      <c r="T20" s="1136">
        <f>(L20*1)*M20</f>
        <v>11509.199999999999</v>
      </c>
      <c r="U20" s="1136">
        <f t="shared" si="5"/>
        <v>1150.9199999999998</v>
      </c>
      <c r="V20" s="1136">
        <f>T20*0.1</f>
        <v>1150.9199999999998</v>
      </c>
      <c r="W20" s="1136">
        <f>T20+U20+V20</f>
        <v>13811.039999999999</v>
      </c>
      <c r="X20" s="1136">
        <f t="shared" si="8"/>
        <v>2485.9871999999996</v>
      </c>
      <c r="Y20" s="1136">
        <f>SUM(W20:X20)</f>
        <v>16297.027199999999</v>
      </c>
    </row>
    <row r="21" spans="2:25" s="933" customFormat="1" ht="24.75" hidden="1" customHeight="1" outlineLevel="2">
      <c r="B21" s="1993"/>
      <c r="C21" s="1994"/>
      <c r="D21" s="1995"/>
      <c r="E21" s="1996"/>
      <c r="F21" s="1974" t="s">
        <v>1532</v>
      </c>
      <c r="G21" s="1974"/>
      <c r="H21" s="1974"/>
      <c r="I21" s="1132" t="s">
        <v>1530</v>
      </c>
      <c r="J21" s="1132">
        <v>1</v>
      </c>
      <c r="K21" s="1108" t="s">
        <v>35</v>
      </c>
      <c r="L21" s="1108">
        <v>88.32</v>
      </c>
      <c r="M21" s="1132">
        <v>45.69</v>
      </c>
      <c r="O21" s="980"/>
      <c r="R21" s="1134">
        <f>Y21</f>
        <v>5714.0425728</v>
      </c>
      <c r="T21" s="1136">
        <f>(L21*1)*M21</f>
        <v>4035.3407999999995</v>
      </c>
      <c r="U21" s="1136">
        <f t="shared" si="5"/>
        <v>403.53407999999996</v>
      </c>
      <c r="V21" s="1136">
        <f>T21*0.1</f>
        <v>403.53407999999996</v>
      </c>
      <c r="W21" s="1136">
        <f>T21+U21+V21</f>
        <v>4842.4089599999998</v>
      </c>
      <c r="X21" s="1136">
        <f t="shared" si="8"/>
        <v>871.63361279999992</v>
      </c>
      <c r="Y21" s="1136">
        <f>SUM(W21:X21)</f>
        <v>5714.0425728</v>
      </c>
    </row>
    <row r="22" spans="2:25" s="933" customFormat="1" ht="24.75" hidden="1" customHeight="1" outlineLevel="2">
      <c r="B22" s="1993"/>
      <c r="C22" s="1994"/>
      <c r="D22" s="1995"/>
      <c r="E22" s="1996"/>
      <c r="F22" s="1974" t="s">
        <v>1533</v>
      </c>
      <c r="G22" s="1974"/>
      <c r="H22" s="1974"/>
      <c r="I22" s="1132" t="s">
        <v>1530</v>
      </c>
      <c r="J22" s="1132">
        <v>1</v>
      </c>
      <c r="K22" s="1108" t="s">
        <v>35</v>
      </c>
      <c r="L22" s="1108">
        <v>175.86</v>
      </c>
      <c r="M22" s="1132">
        <v>35.5</v>
      </c>
      <c r="O22" s="980"/>
      <c r="R22" s="1134">
        <f>Y22</f>
        <v>8840.1304799999998</v>
      </c>
      <c r="T22" s="1136">
        <f>(L22*1)*M22</f>
        <v>6243.0300000000007</v>
      </c>
      <c r="U22" s="1136">
        <f t="shared" si="5"/>
        <v>624.30300000000011</v>
      </c>
      <c r="V22" s="1136">
        <f>T22*0.1</f>
        <v>624.30300000000011</v>
      </c>
      <c r="W22" s="1136">
        <f>T22+U22+V22</f>
        <v>7491.6360000000004</v>
      </c>
      <c r="X22" s="1136">
        <f t="shared" si="8"/>
        <v>1348.4944800000001</v>
      </c>
      <c r="Y22" s="1136">
        <f>SUM(W22:X22)</f>
        <v>8840.1304799999998</v>
      </c>
    </row>
    <row r="23" spans="2:25" s="933" customFormat="1" ht="27" hidden="1" customHeight="1" outlineLevel="2">
      <c r="B23" s="1993"/>
      <c r="C23" s="1994"/>
      <c r="D23" s="1995"/>
      <c r="E23" s="1996"/>
      <c r="F23" s="1974" t="s">
        <v>1534</v>
      </c>
      <c r="G23" s="1974"/>
      <c r="H23" s="1974"/>
      <c r="I23" s="1132" t="s">
        <v>1530</v>
      </c>
      <c r="J23" s="1132">
        <v>1</v>
      </c>
      <c r="K23" s="1108" t="s">
        <v>35</v>
      </c>
      <c r="L23" s="1108">
        <v>80</v>
      </c>
      <c r="M23" s="1132">
        <v>85.64</v>
      </c>
      <c r="O23" s="980"/>
      <c r="R23" s="1134">
        <f>Y23</f>
        <v>9701.2992000000013</v>
      </c>
      <c r="T23" s="1136">
        <f>(L23*1)*M23</f>
        <v>6851.2</v>
      </c>
      <c r="U23" s="1136">
        <f t="shared" si="5"/>
        <v>685.12</v>
      </c>
      <c r="V23" s="1136">
        <f>T23*0.1</f>
        <v>685.12</v>
      </c>
      <c r="W23" s="1136">
        <f>T23+U23+V23</f>
        <v>8221.44</v>
      </c>
      <c r="X23" s="1136">
        <f t="shared" si="8"/>
        <v>1479.8592000000001</v>
      </c>
      <c r="Y23" s="1136">
        <f>SUM(W23:X23)</f>
        <v>9701.2992000000013</v>
      </c>
    </row>
    <row r="24" spans="2:25" s="933" customFormat="1" ht="29.25" customHeight="1" outlineLevel="2">
      <c r="B24" s="1993"/>
      <c r="C24" s="1994"/>
      <c r="D24" s="1995"/>
      <c r="E24" s="1996"/>
      <c r="F24" s="1972" t="s">
        <v>1535</v>
      </c>
      <c r="G24" s="1973"/>
      <c r="H24" s="1973"/>
      <c r="I24" s="1126" t="s">
        <v>1536</v>
      </c>
      <c r="J24" s="1126">
        <f>SUM(J25:J26)</f>
        <v>2</v>
      </c>
      <c r="K24" s="1127"/>
      <c r="L24" s="1127"/>
      <c r="M24" s="1128"/>
      <c r="N24" s="1129">
        <f>SUM(N25:N26)</f>
        <v>99675.921600000001</v>
      </c>
      <c r="O24" s="980"/>
      <c r="T24" s="1129">
        <f>SUM(T25:T26)</f>
        <v>70392.600000000006</v>
      </c>
      <c r="U24" s="1125"/>
      <c r="V24" s="1125"/>
      <c r="W24" s="1125"/>
      <c r="X24" s="1125"/>
      <c r="Y24" s="1125"/>
    </row>
    <row r="25" spans="2:25" s="933" customFormat="1" ht="40.5" customHeight="1" outlineLevel="2">
      <c r="B25" s="1993"/>
      <c r="C25" s="1994"/>
      <c r="D25" s="1995"/>
      <c r="E25" s="1996"/>
      <c r="F25" s="1974" t="s">
        <v>1537</v>
      </c>
      <c r="G25" s="1974"/>
      <c r="H25" s="1974"/>
      <c r="I25" s="1132" t="s">
        <v>1008</v>
      </c>
      <c r="J25" s="1132">
        <v>1</v>
      </c>
      <c r="K25" s="1108" t="s">
        <v>37</v>
      </c>
      <c r="L25" s="1108">
        <v>64.41</v>
      </c>
      <c r="M25" s="1134">
        <f>N25/L25</f>
        <v>1217.76</v>
      </c>
      <c r="N25" s="1134">
        <f t="shared" si="3"/>
        <v>78435.921600000001</v>
      </c>
      <c r="O25" s="980"/>
      <c r="Q25" s="1140"/>
      <c r="S25" s="1132">
        <v>860</v>
      </c>
      <c r="T25" s="1136">
        <f>(L25*1)*S25</f>
        <v>55392.6</v>
      </c>
      <c r="U25" s="1136">
        <f t="shared" ref="U25:U38" si="10">T25*0.1</f>
        <v>5539.26</v>
      </c>
      <c r="V25" s="1136">
        <f>T25*0.1</f>
        <v>5539.26</v>
      </c>
      <c r="W25" s="1136">
        <f>T25+U25+V25</f>
        <v>66471.12</v>
      </c>
      <c r="X25" s="1136">
        <f t="shared" ref="X25:X38" si="11">W25*0.18</f>
        <v>11964.801599999999</v>
      </c>
      <c r="Y25" s="1136">
        <f>SUM(W25:X25)</f>
        <v>78435.921600000001</v>
      </c>
    </row>
    <row r="26" spans="2:25" s="933" customFormat="1" ht="14.25" customHeight="1" outlineLevel="2">
      <c r="B26" s="1993"/>
      <c r="C26" s="1994"/>
      <c r="D26" s="1995"/>
      <c r="E26" s="1996"/>
      <c r="F26" s="1974" t="s">
        <v>1538</v>
      </c>
      <c r="G26" s="1974"/>
      <c r="H26" s="1974"/>
      <c r="I26" s="1132" t="s">
        <v>45</v>
      </c>
      <c r="J26" s="1132">
        <v>1</v>
      </c>
      <c r="K26" s="1108" t="s">
        <v>38</v>
      </c>
      <c r="L26" s="1108">
        <v>1</v>
      </c>
      <c r="M26" s="1134">
        <f>N26/L26</f>
        <v>21240</v>
      </c>
      <c r="N26" s="1134">
        <f t="shared" si="3"/>
        <v>21240</v>
      </c>
      <c r="O26" s="980"/>
      <c r="S26" s="1132">
        <v>15000</v>
      </c>
      <c r="T26" s="1136">
        <f>(L26*1)*S26</f>
        <v>15000</v>
      </c>
      <c r="U26" s="1136">
        <f t="shared" si="10"/>
        <v>1500</v>
      </c>
      <c r="V26" s="1136">
        <f>T26*0.1</f>
        <v>1500</v>
      </c>
      <c r="W26" s="1136">
        <f>T26+U26+V26</f>
        <v>18000</v>
      </c>
      <c r="X26" s="1136">
        <f t="shared" si="11"/>
        <v>3240</v>
      </c>
      <c r="Y26" s="1136">
        <f>SUM(W26:X26)</f>
        <v>21240</v>
      </c>
    </row>
    <row r="27" spans="2:25" s="933" customFormat="1" ht="25.5" customHeight="1" outlineLevel="2">
      <c r="B27" s="1993"/>
      <c r="C27" s="1994"/>
      <c r="D27" s="1995"/>
      <c r="E27" s="1996"/>
      <c r="F27" s="1972" t="s">
        <v>1539</v>
      </c>
      <c r="G27" s="1973"/>
      <c r="H27" s="1973"/>
      <c r="I27" s="1126" t="s">
        <v>36</v>
      </c>
      <c r="J27" s="1126">
        <f>SUM(J28:J34)</f>
        <v>7</v>
      </c>
      <c r="K27" s="1127"/>
      <c r="L27" s="1127"/>
      <c r="M27" s="1128"/>
      <c r="N27" s="1129">
        <f>SUM(N28:N34)</f>
        <v>127552.5130944</v>
      </c>
      <c r="O27" s="980"/>
      <c r="T27" s="1129">
        <f>SUM(T28:T34)</f>
        <v>90079.458400000003</v>
      </c>
      <c r="U27" s="1125"/>
      <c r="V27" s="1125"/>
      <c r="W27" s="1125"/>
      <c r="X27" s="1125"/>
      <c r="Y27" s="1125"/>
    </row>
    <row r="28" spans="2:25" s="933" customFormat="1" ht="12.75" customHeight="1" outlineLevel="2">
      <c r="B28" s="1993"/>
      <c r="C28" s="1994"/>
      <c r="D28" s="1995"/>
      <c r="E28" s="1996"/>
      <c r="F28" s="1974" t="s">
        <v>1540</v>
      </c>
      <c r="G28" s="1974"/>
      <c r="H28" s="1974"/>
      <c r="I28" s="1132" t="s">
        <v>38</v>
      </c>
      <c r="J28" s="1132">
        <v>1</v>
      </c>
      <c r="K28" s="1108" t="s">
        <v>35</v>
      </c>
      <c r="L28" s="1108">
        <v>172.37</v>
      </c>
      <c r="M28" s="1134">
        <f>N28/L28</f>
        <v>141.6</v>
      </c>
      <c r="N28" s="1134">
        <f t="shared" si="3"/>
        <v>24407.592000000001</v>
      </c>
      <c r="O28" s="980"/>
      <c r="Q28" s="1135">
        <f t="shared" ref="Q28:Q34" si="12">L28*M28</f>
        <v>24407.592000000001</v>
      </c>
      <c r="S28" s="1132">
        <v>100</v>
      </c>
      <c r="T28" s="1136">
        <f t="shared" ref="T28:T34" si="13">(L28*1)*S28</f>
        <v>17237</v>
      </c>
      <c r="U28" s="1136">
        <f t="shared" si="10"/>
        <v>1723.7</v>
      </c>
      <c r="V28" s="1136">
        <f t="shared" ref="V28:V36" si="14">T28*0.1</f>
        <v>1723.7</v>
      </c>
      <c r="W28" s="1136">
        <f t="shared" ref="W28:W36" si="15">T28+U28+V28</f>
        <v>20684.400000000001</v>
      </c>
      <c r="X28" s="1136">
        <f t="shared" si="11"/>
        <v>3723.192</v>
      </c>
      <c r="Y28" s="1136">
        <f t="shared" ref="Y28:Y36" si="16">SUM(W28:X28)</f>
        <v>24407.592000000001</v>
      </c>
    </row>
    <row r="29" spans="2:25" s="933" customFormat="1" ht="12.75" customHeight="1" outlineLevel="2">
      <c r="B29" s="1993"/>
      <c r="C29" s="1994"/>
      <c r="D29" s="1995"/>
      <c r="E29" s="1996"/>
      <c r="F29" s="1974" t="s">
        <v>1541</v>
      </c>
      <c r="G29" s="1974"/>
      <c r="H29" s="1974"/>
      <c r="I29" s="1132" t="s">
        <v>38</v>
      </c>
      <c r="J29" s="1132">
        <v>1</v>
      </c>
      <c r="K29" s="1108" t="s">
        <v>37</v>
      </c>
      <c r="L29" s="1108">
        <v>39.42</v>
      </c>
      <c r="M29" s="1134">
        <f t="shared" ref="M29:M34" si="17">N29/L29</f>
        <v>126.33551999999999</v>
      </c>
      <c r="N29" s="1134">
        <f t="shared" si="3"/>
        <v>4980.1461983999998</v>
      </c>
      <c r="O29" s="980"/>
      <c r="Q29" s="1135">
        <f t="shared" si="12"/>
        <v>4980.1461983999998</v>
      </c>
      <c r="S29" s="1132">
        <v>89.22</v>
      </c>
      <c r="T29" s="1136">
        <f t="shared" si="13"/>
        <v>3517.0524</v>
      </c>
      <c r="U29" s="1136">
        <f t="shared" si="10"/>
        <v>351.70524</v>
      </c>
      <c r="V29" s="1136">
        <f t="shared" si="14"/>
        <v>351.70524</v>
      </c>
      <c r="W29" s="1136">
        <f t="shared" si="15"/>
        <v>4220.46288</v>
      </c>
      <c r="X29" s="1136">
        <f t="shared" si="11"/>
        <v>759.68331839999996</v>
      </c>
      <c r="Y29" s="1136">
        <f t="shared" si="16"/>
        <v>4980.1461983999998</v>
      </c>
    </row>
    <row r="30" spans="2:25" s="933" customFormat="1" ht="12.75" customHeight="1" outlineLevel="2">
      <c r="B30" s="1993"/>
      <c r="C30" s="1994"/>
      <c r="D30" s="1995"/>
      <c r="E30" s="1996"/>
      <c r="F30" s="1974" t="s">
        <v>1542</v>
      </c>
      <c r="G30" s="1974"/>
      <c r="H30" s="1974"/>
      <c r="I30" s="1132" t="s">
        <v>38</v>
      </c>
      <c r="J30" s="1132">
        <v>1</v>
      </c>
      <c r="K30" s="1108" t="s">
        <v>37</v>
      </c>
      <c r="L30" s="1108">
        <v>18.11</v>
      </c>
      <c r="M30" s="1134">
        <f t="shared" si="17"/>
        <v>162.27359999999999</v>
      </c>
      <c r="N30" s="1134">
        <f t="shared" si="3"/>
        <v>2938.7748959999994</v>
      </c>
      <c r="O30" s="980"/>
      <c r="Q30" s="1135">
        <f t="shared" si="12"/>
        <v>2938.7748959999999</v>
      </c>
      <c r="S30" s="1132">
        <v>114.6</v>
      </c>
      <c r="T30" s="1136">
        <f t="shared" si="13"/>
        <v>2075.4059999999999</v>
      </c>
      <c r="U30" s="1136">
        <f t="shared" si="10"/>
        <v>207.54060000000001</v>
      </c>
      <c r="V30" s="1136">
        <f t="shared" si="14"/>
        <v>207.54060000000001</v>
      </c>
      <c r="W30" s="1136">
        <f t="shared" si="15"/>
        <v>2490.4871999999996</v>
      </c>
      <c r="X30" s="1136">
        <f t="shared" si="11"/>
        <v>448.28769599999993</v>
      </c>
      <c r="Y30" s="1136">
        <f t="shared" si="16"/>
        <v>2938.7748959999994</v>
      </c>
    </row>
    <row r="31" spans="2:25" s="933" customFormat="1" ht="12.75" customHeight="1" outlineLevel="2">
      <c r="B31" s="1993"/>
      <c r="C31" s="1994"/>
      <c r="D31" s="1995"/>
      <c r="E31" s="1996"/>
      <c r="F31" s="1974" t="s">
        <v>1543</v>
      </c>
      <c r="G31" s="1974"/>
      <c r="H31" s="1974"/>
      <c r="I31" s="1132" t="s">
        <v>38</v>
      </c>
      <c r="J31" s="1132">
        <v>1</v>
      </c>
      <c r="K31" s="1108" t="s">
        <v>35</v>
      </c>
      <c r="L31" s="1108">
        <v>45</v>
      </c>
      <c r="M31" s="1134">
        <f t="shared" si="17"/>
        <v>70.8</v>
      </c>
      <c r="N31" s="1134">
        <f t="shared" si="3"/>
        <v>3186</v>
      </c>
      <c r="O31" s="980"/>
      <c r="Q31" s="1135">
        <f t="shared" si="12"/>
        <v>3186</v>
      </c>
      <c r="S31" s="1132">
        <v>50</v>
      </c>
      <c r="T31" s="1136">
        <f t="shared" si="13"/>
        <v>2250</v>
      </c>
      <c r="U31" s="1136">
        <f t="shared" si="10"/>
        <v>225</v>
      </c>
      <c r="V31" s="1136">
        <f t="shared" si="14"/>
        <v>225</v>
      </c>
      <c r="W31" s="1136">
        <f t="shared" si="15"/>
        <v>2700</v>
      </c>
      <c r="X31" s="1136">
        <f t="shared" si="11"/>
        <v>486</v>
      </c>
      <c r="Y31" s="1136">
        <f t="shared" si="16"/>
        <v>3186</v>
      </c>
    </row>
    <row r="32" spans="2:25" s="933" customFormat="1" ht="23.25" customHeight="1" outlineLevel="2">
      <c r="B32" s="1993"/>
      <c r="C32" s="1994"/>
      <c r="D32" s="1995"/>
      <c r="E32" s="1996"/>
      <c r="F32" s="1974" t="s">
        <v>1544</v>
      </c>
      <c r="G32" s="1974"/>
      <c r="H32" s="1974"/>
      <c r="I32" s="1132" t="s">
        <v>38</v>
      </c>
      <c r="J32" s="1132">
        <v>1</v>
      </c>
      <c r="K32" s="1108" t="s">
        <v>38</v>
      </c>
      <c r="L32" s="1108">
        <v>1</v>
      </c>
      <c r="M32" s="1134">
        <f t="shared" si="17"/>
        <v>21240</v>
      </c>
      <c r="N32" s="1134">
        <f t="shared" si="3"/>
        <v>21240</v>
      </c>
      <c r="O32" s="980"/>
      <c r="Q32" s="1135">
        <f t="shared" si="12"/>
        <v>21240</v>
      </c>
      <c r="S32" s="1132">
        <v>15000</v>
      </c>
      <c r="T32" s="1136">
        <f t="shared" si="13"/>
        <v>15000</v>
      </c>
      <c r="U32" s="1136">
        <f t="shared" si="10"/>
        <v>1500</v>
      </c>
      <c r="V32" s="1136">
        <f t="shared" si="14"/>
        <v>1500</v>
      </c>
      <c r="W32" s="1136">
        <f t="shared" si="15"/>
        <v>18000</v>
      </c>
      <c r="X32" s="1136">
        <f t="shared" si="11"/>
        <v>3240</v>
      </c>
      <c r="Y32" s="1136">
        <f t="shared" si="16"/>
        <v>21240</v>
      </c>
    </row>
    <row r="33" spans="2:25" s="933" customFormat="1" ht="11.25" customHeight="1" outlineLevel="2">
      <c r="B33" s="1993"/>
      <c r="C33" s="1994"/>
      <c r="D33" s="1995"/>
      <c r="E33" s="1996"/>
      <c r="F33" s="1974" t="s">
        <v>1545</v>
      </c>
      <c r="G33" s="1974"/>
      <c r="H33" s="1974"/>
      <c r="I33" s="1132" t="s">
        <v>38</v>
      </c>
      <c r="J33" s="1132">
        <v>1</v>
      </c>
      <c r="K33" s="1108" t="s">
        <v>38</v>
      </c>
      <c r="L33" s="1108">
        <v>1</v>
      </c>
      <c r="M33" s="1134">
        <f t="shared" si="17"/>
        <v>28320</v>
      </c>
      <c r="N33" s="1134">
        <f t="shared" si="3"/>
        <v>28320</v>
      </c>
      <c r="O33" s="980"/>
      <c r="Q33" s="1135">
        <f t="shared" si="12"/>
        <v>28320</v>
      </c>
      <c r="S33" s="1132">
        <v>20000</v>
      </c>
      <c r="T33" s="1136">
        <f t="shared" si="13"/>
        <v>20000</v>
      </c>
      <c r="U33" s="1136">
        <f t="shared" si="10"/>
        <v>2000</v>
      </c>
      <c r="V33" s="1136">
        <f t="shared" si="14"/>
        <v>2000</v>
      </c>
      <c r="W33" s="1136">
        <f t="shared" si="15"/>
        <v>24000</v>
      </c>
      <c r="X33" s="1136">
        <f t="shared" si="11"/>
        <v>4320</v>
      </c>
      <c r="Y33" s="1136">
        <f t="shared" si="16"/>
        <v>28320</v>
      </c>
    </row>
    <row r="34" spans="2:25" s="933" customFormat="1" ht="11.25" customHeight="1" outlineLevel="2">
      <c r="B34" s="1993"/>
      <c r="C34" s="1994"/>
      <c r="D34" s="1995"/>
      <c r="E34" s="1996"/>
      <c r="F34" s="1974" t="s">
        <v>1546</v>
      </c>
      <c r="G34" s="1974"/>
      <c r="H34" s="1974"/>
      <c r="I34" s="1132" t="s">
        <v>38</v>
      </c>
      <c r="J34" s="1132">
        <v>1</v>
      </c>
      <c r="K34" s="1108" t="s">
        <v>38</v>
      </c>
      <c r="L34" s="1108">
        <v>1</v>
      </c>
      <c r="M34" s="1134">
        <f t="shared" si="17"/>
        <v>42480</v>
      </c>
      <c r="N34" s="1134">
        <f t="shared" si="3"/>
        <v>42480</v>
      </c>
      <c r="O34" s="980"/>
      <c r="Q34" s="1135">
        <f t="shared" si="12"/>
        <v>42480</v>
      </c>
      <c r="S34" s="1132">
        <v>30000</v>
      </c>
      <c r="T34" s="1136">
        <f t="shared" si="13"/>
        <v>30000</v>
      </c>
      <c r="U34" s="1136">
        <f t="shared" si="10"/>
        <v>3000</v>
      </c>
      <c r="V34" s="1136">
        <f t="shared" si="14"/>
        <v>3000</v>
      </c>
      <c r="W34" s="1136">
        <f t="shared" si="15"/>
        <v>36000</v>
      </c>
      <c r="X34" s="1136">
        <f t="shared" si="11"/>
        <v>6480</v>
      </c>
      <c r="Y34" s="1136">
        <f t="shared" si="16"/>
        <v>42480</v>
      </c>
    </row>
    <row r="35" spans="2:25" s="933" customFormat="1" ht="11.25" customHeight="1" outlineLevel="2">
      <c r="B35" s="1993"/>
      <c r="C35" s="1994"/>
      <c r="D35" s="1995"/>
      <c r="E35" s="1996"/>
      <c r="F35" s="1972" t="s">
        <v>1547</v>
      </c>
      <c r="G35" s="1973"/>
      <c r="H35" s="1973"/>
      <c r="I35" s="1126" t="s">
        <v>1548</v>
      </c>
      <c r="J35" s="1126">
        <f>SUM(J36)</f>
        <v>1</v>
      </c>
      <c r="K35" s="1127"/>
      <c r="L35" s="1127"/>
      <c r="M35" s="1128"/>
      <c r="N35" s="1129">
        <f>SUM(N36)</f>
        <v>40000.003440000008</v>
      </c>
      <c r="O35" s="980"/>
      <c r="T35" s="1136"/>
      <c r="U35" s="1136"/>
      <c r="V35" s="1136"/>
      <c r="W35" s="1136"/>
      <c r="X35" s="1136"/>
      <c r="Y35" s="1136"/>
    </row>
    <row r="36" spans="2:25" s="933" customFormat="1" ht="11.25" customHeight="1" outlineLevel="2">
      <c r="B36" s="1993"/>
      <c r="C36" s="1994"/>
      <c r="D36" s="1995"/>
      <c r="E36" s="1996"/>
      <c r="F36" s="1974" t="s">
        <v>1565</v>
      </c>
      <c r="G36" s="1974"/>
      <c r="H36" s="1974"/>
      <c r="I36" s="1132" t="s">
        <v>1549</v>
      </c>
      <c r="J36" s="1132">
        <v>1</v>
      </c>
      <c r="K36" s="1108" t="s">
        <v>38</v>
      </c>
      <c r="L36" s="1108">
        <v>1</v>
      </c>
      <c r="M36" s="1134">
        <f>N36/L36</f>
        <v>40000.003440000008</v>
      </c>
      <c r="N36" s="1134">
        <f>Y36</f>
        <v>40000.003440000008</v>
      </c>
      <c r="O36" s="980"/>
      <c r="S36" s="1132">
        <v>28248.59</v>
      </c>
      <c r="T36" s="1136">
        <f>(L36*1)*S36</f>
        <v>28248.59</v>
      </c>
      <c r="U36" s="1136">
        <f t="shared" si="10"/>
        <v>2824.8590000000004</v>
      </c>
      <c r="V36" s="1136">
        <f t="shared" si="14"/>
        <v>2824.8590000000004</v>
      </c>
      <c r="W36" s="1136">
        <f t="shared" si="15"/>
        <v>33898.308000000005</v>
      </c>
      <c r="X36" s="1136">
        <f t="shared" si="11"/>
        <v>6101.6954400000004</v>
      </c>
      <c r="Y36" s="1136">
        <f t="shared" si="16"/>
        <v>40000.003440000008</v>
      </c>
    </row>
    <row r="37" spans="2:25" s="933" customFormat="1" ht="11.25" customHeight="1" outlineLevel="2">
      <c r="B37" s="1993"/>
      <c r="C37" s="1994"/>
      <c r="D37" s="1995"/>
      <c r="E37" s="1996"/>
      <c r="F37" s="1972" t="s">
        <v>1550</v>
      </c>
      <c r="G37" s="1973"/>
      <c r="H37" s="1973"/>
      <c r="I37" s="1126" t="s">
        <v>1551</v>
      </c>
      <c r="J37" s="1126">
        <f>SUM(J38)</f>
        <v>1</v>
      </c>
      <c r="K37" s="1127"/>
      <c r="L37" s="1127"/>
      <c r="M37" s="1128"/>
      <c r="N37" s="1129">
        <f>SUM(N38)</f>
        <v>79225.2</v>
      </c>
      <c r="O37" s="980"/>
      <c r="T37" s="1136"/>
      <c r="U37" s="1136"/>
      <c r="V37" s="1136"/>
      <c r="W37" s="1136"/>
      <c r="X37" s="1136"/>
      <c r="Y37" s="1136"/>
    </row>
    <row r="38" spans="2:25" s="933" customFormat="1" ht="11.25" customHeight="1" outlineLevel="2">
      <c r="B38" s="1993"/>
      <c r="C38" s="1994"/>
      <c r="D38" s="1995"/>
      <c r="E38" s="1996"/>
      <c r="F38" s="1974" t="s">
        <v>1566</v>
      </c>
      <c r="G38" s="1974"/>
      <c r="H38" s="1974"/>
      <c r="I38" s="1132" t="s">
        <v>1552</v>
      </c>
      <c r="J38" s="1132">
        <v>1</v>
      </c>
      <c r="K38" s="1108" t="s">
        <v>38</v>
      </c>
      <c r="L38" s="1108">
        <v>1</v>
      </c>
      <c r="M38" s="1134">
        <f>N38/L38</f>
        <v>79225.2</v>
      </c>
      <c r="N38" s="1134">
        <f>Y38</f>
        <v>79225.2</v>
      </c>
      <c r="O38" s="980"/>
      <c r="S38" s="1132">
        <v>55950</v>
      </c>
      <c r="T38" s="1136">
        <f>(L38*1)*S38</f>
        <v>55950</v>
      </c>
      <c r="U38" s="1136">
        <f t="shared" si="10"/>
        <v>5595</v>
      </c>
      <c r="V38" s="1136">
        <f>T38*0.1</f>
        <v>5595</v>
      </c>
      <c r="W38" s="1136">
        <f>T38+U38+V38</f>
        <v>67140</v>
      </c>
      <c r="X38" s="1136">
        <f t="shared" si="11"/>
        <v>12085.199999999999</v>
      </c>
      <c r="Y38" s="1136">
        <f>SUM(W38:X38)</f>
        <v>79225.2</v>
      </c>
    </row>
    <row r="39" spans="2:25" s="933" customFormat="1" ht="12.75" customHeight="1" outlineLevel="2">
      <c r="B39" s="1975" t="s">
        <v>1568</v>
      </c>
      <c r="C39" s="1977" t="s">
        <v>74</v>
      </c>
      <c r="D39" s="1979">
        <f>L39+L41</f>
        <v>76</v>
      </c>
      <c r="E39" s="1980">
        <f>N39+N41</f>
        <v>90996</v>
      </c>
      <c r="F39" s="1972" t="s">
        <v>1553</v>
      </c>
      <c r="G39" s="1973"/>
      <c r="H39" s="1973"/>
      <c r="I39" s="1128" t="s">
        <v>1554</v>
      </c>
      <c r="J39" s="1128">
        <f>SUM(J40)</f>
        <v>1</v>
      </c>
      <c r="K39" s="1141" t="s">
        <v>74</v>
      </c>
      <c r="L39" s="1141">
        <f>SUM(L40)</f>
        <v>50</v>
      </c>
      <c r="M39" s="1128"/>
      <c r="N39" s="1129">
        <f>SUM(N40)</f>
        <v>30000</v>
      </c>
      <c r="O39" s="980"/>
      <c r="T39" s="1142"/>
      <c r="U39" s="1125"/>
      <c r="V39" s="1125"/>
      <c r="W39" s="1125"/>
      <c r="X39" s="1125"/>
      <c r="Y39" s="1125"/>
    </row>
    <row r="40" spans="2:25" s="933" customFormat="1" ht="12.75" outlineLevel="2">
      <c r="B40" s="1976"/>
      <c r="C40" s="1978"/>
      <c r="D40" s="1979"/>
      <c r="E40" s="1976"/>
      <c r="F40" s="1974" t="s">
        <v>1555</v>
      </c>
      <c r="G40" s="1974"/>
      <c r="H40" s="1974"/>
      <c r="I40" s="1132" t="s">
        <v>74</v>
      </c>
      <c r="J40" s="1132">
        <v>1</v>
      </c>
      <c r="K40" s="1108" t="s">
        <v>74</v>
      </c>
      <c r="L40" s="1108">
        <v>50</v>
      </c>
      <c r="M40" s="1134"/>
      <c r="N40" s="1134">
        <f>S40*J40</f>
        <v>30000</v>
      </c>
      <c r="O40" s="980"/>
      <c r="S40" s="1132">
        <v>30000</v>
      </c>
      <c r="T40" s="1143"/>
      <c r="U40" s="1143"/>
      <c r="V40" s="1143"/>
      <c r="W40" s="1143"/>
      <c r="X40" s="1143"/>
      <c r="Y40" s="1143">
        <f>N40</f>
        <v>30000</v>
      </c>
    </row>
    <row r="41" spans="2:25" s="933" customFormat="1" ht="12.75" outlineLevel="2">
      <c r="B41" s="1976"/>
      <c r="C41" s="1978"/>
      <c r="D41" s="1979"/>
      <c r="E41" s="1976"/>
      <c r="F41" s="1972" t="s">
        <v>1556</v>
      </c>
      <c r="G41" s="1973"/>
      <c r="H41" s="1973"/>
      <c r="I41" s="1128" t="s">
        <v>1554</v>
      </c>
      <c r="J41" s="1128">
        <f>SUM(J42)</f>
        <v>1</v>
      </c>
      <c r="K41" s="1141" t="s">
        <v>74</v>
      </c>
      <c r="L41" s="1141">
        <f>SUM(L42:L44)</f>
        <v>26</v>
      </c>
      <c r="M41" s="1128"/>
      <c r="N41" s="1129">
        <f>SUM(N42:N44)</f>
        <v>60996</v>
      </c>
      <c r="O41" s="980"/>
      <c r="T41" s="1144"/>
      <c r="U41" s="1145"/>
      <c r="V41" s="1145"/>
      <c r="W41" s="1145"/>
      <c r="X41" s="1145"/>
      <c r="Y41" s="1145"/>
    </row>
    <row r="42" spans="2:25" s="933" customFormat="1" ht="12.75" outlineLevel="2">
      <c r="B42" s="1976"/>
      <c r="C42" s="1978"/>
      <c r="D42" s="1979"/>
      <c r="E42" s="1976"/>
      <c r="F42" s="1974" t="s">
        <v>1557</v>
      </c>
      <c r="G42" s="1974"/>
      <c r="H42" s="1974"/>
      <c r="I42" s="1132" t="s">
        <v>74</v>
      </c>
      <c r="J42" s="1132">
        <v>1</v>
      </c>
      <c r="K42" s="1108" t="s">
        <v>74</v>
      </c>
      <c r="L42" s="1108">
        <v>1</v>
      </c>
      <c r="M42" s="1134"/>
      <c r="N42" s="1134">
        <f>S42*J42</f>
        <v>8496</v>
      </c>
      <c r="O42" s="980"/>
      <c r="S42" s="1132">
        <v>8496</v>
      </c>
      <c r="T42" s="1143"/>
      <c r="U42" s="1143"/>
      <c r="V42" s="1143"/>
      <c r="W42" s="1143"/>
      <c r="X42" s="1143"/>
      <c r="Y42" s="1143">
        <f>N42</f>
        <v>8496</v>
      </c>
    </row>
    <row r="43" spans="2:25" s="933" customFormat="1" ht="12.75" customHeight="1" outlineLevel="2">
      <c r="B43" s="1976"/>
      <c r="C43" s="1978"/>
      <c r="D43" s="1979"/>
      <c r="E43" s="1976"/>
      <c r="F43" s="1974" t="s">
        <v>1558</v>
      </c>
      <c r="G43" s="1974"/>
      <c r="H43" s="1974"/>
      <c r="I43" s="1132" t="s">
        <v>74</v>
      </c>
      <c r="J43" s="1132">
        <v>1</v>
      </c>
      <c r="K43" s="1108" t="s">
        <v>74</v>
      </c>
      <c r="L43" s="1108">
        <v>24</v>
      </c>
      <c r="M43" s="1134"/>
      <c r="N43" s="1134">
        <f>S43*J43</f>
        <v>2500</v>
      </c>
      <c r="O43" s="980"/>
      <c r="S43" s="1132">
        <v>2500</v>
      </c>
      <c r="T43" s="1143"/>
      <c r="U43" s="1143"/>
      <c r="V43" s="1143"/>
      <c r="W43" s="1143"/>
      <c r="X43" s="1143"/>
      <c r="Y43" s="1143">
        <f>N43</f>
        <v>2500</v>
      </c>
    </row>
    <row r="44" spans="2:25" s="933" customFormat="1" ht="12.75" outlineLevel="2">
      <c r="B44" s="1976"/>
      <c r="C44" s="1978"/>
      <c r="D44" s="1979"/>
      <c r="E44" s="1976"/>
      <c r="F44" s="1974" t="s">
        <v>1559</v>
      </c>
      <c r="G44" s="1974"/>
      <c r="H44" s="1974"/>
      <c r="I44" s="1132" t="s">
        <v>74</v>
      </c>
      <c r="J44" s="1132">
        <v>1</v>
      </c>
      <c r="K44" s="1108" t="s">
        <v>74</v>
      </c>
      <c r="L44" s="1108">
        <v>1</v>
      </c>
      <c r="M44" s="1134"/>
      <c r="N44" s="1134">
        <f>S44*J44</f>
        <v>50000</v>
      </c>
      <c r="O44" s="980"/>
      <c r="S44" s="1132">
        <v>50000</v>
      </c>
      <c r="T44" s="1143"/>
      <c r="U44" s="1143"/>
      <c r="V44" s="1143"/>
      <c r="W44" s="1143"/>
      <c r="X44" s="1143"/>
      <c r="Y44" s="1143">
        <f>N44</f>
        <v>50000</v>
      </c>
    </row>
    <row r="45" spans="2:25" s="933" customFormat="1" ht="12.75" customHeight="1" outlineLevel="2">
      <c r="B45" s="1965" t="s">
        <v>1287</v>
      </c>
      <c r="C45" s="1965"/>
      <c r="D45" s="1965"/>
      <c r="E45" s="1966"/>
      <c r="F45" s="1969" t="s">
        <v>250</v>
      </c>
      <c r="G45" s="1969"/>
      <c r="H45" s="1969"/>
      <c r="I45" s="1969"/>
      <c r="J45" s="1969"/>
      <c r="K45" s="1969"/>
      <c r="L45" s="1969"/>
      <c r="M45" s="1969"/>
      <c r="N45" s="1146">
        <f>E6+E39</f>
        <v>972858.28077427193</v>
      </c>
      <c r="O45" s="980"/>
      <c r="T45" s="1147">
        <f>T27+T24+T18+T14+T6</f>
        <v>507731.81746273849</v>
      </c>
      <c r="U45" s="1147">
        <f>SUM(U7:U42)</f>
        <v>67957.708859200007</v>
      </c>
      <c r="V45" s="1147">
        <f>SUM(V7:V42)</f>
        <v>67957.708859200007</v>
      </c>
      <c r="W45" s="1147">
        <f>SUM(W7:W42)</f>
        <v>815492.50631039997</v>
      </c>
      <c r="X45" s="1147">
        <f>SUM(X7:X42)</f>
        <v>146788.651135872</v>
      </c>
      <c r="Y45" s="1147">
        <f>SUM(Y7:Y44)</f>
        <v>1053277.157446272</v>
      </c>
    </row>
    <row r="46" spans="2:25" s="933" customFormat="1" ht="12.75" customHeight="1" outlineLevel="2">
      <c r="B46" s="1967"/>
      <c r="C46" s="1967"/>
      <c r="D46" s="1967"/>
      <c r="E46" s="1968"/>
      <c r="F46" s="1970" t="s">
        <v>251</v>
      </c>
      <c r="G46" s="1970"/>
      <c r="H46" s="1970"/>
      <c r="I46" s="1970"/>
      <c r="J46" s="1970"/>
      <c r="K46" s="1970"/>
      <c r="L46" s="1970"/>
      <c r="M46" s="1970"/>
      <c r="N46" s="1148">
        <f>+N45*0.05</f>
        <v>48642.914038713599</v>
      </c>
      <c r="O46" s="980"/>
      <c r="T46" s="1149"/>
      <c r="U46" s="1149"/>
      <c r="V46" s="1149"/>
      <c r="W46" s="1149"/>
      <c r="X46" s="1149"/>
      <c r="Y46" s="1149"/>
    </row>
    <row r="47" spans="2:25" s="933" customFormat="1" ht="12.75" outlineLevel="2">
      <c r="B47" s="1967"/>
      <c r="C47" s="1967"/>
      <c r="D47" s="1967"/>
      <c r="E47" s="1968"/>
      <c r="F47" s="1970" t="s">
        <v>1560</v>
      </c>
      <c r="G47" s="1970"/>
      <c r="H47" s="1970"/>
      <c r="I47" s="1970"/>
      <c r="J47" s="1970"/>
      <c r="K47" s="1970"/>
      <c r="L47" s="1970"/>
      <c r="M47" s="1970"/>
      <c r="N47" s="1148">
        <f>+N45*0.08</f>
        <v>77828.662461941756</v>
      </c>
      <c r="O47" s="980"/>
      <c r="T47" s="934"/>
      <c r="U47" s="934"/>
      <c r="V47" s="934"/>
      <c r="W47" s="934"/>
      <c r="X47" s="934"/>
      <c r="Y47" s="934"/>
    </row>
    <row r="48" spans="2:25" s="933" customFormat="1" ht="12.75" outlineLevel="2">
      <c r="B48" s="1967"/>
      <c r="C48" s="1967"/>
      <c r="D48" s="1967"/>
      <c r="E48" s="1968"/>
      <c r="F48" s="1971" t="s">
        <v>260</v>
      </c>
      <c r="G48" s="1971"/>
      <c r="H48" s="1971"/>
      <c r="I48" s="1971"/>
      <c r="J48" s="1971"/>
      <c r="K48" s="1971"/>
      <c r="L48" s="1971"/>
      <c r="M48" s="1971"/>
      <c r="N48" s="1150">
        <f>+N47+N45</f>
        <v>1050686.9432362136</v>
      </c>
      <c r="O48" s="980"/>
      <c r="T48" s="934"/>
      <c r="U48" s="934"/>
      <c r="V48" s="934"/>
      <c r="W48" s="934"/>
      <c r="X48" s="934"/>
      <c r="Y48" s="934"/>
    </row>
    <row r="49" spans="2:25" s="933" customFormat="1" ht="12.75" outlineLevel="2">
      <c r="B49" s="1151" t="s">
        <v>1561</v>
      </c>
      <c r="C49" s="1151"/>
      <c r="D49" s="1151"/>
      <c r="E49" s="1152"/>
      <c r="F49" s="1153"/>
      <c r="G49" s="1152"/>
      <c r="H49" s="1008"/>
      <c r="I49" s="1008"/>
      <c r="J49" s="1008"/>
      <c r="K49" s="1041"/>
      <c r="L49" s="1008"/>
      <c r="M49" s="1008"/>
      <c r="N49" s="1008"/>
      <c r="O49" s="980"/>
      <c r="T49" s="934"/>
      <c r="U49" s="934"/>
      <c r="V49" s="934"/>
      <c r="W49" s="934"/>
      <c r="X49" s="934"/>
      <c r="Y49" s="934"/>
    </row>
    <row r="50" spans="2:25" s="933" customFormat="1" ht="12.75" outlineLevel="2">
      <c r="B50" s="1151" t="s">
        <v>1562</v>
      </c>
      <c r="C50" s="1151"/>
      <c r="D50" s="1151"/>
      <c r="E50" s="1152"/>
      <c r="F50" s="1153"/>
      <c r="G50" s="1152"/>
      <c r="H50" s="1008"/>
      <c r="I50" s="1008"/>
      <c r="J50" s="1008"/>
      <c r="K50" s="1041"/>
      <c r="L50" s="1008"/>
      <c r="M50" s="1008"/>
      <c r="N50" s="1008"/>
      <c r="O50" s="980"/>
      <c r="T50" s="934"/>
      <c r="U50" s="934"/>
      <c r="V50" s="934"/>
      <c r="W50" s="934"/>
      <c r="X50" s="934"/>
      <c r="Y50" s="934"/>
    </row>
    <row r="51" spans="2:25" s="934" customFormat="1" ht="12.75" outlineLevel="2">
      <c r="B51" s="1040" t="s">
        <v>1563</v>
      </c>
      <c r="C51" s="1040"/>
      <c r="D51" s="1040"/>
      <c r="E51" s="1008"/>
      <c r="F51" s="933"/>
      <c r="G51" s="1008"/>
      <c r="H51" s="1034"/>
      <c r="I51" s="1034"/>
      <c r="J51" s="1034"/>
      <c r="K51" s="1042"/>
      <c r="L51" s="1034"/>
      <c r="M51" s="1034"/>
      <c r="N51" s="969"/>
      <c r="O51" s="980"/>
    </row>
    <row r="52" spans="2:25" s="934" customFormat="1" ht="25.5" customHeight="1" outlineLevel="2">
      <c r="B52" s="1455" t="s">
        <v>777</v>
      </c>
      <c r="C52" s="1455"/>
      <c r="D52" s="1455"/>
      <c r="E52" s="1455"/>
      <c r="F52" s="1455"/>
      <c r="G52" s="1455"/>
      <c r="H52" s="1455"/>
      <c r="I52" s="1455"/>
      <c r="J52" s="1455"/>
      <c r="K52" s="1455"/>
      <c r="L52" s="1455"/>
      <c r="M52" s="1455"/>
      <c r="N52" s="1455"/>
      <c r="O52" s="980"/>
    </row>
    <row r="53" spans="2:25" ht="11.25" customHeight="1"/>
    <row r="54" spans="2:25" ht="11.25" customHeight="1">
      <c r="B54" s="26" t="s">
        <v>1573</v>
      </c>
    </row>
    <row r="55" spans="2:25" ht="11.25" customHeight="1"/>
    <row r="56" spans="2:25" ht="11.25" customHeight="1"/>
    <row r="57" spans="2:25" ht="11.25" customHeight="1"/>
    <row r="58" spans="2:25" ht="11.25" customHeight="1"/>
    <row r="59" spans="2:25" ht="11.25" customHeight="1"/>
    <row r="60" spans="2:25" ht="11.25" customHeight="1"/>
    <row r="61" spans="2:25" ht="11.25" customHeight="1"/>
    <row r="62" spans="2:25" ht="11.25" customHeight="1"/>
    <row r="63" spans="2:25" ht="11.25" customHeight="1"/>
    <row r="64" spans="2:25"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21"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spans="1:2" ht="11.25" customHeight="1"/>
    <row r="386" spans="1:2" ht="11.25" customHeight="1"/>
    <row r="387" spans="1:2" ht="11.25" customHeight="1"/>
    <row r="388" spans="1:2" ht="11.25" customHeight="1"/>
    <row r="389" spans="1:2" ht="11.25" customHeight="1"/>
    <row r="390" spans="1:2" ht="11.25" customHeight="1"/>
    <row r="391" spans="1:2" ht="11.25" customHeight="1"/>
    <row r="392" spans="1:2" ht="11.25" customHeight="1"/>
    <row r="393" spans="1:2" ht="11.25" customHeight="1"/>
    <row r="394" spans="1:2" ht="11.25" customHeight="1"/>
    <row r="395" spans="1:2" ht="11.25" customHeight="1"/>
    <row r="396" spans="1:2" ht="11.25" customHeight="1"/>
    <row r="397" spans="1:2" ht="31.5" customHeight="1"/>
    <row r="398" spans="1:2" ht="36.75" customHeight="1"/>
    <row r="399" spans="1:2" ht="12.75" customHeight="1"/>
    <row r="400" spans="1:2" ht="16.5" customHeight="1">
      <c r="A400" s="177" t="s">
        <v>423</v>
      </c>
      <c r="B400" s="26" t="s">
        <v>424</v>
      </c>
    </row>
    <row r="401" spans="2:35" ht="15">
      <c r="B401" s="178" t="s">
        <v>425</v>
      </c>
      <c r="S401" s="2008" t="s">
        <v>263</v>
      </c>
      <c r="T401" s="2009"/>
      <c r="U401" s="2009"/>
      <c r="V401" s="2009"/>
      <c r="W401" s="2009"/>
      <c r="X401" s="2009"/>
      <c r="Y401" s="2009"/>
      <c r="Z401" s="2009"/>
      <c r="AA401" s="2010"/>
    </row>
    <row r="402" spans="2:35" ht="24">
      <c r="S402" s="31" t="s">
        <v>264</v>
      </c>
      <c r="T402" s="31" t="s">
        <v>265</v>
      </c>
      <c r="U402" s="32" t="s">
        <v>266</v>
      </c>
      <c r="V402" s="33" t="s">
        <v>267</v>
      </c>
      <c r="W402" s="34" t="s">
        <v>268</v>
      </c>
      <c r="X402" s="34" t="s">
        <v>269</v>
      </c>
      <c r="Y402" s="34" t="s">
        <v>270</v>
      </c>
      <c r="Z402" s="31" t="s">
        <v>271</v>
      </c>
      <c r="AA402" s="31" t="s">
        <v>272</v>
      </c>
    </row>
    <row r="403" spans="2:35">
      <c r="S403" s="2011" t="s">
        <v>273</v>
      </c>
      <c r="T403" s="2014" t="s">
        <v>274</v>
      </c>
      <c r="U403" s="35" t="s">
        <v>275</v>
      </c>
      <c r="V403" s="36"/>
      <c r="W403" s="37">
        <f>SUM(W405:W440)</f>
        <v>405</v>
      </c>
      <c r="X403" s="38"/>
      <c r="Y403" s="38"/>
      <c r="Z403" s="39">
        <f>SUM(Y404+Y408+Y412+Y415+Y419+Y421+Y423+Y425+Y428+Y430)</f>
        <v>112320</v>
      </c>
      <c r="AA403" s="40">
        <f>Z403/1.18</f>
        <v>95186.440677966108</v>
      </c>
      <c r="AC403" s="562" t="s">
        <v>258</v>
      </c>
      <c r="AD403" s="563" t="s">
        <v>76</v>
      </c>
      <c r="AE403" s="437"/>
      <c r="AF403" s="437"/>
      <c r="AG403" s="437"/>
      <c r="AH403" s="437"/>
      <c r="AI403" s="437"/>
    </row>
    <row r="404" spans="2:35" ht="24.75">
      <c r="S404" s="2012"/>
      <c r="T404" s="2015"/>
      <c r="U404" s="41" t="s">
        <v>276</v>
      </c>
      <c r="V404" s="42"/>
      <c r="W404" s="43"/>
      <c r="X404" s="44"/>
      <c r="Y404" s="45">
        <f>SUM(Y405:Y407)</f>
        <v>13300</v>
      </c>
      <c r="Z404" s="46"/>
      <c r="AA404" s="47"/>
      <c r="AC404" s="564" t="s">
        <v>793</v>
      </c>
      <c r="AD404" s="565">
        <f>+Y414+Y438+Y440+Y442+Y444+Y462+Y469+Y470</f>
        <v>37800</v>
      </c>
      <c r="AE404" s="437"/>
      <c r="AF404" s="437"/>
      <c r="AG404" s="437"/>
      <c r="AH404" s="437"/>
      <c r="AI404" s="437"/>
    </row>
    <row r="405" spans="2:35" ht="15">
      <c r="S405" s="2012"/>
      <c r="T405" s="2015"/>
      <c r="U405" s="48" t="s">
        <v>277</v>
      </c>
      <c r="V405" s="49" t="s">
        <v>278</v>
      </c>
      <c r="W405" s="50">
        <v>7</v>
      </c>
      <c r="X405" s="44">
        <v>1200</v>
      </c>
      <c r="Y405" s="51">
        <f>W405*X405</f>
        <v>8400</v>
      </c>
      <c r="Z405" s="46"/>
      <c r="AA405" s="47"/>
      <c r="AC405" s="566"/>
      <c r="AD405" s="566"/>
      <c r="AE405" s="437"/>
      <c r="AF405" s="437"/>
      <c r="AG405" s="437"/>
      <c r="AH405" s="437"/>
      <c r="AI405" s="437"/>
    </row>
    <row r="406" spans="2:35" ht="15">
      <c r="S406" s="2012"/>
      <c r="T406" s="2015"/>
      <c r="U406" s="52" t="s">
        <v>279</v>
      </c>
      <c r="V406" s="49" t="s">
        <v>280</v>
      </c>
      <c r="W406" s="50">
        <v>7</v>
      </c>
      <c r="X406" s="44">
        <v>400</v>
      </c>
      <c r="Y406" s="51">
        <f>W406*X406</f>
        <v>2800</v>
      </c>
      <c r="Z406" s="46"/>
      <c r="AA406" s="47"/>
      <c r="AC406" s="566"/>
      <c r="AD406" s="566"/>
      <c r="AE406" s="437"/>
      <c r="AF406" s="437"/>
      <c r="AG406" s="437"/>
      <c r="AH406" s="437"/>
      <c r="AI406" s="437"/>
    </row>
    <row r="407" spans="2:35" ht="15">
      <c r="S407" s="2012"/>
      <c r="T407" s="2015"/>
      <c r="U407" s="52" t="s">
        <v>281</v>
      </c>
      <c r="V407" s="49" t="s">
        <v>280</v>
      </c>
      <c r="W407" s="50">
        <v>7</v>
      </c>
      <c r="X407" s="44">
        <v>300</v>
      </c>
      <c r="Y407" s="51">
        <f>W407*X407</f>
        <v>2100</v>
      </c>
      <c r="Z407" s="46"/>
      <c r="AA407" s="47"/>
      <c r="AC407" s="566"/>
      <c r="AD407" s="566"/>
      <c r="AE407" s="437"/>
      <c r="AF407" s="437"/>
      <c r="AG407" s="437"/>
      <c r="AH407" s="437"/>
      <c r="AI407" s="437"/>
    </row>
    <row r="408" spans="2:35" ht="15">
      <c r="S408" s="2012"/>
      <c r="T408" s="2015"/>
      <c r="U408" s="53" t="s">
        <v>282</v>
      </c>
      <c r="V408" s="54"/>
      <c r="W408" s="50"/>
      <c r="X408" s="44"/>
      <c r="Y408" s="45">
        <f>SUM(Y409:Y411)</f>
        <v>4550</v>
      </c>
      <c r="Z408" s="46"/>
      <c r="AA408" s="47"/>
      <c r="AC408" s="566"/>
      <c r="AD408" s="566"/>
      <c r="AE408" s="437"/>
      <c r="AF408" s="437"/>
      <c r="AG408" s="437"/>
      <c r="AH408" s="437"/>
      <c r="AI408" s="437"/>
    </row>
    <row r="409" spans="2:35" ht="15">
      <c r="S409" s="2012"/>
      <c r="T409" s="2015"/>
      <c r="U409" s="52" t="s">
        <v>283</v>
      </c>
      <c r="V409" s="49" t="s">
        <v>280</v>
      </c>
      <c r="W409" s="50">
        <v>7</v>
      </c>
      <c r="X409" s="44">
        <v>250</v>
      </c>
      <c r="Y409" s="51">
        <f>W409*X409</f>
        <v>1750</v>
      </c>
      <c r="Z409" s="46"/>
      <c r="AA409" s="47"/>
      <c r="AC409" s="566"/>
      <c r="AD409" s="566"/>
      <c r="AE409" s="437"/>
      <c r="AF409" s="437"/>
      <c r="AG409" s="437"/>
      <c r="AH409" s="437"/>
      <c r="AI409" s="437"/>
    </row>
    <row r="410" spans="2:35" ht="15">
      <c r="S410" s="2012"/>
      <c r="T410" s="2015"/>
      <c r="U410" s="52" t="s">
        <v>284</v>
      </c>
      <c r="V410" s="49" t="s">
        <v>280</v>
      </c>
      <c r="W410" s="50">
        <v>7</v>
      </c>
      <c r="X410" s="44">
        <v>250</v>
      </c>
      <c r="Y410" s="51">
        <f>W410*X410</f>
        <v>1750</v>
      </c>
      <c r="Z410" s="46"/>
      <c r="AA410" s="47"/>
      <c r="AC410" s="566"/>
      <c r="AD410" s="566"/>
      <c r="AE410" s="2148" t="s">
        <v>794</v>
      </c>
      <c r="AF410" s="2148"/>
      <c r="AG410" s="2148"/>
      <c r="AH410" s="2148"/>
      <c r="AI410" s="2148"/>
    </row>
    <row r="411" spans="2:35" ht="15">
      <c r="S411" s="2012"/>
      <c r="T411" s="2015"/>
      <c r="U411" s="52" t="s">
        <v>285</v>
      </c>
      <c r="V411" s="49" t="s">
        <v>280</v>
      </c>
      <c r="W411" s="50">
        <v>7</v>
      </c>
      <c r="X411" s="44">
        <v>150</v>
      </c>
      <c r="Y411" s="51">
        <f>W411*X411</f>
        <v>1050</v>
      </c>
      <c r="Z411" s="46"/>
      <c r="AA411" s="47"/>
      <c r="AC411" s="566"/>
      <c r="AD411" s="566"/>
      <c r="AE411" s="567" t="s">
        <v>264</v>
      </c>
      <c r="AF411" s="133" t="s">
        <v>795</v>
      </c>
      <c r="AG411" s="133" t="s">
        <v>796</v>
      </c>
      <c r="AH411" s="133" t="s">
        <v>68</v>
      </c>
      <c r="AI411" s="133" t="s">
        <v>797</v>
      </c>
    </row>
    <row r="412" spans="2:35" ht="15">
      <c r="S412" s="2012"/>
      <c r="T412" s="2015"/>
      <c r="U412" s="53" t="s">
        <v>286</v>
      </c>
      <c r="V412" s="49"/>
      <c r="W412" s="50"/>
      <c r="X412" s="44"/>
      <c r="Y412" s="45">
        <f>SUM(Y413:Y414)</f>
        <v>14700</v>
      </c>
      <c r="Z412" s="46"/>
      <c r="AA412" s="47"/>
      <c r="AC412" s="566"/>
      <c r="AD412" s="566"/>
      <c r="AE412" s="2149" t="s">
        <v>798</v>
      </c>
      <c r="AF412" s="381" t="s">
        <v>799</v>
      </c>
      <c r="AG412" s="140" t="s">
        <v>800</v>
      </c>
      <c r="AH412" s="383">
        <f>+W403</f>
        <v>405</v>
      </c>
      <c r="AI412" s="568">
        <f>+Z403</f>
        <v>112320</v>
      </c>
    </row>
    <row r="413" spans="2:35" ht="15">
      <c r="S413" s="2012"/>
      <c r="T413" s="2015"/>
      <c r="U413" s="52" t="s">
        <v>287</v>
      </c>
      <c r="V413" s="49" t="s">
        <v>280</v>
      </c>
      <c r="W413" s="50">
        <v>7</v>
      </c>
      <c r="X413" s="44">
        <v>400</v>
      </c>
      <c r="Y413" s="51">
        <f>W413*X413</f>
        <v>2800</v>
      </c>
      <c r="Z413" s="46"/>
      <c r="AA413" s="47"/>
      <c r="AC413" s="566"/>
      <c r="AD413" s="566"/>
      <c r="AE413" s="2149"/>
      <c r="AF413" s="381" t="s">
        <v>801</v>
      </c>
      <c r="AG413" s="140" t="s">
        <v>800</v>
      </c>
      <c r="AH413" s="383">
        <f>+W441</f>
        <v>94</v>
      </c>
      <c r="AI413" s="568">
        <f>+Z441</f>
        <v>29690</v>
      </c>
    </row>
    <row r="414" spans="2:35" ht="15">
      <c r="S414" s="2012"/>
      <c r="T414" s="2015"/>
      <c r="U414" s="52" t="s">
        <v>288</v>
      </c>
      <c r="V414" s="49" t="s">
        <v>280</v>
      </c>
      <c r="W414" s="50">
        <v>7</v>
      </c>
      <c r="X414" s="44">
        <v>1700</v>
      </c>
      <c r="Y414" s="51">
        <f>W414*X414</f>
        <v>11900</v>
      </c>
      <c r="Z414" s="46"/>
      <c r="AA414" s="47"/>
      <c r="AC414" s="566"/>
      <c r="AD414" s="566"/>
      <c r="AE414" s="2149" t="s">
        <v>802</v>
      </c>
      <c r="AF414" s="381" t="str">
        <f>T458</f>
        <v>DIRECCIÓN</v>
      </c>
      <c r="AG414" s="140" t="s">
        <v>800</v>
      </c>
      <c r="AH414" s="383">
        <f>+W458</f>
        <v>10</v>
      </c>
      <c r="AI414" s="568">
        <f>+Z458</f>
        <v>5040</v>
      </c>
    </row>
    <row r="415" spans="2:35" ht="15">
      <c r="S415" s="2012"/>
      <c r="T415" s="2015"/>
      <c r="U415" s="53" t="s">
        <v>289</v>
      </c>
      <c r="V415" s="49"/>
      <c r="W415" s="50"/>
      <c r="X415" s="44"/>
      <c r="Y415" s="45">
        <f>SUM(Y416:Y418)</f>
        <v>8050</v>
      </c>
      <c r="Z415" s="46"/>
      <c r="AA415" s="47"/>
      <c r="AC415" s="566"/>
      <c r="AD415" s="566"/>
      <c r="AE415" s="2149"/>
      <c r="AF415" s="381" t="str">
        <f>T466</f>
        <v>Secretaría y Espera</v>
      </c>
      <c r="AG415" s="140" t="s">
        <v>800</v>
      </c>
      <c r="AH415" s="569">
        <f>+W466</f>
        <v>10</v>
      </c>
      <c r="AI415" s="568">
        <f>+Z466</f>
        <v>7140</v>
      </c>
    </row>
    <row r="416" spans="2:35" ht="15">
      <c r="S416" s="2012"/>
      <c r="T416" s="2015"/>
      <c r="U416" s="52" t="s">
        <v>290</v>
      </c>
      <c r="V416" s="49" t="s">
        <v>280</v>
      </c>
      <c r="W416" s="50">
        <v>14</v>
      </c>
      <c r="X416" s="44">
        <v>350</v>
      </c>
      <c r="Y416" s="51">
        <f>W416*X416</f>
        <v>4900</v>
      </c>
      <c r="Z416" s="46"/>
      <c r="AA416" s="47"/>
      <c r="AC416" s="566"/>
      <c r="AD416" s="566"/>
      <c r="AE416" s="2149"/>
      <c r="AF416" s="570" t="str">
        <f>T475</f>
        <v>Sala de Profesores</v>
      </c>
      <c r="AG416" s="140" t="s">
        <v>800</v>
      </c>
      <c r="AH416" s="383">
        <f>W475</f>
        <v>14</v>
      </c>
      <c r="AI416" s="571">
        <f>Z475</f>
        <v>6960</v>
      </c>
    </row>
    <row r="417" spans="19:35" ht="15">
      <c r="S417" s="2012"/>
      <c r="T417" s="2015"/>
      <c r="U417" s="52" t="s">
        <v>285</v>
      </c>
      <c r="V417" s="49" t="s">
        <v>280</v>
      </c>
      <c r="W417" s="50">
        <v>7</v>
      </c>
      <c r="X417" s="44">
        <v>150</v>
      </c>
      <c r="Y417" s="51">
        <f>W417*X417</f>
        <v>1050</v>
      </c>
      <c r="Z417" s="46"/>
      <c r="AA417" s="47"/>
      <c r="AC417" s="566"/>
      <c r="AD417" s="566"/>
      <c r="AE417" s="2149"/>
      <c r="AF417" s="570" t="str">
        <f>T481</f>
        <v>Tópico y Psicología</v>
      </c>
      <c r="AG417" s="140" t="s">
        <v>800</v>
      </c>
      <c r="AH417" s="383">
        <f>W481</f>
        <v>12</v>
      </c>
      <c r="AI417" s="571">
        <f>Z481</f>
        <v>3500</v>
      </c>
    </row>
    <row r="418" spans="19:35" ht="15">
      <c r="S418" s="2012"/>
      <c r="T418" s="2015"/>
      <c r="U418" s="52" t="s">
        <v>291</v>
      </c>
      <c r="V418" s="49" t="s">
        <v>280</v>
      </c>
      <c r="W418" s="50">
        <v>7</v>
      </c>
      <c r="X418" s="44">
        <v>300</v>
      </c>
      <c r="Y418" s="51">
        <f>W418*X418</f>
        <v>2100</v>
      </c>
      <c r="Z418" s="46"/>
      <c r="AA418" s="47"/>
      <c r="AC418" s="566"/>
      <c r="AD418" s="566"/>
      <c r="AE418" s="2149"/>
      <c r="AF418" s="570" t="str">
        <f>T491</f>
        <v>DEPÓSITO DE MATERIAL DIDACTICO</v>
      </c>
      <c r="AG418" s="140" t="s">
        <v>800</v>
      </c>
      <c r="AH418" s="383">
        <f>W491</f>
        <v>5</v>
      </c>
      <c r="AI418" s="571">
        <f>Z491</f>
        <v>2350</v>
      </c>
    </row>
    <row r="419" spans="19:35" ht="15">
      <c r="S419" s="2012"/>
      <c r="T419" s="2015"/>
      <c r="U419" s="53" t="s">
        <v>292</v>
      </c>
      <c r="V419" s="49"/>
      <c r="W419" s="50"/>
      <c r="X419" s="44"/>
      <c r="Y419" s="45">
        <f>SUM(Y420:Y420)</f>
        <v>1750</v>
      </c>
      <c r="Z419" s="46"/>
      <c r="AA419" s="47"/>
      <c r="AC419" s="566"/>
      <c r="AD419" s="566"/>
      <c r="AE419" s="2149" t="s">
        <v>803</v>
      </c>
      <c r="AF419" s="381" t="s">
        <v>355</v>
      </c>
      <c r="AG419" s="140" t="s">
        <v>800</v>
      </c>
      <c r="AH419" s="383">
        <f>+W494</f>
        <v>12</v>
      </c>
      <c r="AI419" s="568">
        <f>+Z494</f>
        <v>10570</v>
      </c>
    </row>
    <row r="420" spans="19:35" ht="15">
      <c r="S420" s="2012"/>
      <c r="T420" s="2015"/>
      <c r="U420" s="52" t="s">
        <v>284</v>
      </c>
      <c r="V420" s="49" t="s">
        <v>280</v>
      </c>
      <c r="W420" s="50">
        <v>7</v>
      </c>
      <c r="X420" s="44">
        <v>250</v>
      </c>
      <c r="Y420" s="51">
        <f>W420*X420</f>
        <v>1750</v>
      </c>
      <c r="Z420" s="46"/>
      <c r="AA420" s="47"/>
      <c r="AC420" s="566"/>
      <c r="AD420" s="566"/>
      <c r="AE420" s="2149"/>
      <c r="AF420" s="381" t="s">
        <v>368</v>
      </c>
      <c r="AG420" s="140" t="s">
        <v>800</v>
      </c>
      <c r="AH420" s="383">
        <f>+W506</f>
        <v>3</v>
      </c>
      <c r="AI420" s="568">
        <f>+Z506</f>
        <v>545</v>
      </c>
    </row>
    <row r="421" spans="19:35" ht="15">
      <c r="S421" s="2012"/>
      <c r="T421" s="2015"/>
      <c r="U421" s="53" t="s">
        <v>293</v>
      </c>
      <c r="V421" s="49"/>
      <c r="W421" s="50">
        <v>7</v>
      </c>
      <c r="X421" s="44"/>
      <c r="Y421" s="45">
        <f>SUM(Y422:Y422)</f>
        <v>1750</v>
      </c>
      <c r="Z421" s="46"/>
      <c r="AA421" s="47"/>
      <c r="AC421" s="566"/>
      <c r="AD421" s="566"/>
      <c r="AE421" s="2149"/>
      <c r="AF421" s="381" t="s">
        <v>371</v>
      </c>
      <c r="AG421" s="140" t="s">
        <v>800</v>
      </c>
      <c r="AH421" s="383">
        <f>+W510</f>
        <v>2</v>
      </c>
      <c r="AI421" s="568">
        <f>+Z510</f>
        <v>660</v>
      </c>
    </row>
    <row r="422" spans="19:35" ht="15">
      <c r="S422" s="2012"/>
      <c r="T422" s="2015"/>
      <c r="U422" s="52" t="s">
        <v>284</v>
      </c>
      <c r="V422" s="49" t="s">
        <v>280</v>
      </c>
      <c r="W422" s="50">
        <v>7</v>
      </c>
      <c r="X422" s="44">
        <v>250</v>
      </c>
      <c r="Y422" s="51">
        <f>W422*X422</f>
        <v>1750</v>
      </c>
      <c r="Z422" s="46"/>
      <c r="AA422" s="47"/>
      <c r="AC422" s="566"/>
      <c r="AD422" s="566"/>
      <c r="AE422" s="2149"/>
      <c r="AF422" s="570" t="str">
        <f>T513</f>
        <v>Cuarto de basura</v>
      </c>
      <c r="AG422" s="140" t="s">
        <v>800</v>
      </c>
      <c r="AH422" s="383">
        <f>W513</f>
        <v>4</v>
      </c>
      <c r="AI422" s="571">
        <f>Z513</f>
        <v>1510</v>
      </c>
    </row>
    <row r="423" spans="19:35" ht="15">
      <c r="S423" s="2012"/>
      <c r="T423" s="2015"/>
      <c r="U423" s="53" t="s">
        <v>294</v>
      </c>
      <c r="V423" s="49"/>
      <c r="W423" s="50"/>
      <c r="X423" s="44"/>
      <c r="Y423" s="45">
        <f>SUM(Y424:Y424)</f>
        <v>1750</v>
      </c>
      <c r="Z423" s="46"/>
      <c r="AA423" s="47"/>
      <c r="AC423" s="566"/>
      <c r="AD423" s="566"/>
      <c r="AE423" s="405" t="s">
        <v>804</v>
      </c>
      <c r="AF423" s="405"/>
      <c r="AG423" s="405" t="s">
        <v>800</v>
      </c>
      <c r="AH423" s="15">
        <f>SUM(AH412:AH422)</f>
        <v>571</v>
      </c>
      <c r="AI423" s="572">
        <f>SUM(AI412:AI422)</f>
        <v>180285</v>
      </c>
    </row>
    <row r="424" spans="19:35">
      <c r="S424" s="2012"/>
      <c r="T424" s="2015"/>
      <c r="U424" s="52" t="s">
        <v>284</v>
      </c>
      <c r="V424" s="49" t="s">
        <v>280</v>
      </c>
      <c r="W424" s="50">
        <v>7</v>
      </c>
      <c r="X424" s="44">
        <v>250</v>
      </c>
      <c r="Y424" s="51">
        <f>W424*X424</f>
        <v>1750</v>
      </c>
      <c r="Z424" s="46"/>
      <c r="AA424" s="47"/>
    </row>
    <row r="425" spans="19:35">
      <c r="S425" s="2012"/>
      <c r="T425" s="2015"/>
      <c r="U425" s="42" t="s">
        <v>295</v>
      </c>
      <c r="V425" s="49"/>
      <c r="W425" s="50"/>
      <c r="X425" s="44"/>
      <c r="Y425" s="45">
        <f>SUM(Y426:Y427)</f>
        <v>4800</v>
      </c>
      <c r="Z425" s="46"/>
      <c r="AA425" s="47"/>
    </row>
    <row r="426" spans="19:35">
      <c r="S426" s="2012"/>
      <c r="T426" s="2015"/>
      <c r="U426" s="52" t="s">
        <v>296</v>
      </c>
      <c r="V426" s="49" t="s">
        <v>280</v>
      </c>
      <c r="W426" s="50">
        <v>10</v>
      </c>
      <c r="X426" s="44">
        <v>80</v>
      </c>
      <c r="Y426" s="51">
        <f>W426*X426</f>
        <v>800</v>
      </c>
      <c r="Z426" s="46"/>
      <c r="AA426" s="47"/>
    </row>
    <row r="427" spans="19:35">
      <c r="S427" s="2012"/>
      <c r="T427" s="2015"/>
      <c r="U427" s="52" t="s">
        <v>297</v>
      </c>
      <c r="V427" s="49" t="s">
        <v>280</v>
      </c>
      <c r="W427" s="50">
        <v>10</v>
      </c>
      <c r="X427" s="44">
        <v>400</v>
      </c>
      <c r="Y427" s="51">
        <f>W427*X427</f>
        <v>4000</v>
      </c>
      <c r="Z427" s="46"/>
      <c r="AA427" s="47"/>
    </row>
    <row r="428" spans="19:35">
      <c r="S428" s="2012"/>
      <c r="T428" s="2015"/>
      <c r="U428" s="53" t="s">
        <v>298</v>
      </c>
      <c r="V428" s="49"/>
      <c r="W428" s="50"/>
      <c r="X428" s="44"/>
      <c r="Y428" s="45">
        <f>SUM(Y429:Y429)</f>
        <v>2660</v>
      </c>
      <c r="Z428" s="46"/>
      <c r="AA428" s="47"/>
    </row>
    <row r="429" spans="19:35">
      <c r="S429" s="2012"/>
      <c r="T429" s="2015"/>
      <c r="U429" s="52" t="s">
        <v>299</v>
      </c>
      <c r="V429" s="49" t="s">
        <v>280</v>
      </c>
      <c r="W429" s="50">
        <v>7</v>
      </c>
      <c r="X429" s="44">
        <v>380</v>
      </c>
      <c r="Y429" s="51">
        <f>W429*X429</f>
        <v>2660</v>
      </c>
      <c r="Z429" s="46"/>
      <c r="AA429" s="47"/>
    </row>
    <row r="430" spans="19:35">
      <c r="S430" s="2012"/>
      <c r="T430" s="2015"/>
      <c r="U430" s="53" t="s">
        <v>300</v>
      </c>
      <c r="V430" s="55"/>
      <c r="W430" s="56"/>
      <c r="X430" s="55"/>
      <c r="Y430" s="45">
        <f>SUM(Y431:Y440)</f>
        <v>59010</v>
      </c>
      <c r="Z430" s="46"/>
      <c r="AA430" s="47"/>
    </row>
    <row r="431" spans="19:35">
      <c r="S431" s="2012"/>
      <c r="T431" s="2015"/>
      <c r="U431" s="57" t="s">
        <v>301</v>
      </c>
      <c r="V431" s="58" t="s">
        <v>280</v>
      </c>
      <c r="W431" s="58">
        <v>35</v>
      </c>
      <c r="X431" s="59">
        <v>250</v>
      </c>
      <c r="Y431" s="60">
        <f t="shared" ref="Y431:Y440" si="18">+X431*W431</f>
        <v>8750</v>
      </c>
      <c r="Z431" s="46"/>
      <c r="AA431" s="47"/>
    </row>
    <row r="432" spans="19:35">
      <c r="S432" s="2012"/>
      <c r="T432" s="2015"/>
      <c r="U432" s="57" t="s">
        <v>302</v>
      </c>
      <c r="V432" s="58" t="s">
        <v>280</v>
      </c>
      <c r="W432" s="58">
        <v>175</v>
      </c>
      <c r="X432" s="59">
        <v>100</v>
      </c>
      <c r="Y432" s="60">
        <f t="shared" si="18"/>
        <v>17500</v>
      </c>
      <c r="Z432" s="46"/>
      <c r="AA432" s="47"/>
    </row>
    <row r="433" spans="19:27">
      <c r="S433" s="2012"/>
      <c r="T433" s="2015"/>
      <c r="U433" s="57" t="s">
        <v>303</v>
      </c>
      <c r="V433" s="58" t="s">
        <v>280</v>
      </c>
      <c r="W433" s="50">
        <v>7</v>
      </c>
      <c r="X433" s="59">
        <v>450</v>
      </c>
      <c r="Y433" s="60">
        <f t="shared" si="18"/>
        <v>3150</v>
      </c>
      <c r="Z433" s="46"/>
      <c r="AA433" s="47"/>
    </row>
    <row r="434" spans="19:27">
      <c r="S434" s="2012"/>
      <c r="T434" s="2015"/>
      <c r="U434" s="57" t="s">
        <v>304</v>
      </c>
      <c r="V434" s="58" t="s">
        <v>280</v>
      </c>
      <c r="W434" s="50">
        <v>7</v>
      </c>
      <c r="X434" s="59">
        <v>330</v>
      </c>
      <c r="Y434" s="60">
        <f t="shared" si="18"/>
        <v>2310</v>
      </c>
      <c r="Z434" s="46"/>
      <c r="AA434" s="47"/>
    </row>
    <row r="435" spans="19:27">
      <c r="S435" s="2012"/>
      <c r="T435" s="2015"/>
      <c r="U435" s="57" t="s">
        <v>305</v>
      </c>
      <c r="V435" s="58" t="s">
        <v>280</v>
      </c>
      <c r="W435" s="50">
        <v>7</v>
      </c>
      <c r="X435" s="59">
        <v>700</v>
      </c>
      <c r="Y435" s="60">
        <f t="shared" si="18"/>
        <v>4900</v>
      </c>
      <c r="Z435" s="46"/>
      <c r="AA435" s="47"/>
    </row>
    <row r="436" spans="19:27">
      <c r="S436" s="2012"/>
      <c r="T436" s="2015"/>
      <c r="U436" s="57" t="s">
        <v>306</v>
      </c>
      <c r="V436" s="58" t="s">
        <v>280</v>
      </c>
      <c r="W436" s="50">
        <v>7</v>
      </c>
      <c r="X436" s="59">
        <v>300</v>
      </c>
      <c r="Y436" s="60">
        <f t="shared" si="18"/>
        <v>2100</v>
      </c>
      <c r="Z436" s="46"/>
      <c r="AA436" s="47"/>
    </row>
    <row r="437" spans="19:27">
      <c r="S437" s="2012"/>
      <c r="T437" s="2015"/>
      <c r="U437" s="57" t="s">
        <v>307</v>
      </c>
      <c r="V437" s="58" t="s">
        <v>280</v>
      </c>
      <c r="W437" s="50">
        <v>7</v>
      </c>
      <c r="X437" s="59">
        <v>250</v>
      </c>
      <c r="Y437" s="60">
        <f t="shared" si="18"/>
        <v>1750</v>
      </c>
      <c r="Z437" s="46"/>
      <c r="AA437" s="47"/>
    </row>
    <row r="438" spans="19:27">
      <c r="S438" s="2012"/>
      <c r="T438" s="2015"/>
      <c r="U438" s="57" t="s">
        <v>308</v>
      </c>
      <c r="V438" s="58" t="s">
        <v>280</v>
      </c>
      <c r="W438" s="50">
        <v>7</v>
      </c>
      <c r="X438" s="59">
        <v>2300</v>
      </c>
      <c r="Y438" s="60">
        <f t="shared" si="18"/>
        <v>16100</v>
      </c>
      <c r="Z438" s="46"/>
      <c r="AA438" s="47"/>
    </row>
    <row r="439" spans="19:27">
      <c r="S439" s="2012"/>
      <c r="T439" s="2015"/>
      <c r="U439" s="57" t="s">
        <v>309</v>
      </c>
      <c r="V439" s="58" t="s">
        <v>280</v>
      </c>
      <c r="W439" s="50">
        <v>7</v>
      </c>
      <c r="X439" s="59">
        <v>50</v>
      </c>
      <c r="Y439" s="60">
        <f t="shared" si="18"/>
        <v>350</v>
      </c>
      <c r="Z439" s="46"/>
      <c r="AA439" s="47"/>
    </row>
    <row r="440" spans="19:27">
      <c r="S440" s="2012"/>
      <c r="T440" s="2016"/>
      <c r="U440" s="57" t="s">
        <v>310</v>
      </c>
      <c r="V440" s="58" t="s">
        <v>280</v>
      </c>
      <c r="W440" s="50">
        <v>7</v>
      </c>
      <c r="X440" s="59">
        <v>300</v>
      </c>
      <c r="Y440" s="60">
        <f t="shared" si="18"/>
        <v>2100</v>
      </c>
      <c r="Z440" s="46"/>
      <c r="AA440" s="47"/>
    </row>
    <row r="441" spans="19:27">
      <c r="S441" s="2012"/>
      <c r="T441" s="2017" t="s">
        <v>311</v>
      </c>
      <c r="U441" s="61" t="s">
        <v>312</v>
      </c>
      <c r="V441" s="62"/>
      <c r="W441" s="63">
        <f>SUM(W442:W457)</f>
        <v>94</v>
      </c>
      <c r="X441" s="64"/>
      <c r="Y441" s="65"/>
      <c r="Z441" s="66">
        <f>SUM(Y442:Y457)</f>
        <v>29690</v>
      </c>
      <c r="AA441" s="40">
        <f>Z441/1.18</f>
        <v>25161.016949152545</v>
      </c>
    </row>
    <row r="442" spans="19:27">
      <c r="S442" s="2012"/>
      <c r="T442" s="2018"/>
      <c r="U442" s="67" t="s">
        <v>306</v>
      </c>
      <c r="V442" s="68" t="s">
        <v>280</v>
      </c>
      <c r="W442" s="58">
        <v>2</v>
      </c>
      <c r="X442" s="59">
        <v>300</v>
      </c>
      <c r="Y442" s="60">
        <f t="shared" ref="Y442:Y457" si="19">(+X442*W442)</f>
        <v>600</v>
      </c>
      <c r="Z442" s="69"/>
      <c r="AA442" s="47"/>
    </row>
    <row r="443" spans="19:27">
      <c r="S443" s="2012"/>
      <c r="T443" s="2018"/>
      <c r="U443" s="67" t="s">
        <v>313</v>
      </c>
      <c r="V443" s="68" t="s">
        <v>280</v>
      </c>
      <c r="W443" s="58">
        <v>2</v>
      </c>
      <c r="X443" s="59">
        <v>2300</v>
      </c>
      <c r="Y443" s="60">
        <f t="shared" si="19"/>
        <v>4600</v>
      </c>
      <c r="Z443" s="69"/>
      <c r="AA443" s="47"/>
    </row>
    <row r="444" spans="19:27">
      <c r="S444" s="2012"/>
      <c r="T444" s="2018"/>
      <c r="U444" s="67" t="s">
        <v>314</v>
      </c>
      <c r="V444" s="68" t="s">
        <v>280</v>
      </c>
      <c r="W444" s="58">
        <v>2</v>
      </c>
      <c r="X444" s="59">
        <v>300</v>
      </c>
      <c r="Y444" s="60">
        <f t="shared" si="19"/>
        <v>600</v>
      </c>
      <c r="Z444" s="70"/>
      <c r="AA444" s="47"/>
    </row>
    <row r="445" spans="19:27">
      <c r="S445" s="2012"/>
      <c r="T445" s="2018"/>
      <c r="U445" s="67" t="s">
        <v>297</v>
      </c>
      <c r="V445" s="68" t="s">
        <v>280</v>
      </c>
      <c r="W445" s="71">
        <v>14</v>
      </c>
      <c r="X445" s="59">
        <v>400</v>
      </c>
      <c r="Y445" s="60">
        <f t="shared" si="19"/>
        <v>5600</v>
      </c>
      <c r="Z445" s="70"/>
      <c r="AA445" s="47"/>
    </row>
    <row r="446" spans="19:27">
      <c r="S446" s="2012"/>
      <c r="T446" s="2018"/>
      <c r="U446" s="72" t="s">
        <v>315</v>
      </c>
      <c r="V446" s="58" t="s">
        <v>280</v>
      </c>
      <c r="W446" s="58">
        <v>2</v>
      </c>
      <c r="X446" s="73">
        <v>2500</v>
      </c>
      <c r="Y446" s="74">
        <f t="shared" si="19"/>
        <v>5000</v>
      </c>
      <c r="Z446" s="70"/>
      <c r="AA446" s="47"/>
    </row>
    <row r="447" spans="19:27">
      <c r="S447" s="2012"/>
      <c r="T447" s="2018"/>
      <c r="U447" s="73" t="s">
        <v>316</v>
      </c>
      <c r="V447" s="58" t="s">
        <v>280</v>
      </c>
      <c r="W447" s="58">
        <v>2</v>
      </c>
      <c r="X447" s="73">
        <v>1700</v>
      </c>
      <c r="Y447" s="74">
        <f t="shared" si="19"/>
        <v>3400</v>
      </c>
      <c r="Z447" s="70"/>
      <c r="AA447" s="47"/>
    </row>
    <row r="448" spans="19:27">
      <c r="S448" s="2012"/>
      <c r="T448" s="2018"/>
      <c r="U448" s="73" t="s">
        <v>317</v>
      </c>
      <c r="V448" s="58" t="s">
        <v>280</v>
      </c>
      <c r="W448" s="58">
        <v>2</v>
      </c>
      <c r="X448" s="73">
        <v>300</v>
      </c>
      <c r="Y448" s="74">
        <f t="shared" si="19"/>
        <v>600</v>
      </c>
      <c r="Z448" s="70"/>
      <c r="AA448" s="47"/>
    </row>
    <row r="449" spans="19:27">
      <c r="S449" s="2012"/>
      <c r="T449" s="2018"/>
      <c r="U449" s="57" t="s">
        <v>318</v>
      </c>
      <c r="V449" s="68" t="s">
        <v>280</v>
      </c>
      <c r="W449" s="58">
        <v>2</v>
      </c>
      <c r="X449" s="59">
        <v>300</v>
      </c>
      <c r="Y449" s="60">
        <f t="shared" si="19"/>
        <v>600</v>
      </c>
      <c r="Z449" s="70"/>
      <c r="AA449" s="47"/>
    </row>
    <row r="450" spans="19:27">
      <c r="S450" s="2012"/>
      <c r="T450" s="2018"/>
      <c r="U450" s="57" t="s">
        <v>303</v>
      </c>
      <c r="V450" s="68" t="s">
        <v>280</v>
      </c>
      <c r="W450" s="58">
        <v>2</v>
      </c>
      <c r="X450" s="59">
        <v>450</v>
      </c>
      <c r="Y450" s="60">
        <f t="shared" si="19"/>
        <v>900</v>
      </c>
      <c r="Z450" s="70"/>
      <c r="AA450" s="47"/>
    </row>
    <row r="451" spans="19:27">
      <c r="S451" s="2012"/>
      <c r="T451" s="2018"/>
      <c r="U451" s="57" t="s">
        <v>319</v>
      </c>
      <c r="V451" s="68" t="s">
        <v>280</v>
      </c>
      <c r="W451" s="58">
        <v>2</v>
      </c>
      <c r="X451" s="59">
        <v>40</v>
      </c>
      <c r="Y451" s="60">
        <f t="shared" si="19"/>
        <v>80</v>
      </c>
      <c r="Z451" s="70"/>
      <c r="AA451" s="47"/>
    </row>
    <row r="452" spans="19:27">
      <c r="S452" s="2012"/>
      <c r="T452" s="2018"/>
      <c r="U452" s="57" t="s">
        <v>320</v>
      </c>
      <c r="V452" s="68" t="s">
        <v>280</v>
      </c>
      <c r="W452" s="58">
        <v>2</v>
      </c>
      <c r="X452" s="59">
        <v>120</v>
      </c>
      <c r="Y452" s="60">
        <f t="shared" si="19"/>
        <v>240</v>
      </c>
      <c r="Z452" s="70"/>
      <c r="AA452" s="47"/>
    </row>
    <row r="453" spans="19:27">
      <c r="S453" s="2012"/>
      <c r="T453" s="2018"/>
      <c r="U453" s="57" t="s">
        <v>321</v>
      </c>
      <c r="V453" s="68" t="s">
        <v>280</v>
      </c>
      <c r="W453" s="58">
        <v>2</v>
      </c>
      <c r="X453" s="59">
        <v>400</v>
      </c>
      <c r="Y453" s="60">
        <f t="shared" si="19"/>
        <v>800</v>
      </c>
      <c r="Z453" s="70"/>
      <c r="AA453" s="47"/>
    </row>
    <row r="454" spans="19:27">
      <c r="S454" s="2012"/>
      <c r="T454" s="2018"/>
      <c r="U454" s="57" t="s">
        <v>322</v>
      </c>
      <c r="V454" s="68" t="s">
        <v>280</v>
      </c>
      <c r="W454" s="58">
        <v>2</v>
      </c>
      <c r="X454" s="59">
        <v>100</v>
      </c>
      <c r="Y454" s="60">
        <f t="shared" si="19"/>
        <v>200</v>
      </c>
      <c r="Z454" s="70"/>
      <c r="AA454" s="47"/>
    </row>
    <row r="455" spans="19:27">
      <c r="S455" s="2012"/>
      <c r="T455" s="2018"/>
      <c r="U455" s="57" t="s">
        <v>323</v>
      </c>
      <c r="V455" s="68" t="s">
        <v>280</v>
      </c>
      <c r="W455" s="71">
        <v>50</v>
      </c>
      <c r="X455" s="59">
        <v>120</v>
      </c>
      <c r="Y455" s="60">
        <f t="shared" si="19"/>
        <v>6000</v>
      </c>
      <c r="Z455" s="70"/>
      <c r="AA455" s="47"/>
    </row>
    <row r="456" spans="19:27">
      <c r="S456" s="2012"/>
      <c r="T456" s="2018"/>
      <c r="U456" s="57" t="s">
        <v>324</v>
      </c>
      <c r="V456" s="68" t="s">
        <v>280</v>
      </c>
      <c r="W456" s="58">
        <v>2</v>
      </c>
      <c r="X456" s="59">
        <v>45</v>
      </c>
      <c r="Y456" s="60">
        <f t="shared" si="19"/>
        <v>90</v>
      </c>
      <c r="Z456" s="70"/>
      <c r="AA456" s="47"/>
    </row>
    <row r="457" spans="19:27">
      <c r="S457" s="2013"/>
      <c r="T457" s="2019"/>
      <c r="U457" s="57" t="s">
        <v>325</v>
      </c>
      <c r="V457" s="68" t="s">
        <v>280</v>
      </c>
      <c r="W457" s="58">
        <v>4</v>
      </c>
      <c r="X457" s="59">
        <v>95</v>
      </c>
      <c r="Y457" s="60">
        <f t="shared" si="19"/>
        <v>380</v>
      </c>
      <c r="Z457" s="75"/>
      <c r="AA457" s="47"/>
    </row>
    <row r="458" spans="19:27">
      <c r="S458" s="2020" t="s">
        <v>326</v>
      </c>
      <c r="T458" s="2006" t="s">
        <v>327</v>
      </c>
      <c r="U458" s="76" t="s">
        <v>328</v>
      </c>
      <c r="V458" s="77"/>
      <c r="W458" s="78">
        <f>SUM(W459:W465)</f>
        <v>10</v>
      </c>
      <c r="X458" s="79"/>
      <c r="Y458" s="80"/>
      <c r="Z458" s="66">
        <f>SUM(Y459:Y465)</f>
        <v>5040</v>
      </c>
      <c r="AA458" s="40">
        <f>Z458/1.18</f>
        <v>4271.1864406779659</v>
      </c>
    </row>
    <row r="459" spans="19:27">
      <c r="S459" s="2021"/>
      <c r="T459" s="2006"/>
      <c r="U459" s="81" t="s">
        <v>303</v>
      </c>
      <c r="V459" s="82" t="s">
        <v>280</v>
      </c>
      <c r="W459" s="83">
        <v>1</v>
      </c>
      <c r="X459" s="84">
        <v>450</v>
      </c>
      <c r="Y459" s="85">
        <f>+W459*X459</f>
        <v>450</v>
      </c>
      <c r="Z459" s="86"/>
      <c r="AA459" s="47"/>
    </row>
    <row r="460" spans="19:27">
      <c r="S460" s="2021"/>
      <c r="T460" s="2006"/>
      <c r="U460" s="57" t="s">
        <v>304</v>
      </c>
      <c r="V460" s="87" t="s">
        <v>280</v>
      </c>
      <c r="W460" s="58">
        <v>1</v>
      </c>
      <c r="X460" s="59">
        <v>330</v>
      </c>
      <c r="Y460" s="60">
        <f t="shared" ref="Y460:Y465" si="20">+X460*W460</f>
        <v>330</v>
      </c>
      <c r="Z460" s="70"/>
      <c r="AA460" s="47"/>
    </row>
    <row r="461" spans="19:27">
      <c r="S461" s="2021"/>
      <c r="T461" s="2006"/>
      <c r="U461" s="57" t="s">
        <v>329</v>
      </c>
      <c r="V461" s="82" t="s">
        <v>280</v>
      </c>
      <c r="W461" s="58">
        <v>1</v>
      </c>
      <c r="X461" s="59">
        <v>500</v>
      </c>
      <c r="Y461" s="60">
        <f t="shared" si="20"/>
        <v>500</v>
      </c>
      <c r="Z461" s="70"/>
      <c r="AA461" s="47"/>
    </row>
    <row r="462" spans="19:27">
      <c r="S462" s="2021"/>
      <c r="T462" s="2006"/>
      <c r="U462" s="57" t="s">
        <v>288</v>
      </c>
      <c r="V462" s="87" t="s">
        <v>280</v>
      </c>
      <c r="W462" s="58">
        <v>1</v>
      </c>
      <c r="X462" s="59">
        <v>2000</v>
      </c>
      <c r="Y462" s="60">
        <f t="shared" si="20"/>
        <v>2000</v>
      </c>
      <c r="Z462" s="70"/>
      <c r="AA462" s="47"/>
    </row>
    <row r="463" spans="19:27">
      <c r="S463" s="2021"/>
      <c r="T463" s="2006"/>
      <c r="U463" s="67" t="s">
        <v>330</v>
      </c>
      <c r="V463" s="82" t="s">
        <v>280</v>
      </c>
      <c r="W463" s="71">
        <v>2</v>
      </c>
      <c r="X463" s="59">
        <v>100</v>
      </c>
      <c r="Y463" s="60">
        <f t="shared" si="20"/>
        <v>200</v>
      </c>
      <c r="Z463" s="70"/>
      <c r="AA463" s="47"/>
    </row>
    <row r="464" spans="19:27">
      <c r="S464" s="2021"/>
      <c r="T464" s="2006"/>
      <c r="U464" s="67" t="s">
        <v>299</v>
      </c>
      <c r="V464" s="87" t="s">
        <v>280</v>
      </c>
      <c r="W464" s="71">
        <v>2</v>
      </c>
      <c r="X464" s="59">
        <v>380</v>
      </c>
      <c r="Y464" s="60">
        <f t="shared" si="20"/>
        <v>760</v>
      </c>
      <c r="Z464" s="70"/>
      <c r="AA464" s="47"/>
    </row>
    <row r="465" spans="19:27">
      <c r="S465" s="2021"/>
      <c r="T465" s="2006"/>
      <c r="U465" s="67" t="s">
        <v>331</v>
      </c>
      <c r="V465" s="82" t="s">
        <v>280</v>
      </c>
      <c r="W465" s="71">
        <v>2</v>
      </c>
      <c r="X465" s="59">
        <v>400</v>
      </c>
      <c r="Y465" s="60">
        <f t="shared" si="20"/>
        <v>800</v>
      </c>
      <c r="Z465" s="70"/>
      <c r="AA465" s="47"/>
    </row>
    <row r="466" spans="19:27">
      <c r="S466" s="2021"/>
      <c r="T466" s="2022" t="s">
        <v>332</v>
      </c>
      <c r="U466" s="88" t="s">
        <v>333</v>
      </c>
      <c r="V466" s="89"/>
      <c r="W466" s="90">
        <f>SUM(W467:W474)</f>
        <v>10</v>
      </c>
      <c r="X466" s="91"/>
      <c r="Y466" s="92"/>
      <c r="Z466" s="93">
        <f>SUM(Y467:Y474)</f>
        <v>7140</v>
      </c>
      <c r="AA466" s="93">
        <f>Z466/(1+0.18)</f>
        <v>6050.8474576271192</v>
      </c>
    </row>
    <row r="467" spans="19:27">
      <c r="S467" s="2021"/>
      <c r="T467" s="2023"/>
      <c r="U467" s="94" t="s">
        <v>303</v>
      </c>
      <c r="V467" s="95" t="s">
        <v>259</v>
      </c>
      <c r="W467" s="96">
        <v>1</v>
      </c>
      <c r="X467" s="97">
        <v>450</v>
      </c>
      <c r="Y467" s="98">
        <f t="shared" ref="Y467:Y474" si="21">+X467*W467</f>
        <v>450</v>
      </c>
      <c r="Z467" s="99"/>
      <c r="AA467" s="99"/>
    </row>
    <row r="468" spans="19:27">
      <c r="S468" s="2021"/>
      <c r="T468" s="2023"/>
      <c r="U468" s="94" t="s">
        <v>334</v>
      </c>
      <c r="V468" s="95" t="s">
        <v>259</v>
      </c>
      <c r="W468" s="96">
        <v>1</v>
      </c>
      <c r="X468" s="97">
        <v>500</v>
      </c>
      <c r="Y468" s="98">
        <f t="shared" si="21"/>
        <v>500</v>
      </c>
      <c r="Z468" s="99"/>
      <c r="AA468" s="99"/>
    </row>
    <row r="469" spans="19:27">
      <c r="S469" s="2021"/>
      <c r="T469" s="2023"/>
      <c r="U469" s="94" t="s">
        <v>288</v>
      </c>
      <c r="V469" s="95" t="s">
        <v>259</v>
      </c>
      <c r="W469" s="96">
        <v>1</v>
      </c>
      <c r="X469" s="97">
        <v>2000</v>
      </c>
      <c r="Y469" s="98">
        <f t="shared" si="21"/>
        <v>2000</v>
      </c>
      <c r="Z469" s="99"/>
      <c r="AA469" s="99"/>
    </row>
    <row r="470" spans="19:27">
      <c r="S470" s="2021"/>
      <c r="T470" s="2023"/>
      <c r="U470" s="100" t="s">
        <v>335</v>
      </c>
      <c r="V470" s="95" t="s">
        <v>259</v>
      </c>
      <c r="W470" s="101">
        <v>1</v>
      </c>
      <c r="X470" s="102">
        <v>2500</v>
      </c>
      <c r="Y470" s="98">
        <f t="shared" si="21"/>
        <v>2500</v>
      </c>
      <c r="Z470" s="103"/>
      <c r="AA470" s="103"/>
    </row>
    <row r="471" spans="19:27">
      <c r="S471" s="2021"/>
      <c r="T471" s="2023"/>
      <c r="U471" s="100" t="s">
        <v>336</v>
      </c>
      <c r="V471" s="95" t="s">
        <v>259</v>
      </c>
      <c r="W471" s="101">
        <v>1</v>
      </c>
      <c r="X471" s="102">
        <v>330</v>
      </c>
      <c r="Y471" s="98">
        <f t="shared" si="21"/>
        <v>330</v>
      </c>
      <c r="Z471" s="103"/>
      <c r="AA471" s="103"/>
    </row>
    <row r="472" spans="19:27">
      <c r="S472" s="2021"/>
      <c r="T472" s="2023"/>
      <c r="U472" s="104" t="s">
        <v>330</v>
      </c>
      <c r="V472" s="95" t="s">
        <v>259</v>
      </c>
      <c r="W472" s="101">
        <v>2</v>
      </c>
      <c r="X472" s="102">
        <v>100</v>
      </c>
      <c r="Y472" s="98">
        <f t="shared" si="21"/>
        <v>200</v>
      </c>
      <c r="Z472" s="103"/>
      <c r="AA472" s="103"/>
    </row>
    <row r="473" spans="19:27">
      <c r="S473" s="2021"/>
      <c r="T473" s="2023"/>
      <c r="U473" s="105" t="s">
        <v>299</v>
      </c>
      <c r="V473" s="95" t="s">
        <v>259</v>
      </c>
      <c r="W473" s="101">
        <v>2</v>
      </c>
      <c r="X473" s="102">
        <v>380</v>
      </c>
      <c r="Y473" s="98">
        <f t="shared" si="21"/>
        <v>760</v>
      </c>
      <c r="Z473" s="103"/>
      <c r="AA473" s="103"/>
    </row>
    <row r="474" spans="19:27">
      <c r="S474" s="2021"/>
      <c r="T474" s="2024"/>
      <c r="U474" s="105" t="s">
        <v>331</v>
      </c>
      <c r="V474" s="95" t="s">
        <v>259</v>
      </c>
      <c r="W474" s="101">
        <v>1</v>
      </c>
      <c r="X474" s="102">
        <v>400</v>
      </c>
      <c r="Y474" s="98">
        <f t="shared" si="21"/>
        <v>400</v>
      </c>
      <c r="Z474" s="103"/>
      <c r="AA474" s="103"/>
    </row>
    <row r="475" spans="19:27">
      <c r="S475" s="2021"/>
      <c r="T475" s="2025" t="s">
        <v>337</v>
      </c>
      <c r="U475" s="88" t="s">
        <v>338</v>
      </c>
      <c r="V475" s="89"/>
      <c r="W475" s="90">
        <f>SUM(W476:W480)</f>
        <v>14</v>
      </c>
      <c r="X475" s="91"/>
      <c r="Y475" s="92"/>
      <c r="Z475" s="93">
        <f>SUM(Y476:Y480)</f>
        <v>6960</v>
      </c>
      <c r="AA475" s="93">
        <f>Z475/(1+0.18)</f>
        <v>5898.3050847457635</v>
      </c>
    </row>
    <row r="476" spans="19:27">
      <c r="S476" s="2021"/>
      <c r="T476" s="2026"/>
      <c r="U476" s="100" t="s">
        <v>330</v>
      </c>
      <c r="V476" s="95" t="s">
        <v>259</v>
      </c>
      <c r="W476" s="101">
        <v>8</v>
      </c>
      <c r="X476" s="98">
        <v>380</v>
      </c>
      <c r="Y476" s="98">
        <f>+X476*W476</f>
        <v>3040</v>
      </c>
      <c r="Z476" s="103"/>
      <c r="AA476" s="103"/>
    </row>
    <row r="477" spans="19:27">
      <c r="S477" s="2021"/>
      <c r="T477" s="2026"/>
      <c r="U477" s="100" t="s">
        <v>339</v>
      </c>
      <c r="V477" s="95" t="s">
        <v>259</v>
      </c>
      <c r="W477" s="101">
        <v>2</v>
      </c>
      <c r="X477" s="98">
        <v>920</v>
      </c>
      <c r="Y477" s="98">
        <f>+X477*W477</f>
        <v>1840</v>
      </c>
      <c r="Z477" s="103"/>
      <c r="AA477" s="103"/>
    </row>
    <row r="478" spans="19:27">
      <c r="S478" s="2021"/>
      <c r="T478" s="2026"/>
      <c r="U478" s="100" t="s">
        <v>340</v>
      </c>
      <c r="V478" s="95" t="s">
        <v>259</v>
      </c>
      <c r="W478" s="101">
        <v>1</v>
      </c>
      <c r="X478" s="98">
        <v>200</v>
      </c>
      <c r="Y478" s="98">
        <f>+X478*W478</f>
        <v>200</v>
      </c>
      <c r="Z478" s="103"/>
      <c r="AA478" s="103"/>
    </row>
    <row r="479" spans="19:27">
      <c r="S479" s="2021"/>
      <c r="T479" s="2026"/>
      <c r="U479" s="100" t="s">
        <v>299</v>
      </c>
      <c r="V479" s="95" t="s">
        <v>259</v>
      </c>
      <c r="W479" s="101">
        <v>1</v>
      </c>
      <c r="X479" s="98">
        <v>380</v>
      </c>
      <c r="Y479" s="98">
        <f>+X479*W479</f>
        <v>380</v>
      </c>
      <c r="Z479" s="103"/>
      <c r="AA479" s="103"/>
    </row>
    <row r="480" spans="19:27">
      <c r="S480" s="2021"/>
      <c r="T480" s="2027"/>
      <c r="U480" s="100" t="s">
        <v>341</v>
      </c>
      <c r="V480" s="95" t="s">
        <v>259</v>
      </c>
      <c r="W480" s="101">
        <v>2</v>
      </c>
      <c r="X480" s="98">
        <v>750</v>
      </c>
      <c r="Y480" s="98">
        <f>+X480*W480</f>
        <v>1500</v>
      </c>
      <c r="Z480" s="103"/>
      <c r="AA480" s="103"/>
    </row>
    <row r="481" spans="19:27">
      <c r="S481" s="2021"/>
      <c r="T481" s="2028" t="s">
        <v>342</v>
      </c>
      <c r="U481" s="106" t="s">
        <v>343</v>
      </c>
      <c r="V481" s="89"/>
      <c r="W481" s="90">
        <f>SUM(W482:W490)</f>
        <v>12</v>
      </c>
      <c r="X481" s="92"/>
      <c r="Y481" s="92"/>
      <c r="Z481" s="93">
        <f>SUM(Y482:Y490)</f>
        <v>3500</v>
      </c>
      <c r="AA481" s="93">
        <f>Z481/(1+0.18)</f>
        <v>2966.1016949152545</v>
      </c>
    </row>
    <row r="482" spans="19:27">
      <c r="S482" s="2021"/>
      <c r="T482" s="2029"/>
      <c r="U482" s="94" t="s">
        <v>344</v>
      </c>
      <c r="V482" s="107" t="s">
        <v>259</v>
      </c>
      <c r="W482" s="108">
        <v>1</v>
      </c>
      <c r="X482" s="98">
        <v>450</v>
      </c>
      <c r="Y482" s="98">
        <f t="shared" ref="Y482:Y490" si="22">+X482*W482</f>
        <v>450</v>
      </c>
      <c r="Z482" s="103"/>
      <c r="AA482" s="103"/>
    </row>
    <row r="483" spans="19:27">
      <c r="S483" s="2021"/>
      <c r="T483" s="2029"/>
      <c r="U483" s="104" t="s">
        <v>345</v>
      </c>
      <c r="V483" s="107" t="s">
        <v>259</v>
      </c>
      <c r="W483" s="108">
        <v>1</v>
      </c>
      <c r="X483" s="98">
        <v>360</v>
      </c>
      <c r="Y483" s="98">
        <f t="shared" si="22"/>
        <v>360</v>
      </c>
      <c r="Z483" s="109"/>
      <c r="AA483" s="103"/>
    </row>
    <row r="484" spans="19:27">
      <c r="S484" s="2021"/>
      <c r="T484" s="2029"/>
      <c r="U484" s="104" t="s">
        <v>346</v>
      </c>
      <c r="V484" s="107" t="s">
        <v>259</v>
      </c>
      <c r="W484" s="108">
        <v>1</v>
      </c>
      <c r="X484" s="98">
        <v>100</v>
      </c>
      <c r="Y484" s="98">
        <f t="shared" si="22"/>
        <v>100</v>
      </c>
      <c r="Z484" s="103"/>
      <c r="AA484" s="103"/>
    </row>
    <row r="485" spans="19:27">
      <c r="S485" s="2021"/>
      <c r="T485" s="2029"/>
      <c r="U485" s="104" t="s">
        <v>347</v>
      </c>
      <c r="V485" s="107" t="s">
        <v>259</v>
      </c>
      <c r="W485" s="108">
        <v>1</v>
      </c>
      <c r="X485" s="98">
        <v>200</v>
      </c>
      <c r="Y485" s="98">
        <f t="shared" si="22"/>
        <v>200</v>
      </c>
      <c r="Z485" s="103"/>
      <c r="AA485" s="103"/>
    </row>
    <row r="486" spans="19:27">
      <c r="S486" s="2021"/>
      <c r="T486" s="2029"/>
      <c r="U486" s="104" t="s">
        <v>348</v>
      </c>
      <c r="V486" s="107" t="s">
        <v>259</v>
      </c>
      <c r="W486" s="108">
        <v>1</v>
      </c>
      <c r="X486" s="98">
        <v>350</v>
      </c>
      <c r="Y486" s="98">
        <f t="shared" si="22"/>
        <v>350</v>
      </c>
      <c r="Z486" s="103"/>
      <c r="AA486" s="103"/>
    </row>
    <row r="487" spans="19:27">
      <c r="S487" s="2021"/>
      <c r="T487" s="2029"/>
      <c r="U487" s="104" t="s">
        <v>336</v>
      </c>
      <c r="V487" s="107" t="s">
        <v>259</v>
      </c>
      <c r="W487" s="108">
        <v>2</v>
      </c>
      <c r="X487" s="98">
        <v>330</v>
      </c>
      <c r="Y487" s="98">
        <f t="shared" si="22"/>
        <v>660</v>
      </c>
      <c r="Z487" s="103"/>
      <c r="AA487" s="103"/>
    </row>
    <row r="488" spans="19:27">
      <c r="S488" s="2021"/>
      <c r="T488" s="2029"/>
      <c r="U488" s="104" t="s">
        <v>330</v>
      </c>
      <c r="V488" s="110" t="s">
        <v>259</v>
      </c>
      <c r="W488" s="111">
        <v>2</v>
      </c>
      <c r="X488" s="112">
        <v>100</v>
      </c>
      <c r="Y488" s="112">
        <f t="shared" si="22"/>
        <v>200</v>
      </c>
      <c r="Z488" s="103"/>
      <c r="AA488" s="103"/>
    </row>
    <row r="489" spans="19:27">
      <c r="S489" s="2021"/>
      <c r="T489" s="2029"/>
      <c r="U489" s="113" t="s">
        <v>349</v>
      </c>
      <c r="V489" s="114" t="s">
        <v>259</v>
      </c>
      <c r="W489" s="108">
        <v>1</v>
      </c>
      <c r="X489" s="98">
        <v>380</v>
      </c>
      <c r="Y489" s="98">
        <f t="shared" si="22"/>
        <v>380</v>
      </c>
      <c r="Z489" s="103"/>
      <c r="AA489" s="103"/>
    </row>
    <row r="490" spans="19:27">
      <c r="S490" s="2021"/>
      <c r="T490" s="2029"/>
      <c r="U490" s="100" t="s">
        <v>331</v>
      </c>
      <c r="V490" s="114" t="s">
        <v>259</v>
      </c>
      <c r="W490" s="115">
        <v>2</v>
      </c>
      <c r="X490" s="98">
        <v>400</v>
      </c>
      <c r="Y490" s="98">
        <f t="shared" si="22"/>
        <v>800</v>
      </c>
      <c r="Z490" s="103"/>
      <c r="AA490" s="103"/>
    </row>
    <row r="491" spans="19:27">
      <c r="S491" s="2021"/>
      <c r="T491" s="2017" t="s">
        <v>350</v>
      </c>
      <c r="U491" s="116" t="s">
        <v>351</v>
      </c>
      <c r="V491" s="117"/>
      <c r="W491" s="63">
        <f>SUM(W492:W493)</f>
        <v>5</v>
      </c>
      <c r="X491" s="118"/>
      <c r="Y491" s="119"/>
      <c r="Z491" s="66">
        <f>SUM(Y492:Y493)</f>
        <v>2350</v>
      </c>
      <c r="AA491" s="40">
        <f>Z491/1.18</f>
        <v>1991.5254237288136</v>
      </c>
    </row>
    <row r="492" spans="19:27">
      <c r="S492" s="2021"/>
      <c r="T492" s="2018"/>
      <c r="U492" s="120" t="s">
        <v>352</v>
      </c>
      <c r="V492" s="68" t="s">
        <v>280</v>
      </c>
      <c r="W492" s="58">
        <v>4</v>
      </c>
      <c r="X492" s="121">
        <v>450</v>
      </c>
      <c r="Y492" s="122">
        <f>+X492*W492</f>
        <v>1800</v>
      </c>
      <c r="Z492" s="123"/>
      <c r="AA492" s="47"/>
    </row>
    <row r="493" spans="19:27">
      <c r="S493" s="2021"/>
      <c r="T493" s="2019"/>
      <c r="U493" s="120" t="s">
        <v>353</v>
      </c>
      <c r="V493" s="68" t="s">
        <v>280</v>
      </c>
      <c r="W493" s="58">
        <v>1</v>
      </c>
      <c r="X493" s="124">
        <v>550</v>
      </c>
      <c r="Y493" s="122">
        <f>+X493*W493</f>
        <v>550</v>
      </c>
      <c r="Z493" s="125"/>
      <c r="AA493" s="47"/>
    </row>
    <row r="494" spans="19:27">
      <c r="S494" s="2003" t="s">
        <v>354</v>
      </c>
      <c r="T494" s="2006" t="s">
        <v>355</v>
      </c>
      <c r="U494" s="61" t="s">
        <v>356</v>
      </c>
      <c r="V494" s="62"/>
      <c r="W494" s="63">
        <f>SUM(W495:W505)</f>
        <v>12</v>
      </c>
      <c r="X494" s="64"/>
      <c r="Y494" s="126"/>
      <c r="Z494" s="66">
        <f>SUM(Y495:Y505)</f>
        <v>10570</v>
      </c>
      <c r="AA494" s="40">
        <f>Z494/1.18</f>
        <v>8957.6271186440681</v>
      </c>
    </row>
    <row r="495" spans="19:27">
      <c r="S495" s="2004"/>
      <c r="T495" s="2006"/>
      <c r="U495" s="57" t="s">
        <v>357</v>
      </c>
      <c r="V495" s="58" t="s">
        <v>278</v>
      </c>
      <c r="W495" s="58">
        <v>1</v>
      </c>
      <c r="X495" s="59">
        <v>1000</v>
      </c>
      <c r="Y495" s="60">
        <f t="shared" ref="Y495:Y505" si="23">+X495*W495</f>
        <v>1000</v>
      </c>
      <c r="Z495" s="70"/>
      <c r="AA495" s="47"/>
    </row>
    <row r="496" spans="19:27">
      <c r="S496" s="2004"/>
      <c r="T496" s="2006"/>
      <c r="U496" s="57" t="s">
        <v>358</v>
      </c>
      <c r="V496" s="58" t="s">
        <v>280</v>
      </c>
      <c r="W496" s="58">
        <v>1</v>
      </c>
      <c r="X496" s="59">
        <v>90</v>
      </c>
      <c r="Y496" s="60">
        <f t="shared" si="23"/>
        <v>90</v>
      </c>
      <c r="Z496" s="70"/>
      <c r="AA496" s="47"/>
    </row>
    <row r="497" spans="19:27">
      <c r="S497" s="2004"/>
      <c r="T497" s="2006"/>
      <c r="U497" s="57" t="s">
        <v>359</v>
      </c>
      <c r="V497" s="58" t="s">
        <v>280</v>
      </c>
      <c r="W497" s="58">
        <v>1</v>
      </c>
      <c r="X497" s="59">
        <v>500</v>
      </c>
      <c r="Y497" s="60">
        <f t="shared" si="23"/>
        <v>500</v>
      </c>
      <c r="Z497" s="70"/>
      <c r="AA497" s="47"/>
    </row>
    <row r="498" spans="19:27">
      <c r="S498" s="2004"/>
      <c r="T498" s="2006"/>
      <c r="U498" s="57" t="s">
        <v>360</v>
      </c>
      <c r="V498" s="58" t="s">
        <v>280</v>
      </c>
      <c r="W498" s="58">
        <v>1</v>
      </c>
      <c r="X498" s="59">
        <v>1500</v>
      </c>
      <c r="Y498" s="60">
        <f t="shared" si="23"/>
        <v>1500</v>
      </c>
      <c r="Z498" s="70"/>
      <c r="AA498" s="47"/>
    </row>
    <row r="499" spans="19:27">
      <c r="S499" s="2004"/>
      <c r="T499" s="2006"/>
      <c r="U499" s="57" t="s">
        <v>361</v>
      </c>
      <c r="V499" s="58" t="s">
        <v>278</v>
      </c>
      <c r="W499" s="58">
        <v>1</v>
      </c>
      <c r="X499" s="59">
        <v>2430</v>
      </c>
      <c r="Y499" s="60">
        <f t="shared" si="23"/>
        <v>2430</v>
      </c>
      <c r="Z499" s="70"/>
      <c r="AA499" s="47"/>
    </row>
    <row r="500" spans="19:27">
      <c r="S500" s="2004"/>
      <c r="T500" s="2006"/>
      <c r="U500" s="57" t="s">
        <v>362</v>
      </c>
      <c r="V500" s="58" t="s">
        <v>280</v>
      </c>
      <c r="W500" s="58">
        <v>2</v>
      </c>
      <c r="X500" s="59">
        <v>1500</v>
      </c>
      <c r="Y500" s="60">
        <f t="shared" si="23"/>
        <v>3000</v>
      </c>
      <c r="Z500" s="70"/>
      <c r="AA500" s="47"/>
    </row>
    <row r="501" spans="19:27">
      <c r="S501" s="2004"/>
      <c r="T501" s="2006"/>
      <c r="U501" s="57" t="s">
        <v>363</v>
      </c>
      <c r="V501" s="58" t="s">
        <v>280</v>
      </c>
      <c r="W501" s="58">
        <v>1</v>
      </c>
      <c r="X501" s="59">
        <v>450</v>
      </c>
      <c r="Y501" s="60">
        <f t="shared" si="23"/>
        <v>450</v>
      </c>
      <c r="Z501" s="70"/>
      <c r="AA501" s="47"/>
    </row>
    <row r="502" spans="19:27">
      <c r="S502" s="2004"/>
      <c r="T502" s="2006"/>
      <c r="U502" s="57" t="s">
        <v>364</v>
      </c>
      <c r="V502" s="58" t="s">
        <v>280</v>
      </c>
      <c r="W502" s="58">
        <v>1</v>
      </c>
      <c r="X502" s="59">
        <v>500</v>
      </c>
      <c r="Y502" s="60">
        <f t="shared" si="23"/>
        <v>500</v>
      </c>
      <c r="Z502" s="70"/>
      <c r="AA502" s="47"/>
    </row>
    <row r="503" spans="19:27">
      <c r="S503" s="2004"/>
      <c r="T503" s="2006"/>
      <c r="U503" s="57" t="s">
        <v>365</v>
      </c>
      <c r="V503" s="58" t="s">
        <v>278</v>
      </c>
      <c r="W503" s="58">
        <v>1</v>
      </c>
      <c r="X503" s="59">
        <v>500</v>
      </c>
      <c r="Y503" s="60">
        <f t="shared" si="23"/>
        <v>500</v>
      </c>
      <c r="Z503" s="70"/>
      <c r="AA503" s="47"/>
    </row>
    <row r="504" spans="19:27">
      <c r="S504" s="2004"/>
      <c r="T504" s="2006"/>
      <c r="U504" s="57" t="s">
        <v>366</v>
      </c>
      <c r="V504" s="58" t="s">
        <v>278</v>
      </c>
      <c r="W504" s="58">
        <v>1</v>
      </c>
      <c r="X504" s="59">
        <v>200</v>
      </c>
      <c r="Y504" s="60">
        <f t="shared" si="23"/>
        <v>200</v>
      </c>
      <c r="Z504" s="70"/>
      <c r="AA504" s="47"/>
    </row>
    <row r="505" spans="19:27">
      <c r="S505" s="2004"/>
      <c r="T505" s="2006"/>
      <c r="U505" s="57" t="s">
        <v>367</v>
      </c>
      <c r="V505" s="58" t="s">
        <v>278</v>
      </c>
      <c r="W505" s="58">
        <v>1</v>
      </c>
      <c r="X505" s="59">
        <v>400</v>
      </c>
      <c r="Y505" s="60">
        <f t="shared" si="23"/>
        <v>400</v>
      </c>
      <c r="Z505" s="70"/>
      <c r="AA505" s="47"/>
    </row>
    <row r="506" spans="19:27">
      <c r="S506" s="2004"/>
      <c r="T506" s="2006" t="s">
        <v>368</v>
      </c>
      <c r="U506" s="61" t="s">
        <v>369</v>
      </c>
      <c r="V506" s="62"/>
      <c r="W506" s="63">
        <f>SUM(W507:W509)</f>
        <v>3</v>
      </c>
      <c r="X506" s="64"/>
      <c r="Y506" s="126"/>
      <c r="Z506" s="66">
        <f>SUM(Y507:Y509)</f>
        <v>545</v>
      </c>
      <c r="AA506" s="40">
        <f>Z506/1.18</f>
        <v>461.86440677966107</v>
      </c>
    </row>
    <row r="507" spans="19:27">
      <c r="S507" s="2004"/>
      <c r="T507" s="2006"/>
      <c r="U507" s="57" t="s">
        <v>370</v>
      </c>
      <c r="V507" s="58" t="s">
        <v>280</v>
      </c>
      <c r="W507" s="58">
        <v>1</v>
      </c>
      <c r="X507" s="59">
        <v>400</v>
      </c>
      <c r="Y507" s="60">
        <f>+X507*W507</f>
        <v>400</v>
      </c>
      <c r="Z507" s="70"/>
      <c r="AA507" s="47"/>
    </row>
    <row r="508" spans="19:27">
      <c r="S508" s="2004"/>
      <c r="T508" s="2006"/>
      <c r="U508" s="57" t="s">
        <v>302</v>
      </c>
      <c r="V508" s="58" t="s">
        <v>280</v>
      </c>
      <c r="W508" s="58">
        <v>1</v>
      </c>
      <c r="X508" s="59">
        <v>100</v>
      </c>
      <c r="Y508" s="60">
        <f>+X508*W508</f>
        <v>100</v>
      </c>
      <c r="Z508" s="70"/>
      <c r="AA508" s="47"/>
    </row>
    <row r="509" spans="19:27">
      <c r="S509" s="2004"/>
      <c r="T509" s="2006"/>
      <c r="U509" s="57" t="s">
        <v>319</v>
      </c>
      <c r="V509" s="58" t="s">
        <v>280</v>
      </c>
      <c r="W509" s="58">
        <v>1</v>
      </c>
      <c r="X509" s="59">
        <v>45</v>
      </c>
      <c r="Y509" s="60">
        <f>+X509*W509</f>
        <v>45</v>
      </c>
      <c r="Z509" s="70"/>
      <c r="AA509" s="47"/>
    </row>
    <row r="510" spans="19:27">
      <c r="S510" s="2004"/>
      <c r="T510" s="2007" t="s">
        <v>371</v>
      </c>
      <c r="U510" s="61" t="s">
        <v>372</v>
      </c>
      <c r="V510" s="62"/>
      <c r="W510" s="63">
        <f>SUM(W511+W512)</f>
        <v>2</v>
      </c>
      <c r="X510" s="64"/>
      <c r="Y510" s="126"/>
      <c r="Z510" s="66">
        <f>SUM(Y511:Y512)</f>
        <v>660</v>
      </c>
      <c r="AA510" s="40">
        <f>Z510/1.18</f>
        <v>559.32203389830511</v>
      </c>
    </row>
    <row r="511" spans="19:27">
      <c r="S511" s="2004"/>
      <c r="T511" s="2007"/>
      <c r="U511" s="73" t="s">
        <v>373</v>
      </c>
      <c r="V511" s="58" t="s">
        <v>280</v>
      </c>
      <c r="W511" s="58">
        <v>1</v>
      </c>
      <c r="X511" s="127">
        <v>280</v>
      </c>
      <c r="Y511" s="74">
        <f>+X511*W511</f>
        <v>280</v>
      </c>
      <c r="Z511" s="128"/>
      <c r="AA511" s="120"/>
    </row>
    <row r="512" spans="19:27">
      <c r="S512" s="2004"/>
      <c r="T512" s="2007"/>
      <c r="U512" s="100" t="s">
        <v>374</v>
      </c>
      <c r="V512" s="95" t="s">
        <v>259</v>
      </c>
      <c r="W512" s="58">
        <v>1</v>
      </c>
      <c r="X512" s="98">
        <v>380</v>
      </c>
      <c r="Y512" s="98">
        <f>+X512*W512</f>
        <v>380</v>
      </c>
      <c r="Z512" s="128"/>
      <c r="AA512" s="120"/>
    </row>
    <row r="513" spans="1:27">
      <c r="S513" s="2004"/>
      <c r="T513" s="2007" t="s">
        <v>375</v>
      </c>
      <c r="U513" s="61" t="s">
        <v>376</v>
      </c>
      <c r="V513" s="129"/>
      <c r="W513" s="130">
        <f>SUM(W514:W516)</f>
        <v>4</v>
      </c>
      <c r="X513" s="92"/>
      <c r="Y513" s="92"/>
      <c r="Z513" s="93">
        <f>SUM(Y514:Y516)</f>
        <v>1510</v>
      </c>
      <c r="AA513" s="40">
        <f>Z513/(1+0.18)</f>
        <v>1279.6610169491526</v>
      </c>
    </row>
    <row r="514" spans="1:27">
      <c r="S514" s="2004"/>
      <c r="T514" s="2007"/>
      <c r="U514" s="100" t="s">
        <v>374</v>
      </c>
      <c r="V514" s="95" t="s">
        <v>259</v>
      </c>
      <c r="W514" s="108">
        <v>2</v>
      </c>
      <c r="X514" s="98">
        <v>380</v>
      </c>
      <c r="Y514" s="98">
        <f>+X514*W514</f>
        <v>760</v>
      </c>
      <c r="Z514" s="109"/>
      <c r="AA514" s="120"/>
    </row>
    <row r="515" spans="1:27">
      <c r="S515" s="2004"/>
      <c r="T515" s="2007"/>
      <c r="U515" s="113" t="s">
        <v>353</v>
      </c>
      <c r="V515" s="95" t="s">
        <v>259</v>
      </c>
      <c r="W515" s="108">
        <v>1</v>
      </c>
      <c r="X515" s="98">
        <v>550</v>
      </c>
      <c r="Y515" s="98">
        <f>+X515*W515</f>
        <v>550</v>
      </c>
      <c r="Z515" s="109"/>
      <c r="AA515" s="120"/>
    </row>
    <row r="516" spans="1:27">
      <c r="S516" s="2005"/>
      <c r="T516" s="2007"/>
      <c r="U516" s="100" t="s">
        <v>347</v>
      </c>
      <c r="V516" s="95" t="s">
        <v>259</v>
      </c>
      <c r="W516" s="108">
        <v>1</v>
      </c>
      <c r="X516" s="98">
        <v>200</v>
      </c>
      <c r="Y516" s="98">
        <f>+X516*W516</f>
        <v>200</v>
      </c>
      <c r="Z516" s="109"/>
      <c r="AA516" s="120"/>
    </row>
    <row r="517" spans="1:27">
      <c r="S517" s="2033" t="s">
        <v>377</v>
      </c>
      <c r="T517" s="2034"/>
      <c r="U517" s="2034"/>
      <c r="V517" s="2034"/>
      <c r="W517" s="2034"/>
      <c r="X517" s="2034"/>
      <c r="Y517" s="2035"/>
      <c r="Z517" s="131">
        <f>SUM(Z403:Z515)</f>
        <v>180285</v>
      </c>
      <c r="AA517" s="131">
        <f>SUM(AA403:AA516)</f>
        <v>152783.89830508479</v>
      </c>
    </row>
    <row r="521" spans="1:27">
      <c r="A521" s="177" t="s">
        <v>426</v>
      </c>
      <c r="B521" t="s">
        <v>378</v>
      </c>
      <c r="C521" s="17"/>
      <c r="D521" s="17"/>
      <c r="E521" s="17"/>
      <c r="F521" s="17"/>
      <c r="G521"/>
      <c r="H521"/>
    </row>
    <row r="522" spans="1:27">
      <c r="B522" s="132" t="s">
        <v>379</v>
      </c>
      <c r="C522" s="133" t="s">
        <v>267</v>
      </c>
      <c r="D522" s="133" t="s">
        <v>380</v>
      </c>
      <c r="E522" s="133" t="s">
        <v>68</v>
      </c>
      <c r="F522" s="133" t="s">
        <v>381</v>
      </c>
      <c r="G522" s="133" t="s">
        <v>382</v>
      </c>
      <c r="H522" s="133" t="s">
        <v>383</v>
      </c>
    </row>
    <row r="523" spans="1:27">
      <c r="B523" s="134" t="s">
        <v>384</v>
      </c>
      <c r="C523" s="135"/>
      <c r="D523" s="135"/>
      <c r="E523" s="135"/>
      <c r="F523" s="136"/>
      <c r="G523" s="137"/>
      <c r="H523" s="138">
        <f>SUM(H524:H526)</f>
        <v>10740</v>
      </c>
    </row>
    <row r="524" spans="1:27">
      <c r="B524" s="139" t="s">
        <v>385</v>
      </c>
      <c r="C524" s="140" t="s">
        <v>280</v>
      </c>
      <c r="D524" s="140">
        <v>6</v>
      </c>
      <c r="E524" s="140">
        <v>2</v>
      </c>
      <c r="F524" s="141">
        <v>850</v>
      </c>
      <c r="G524" s="142">
        <f>+PRODUCT(D524:F524)</f>
        <v>10200</v>
      </c>
      <c r="H524" s="142">
        <f>G524</f>
        <v>10200</v>
      </c>
    </row>
    <row r="525" spans="1:27">
      <c r="B525" s="139" t="s">
        <v>386</v>
      </c>
      <c r="C525" s="140" t="s">
        <v>280</v>
      </c>
      <c r="D525" s="140">
        <v>6</v>
      </c>
      <c r="E525" s="140">
        <v>2</v>
      </c>
      <c r="F525" s="141">
        <v>20</v>
      </c>
      <c r="G525" s="142">
        <f>+PRODUCT(D525:F525)</f>
        <v>240</v>
      </c>
      <c r="H525" s="142">
        <f>G525</f>
        <v>240</v>
      </c>
    </row>
    <row r="526" spans="1:27">
      <c r="B526" s="139" t="s">
        <v>387</v>
      </c>
      <c r="C526" s="140" t="s">
        <v>280</v>
      </c>
      <c r="D526" s="140">
        <v>6</v>
      </c>
      <c r="E526" s="140">
        <v>2</v>
      </c>
      <c r="F526" s="141">
        <v>25</v>
      </c>
      <c r="G526" s="142">
        <f>+PRODUCT(D526:F526)</f>
        <v>300</v>
      </c>
      <c r="H526" s="142">
        <f>G526</f>
        <v>300</v>
      </c>
    </row>
    <row r="527" spans="1:27">
      <c r="B527" s="134" t="s">
        <v>388</v>
      </c>
      <c r="C527" s="135"/>
      <c r="D527" s="135"/>
      <c r="E527" s="135"/>
      <c r="F527" s="136"/>
      <c r="G527" s="137"/>
      <c r="H527" s="138">
        <f>SUM(H528:H528)</f>
        <v>1800</v>
      </c>
    </row>
    <row r="528" spans="1:27">
      <c r="B528" s="139" t="s">
        <v>389</v>
      </c>
      <c r="C528" s="140" t="s">
        <v>280</v>
      </c>
      <c r="D528" s="140">
        <v>6</v>
      </c>
      <c r="E528" s="140">
        <v>1</v>
      </c>
      <c r="F528" s="141">
        <v>300</v>
      </c>
      <c r="G528" s="142">
        <f>+PRODUCT(D528:F528)</f>
        <v>1800</v>
      </c>
      <c r="H528" s="142">
        <f>G528</f>
        <v>1800</v>
      </c>
    </row>
    <row r="529" spans="1:8">
      <c r="B529" s="134" t="s">
        <v>390</v>
      </c>
      <c r="C529" s="135"/>
      <c r="D529" s="135"/>
      <c r="E529" s="135"/>
      <c r="F529" s="136"/>
      <c r="G529" s="137"/>
      <c r="H529" s="138">
        <f>SUM(H530:H531)</f>
        <v>5250</v>
      </c>
    </row>
    <row r="530" spans="1:8">
      <c r="B530" s="139" t="s">
        <v>391</v>
      </c>
      <c r="C530" s="140" t="s">
        <v>280</v>
      </c>
      <c r="D530" s="140">
        <v>3</v>
      </c>
      <c r="E530" s="140">
        <v>1</v>
      </c>
      <c r="F530" s="141">
        <v>1500</v>
      </c>
      <c r="G530" s="142">
        <f>+PRODUCT(D530:F530)</f>
        <v>4500</v>
      </c>
      <c r="H530" s="142">
        <f>G530</f>
        <v>4500</v>
      </c>
    </row>
    <row r="531" spans="1:8">
      <c r="B531" s="139" t="s">
        <v>392</v>
      </c>
      <c r="C531" s="140" t="s">
        <v>280</v>
      </c>
      <c r="D531" s="140">
        <v>3</v>
      </c>
      <c r="E531" s="140">
        <v>1</v>
      </c>
      <c r="F531" s="141">
        <v>250</v>
      </c>
      <c r="G531" s="142">
        <f>+PRODUCT(D531:F531)</f>
        <v>750</v>
      </c>
      <c r="H531" s="142">
        <f>G531</f>
        <v>750</v>
      </c>
    </row>
    <row r="532" spans="1:8">
      <c r="B532" s="134" t="s">
        <v>393</v>
      </c>
      <c r="C532" s="135"/>
      <c r="D532" s="135"/>
      <c r="E532" s="135"/>
      <c r="F532" s="136"/>
      <c r="G532" s="137"/>
      <c r="H532" s="138">
        <f>SUM(H533:H533)</f>
        <v>25</v>
      </c>
    </row>
    <row r="533" spans="1:8">
      <c r="B533" s="139" t="s">
        <v>394</v>
      </c>
      <c r="C533" s="140" t="s">
        <v>254</v>
      </c>
      <c r="D533" s="140">
        <v>1</v>
      </c>
      <c r="E533" s="140">
        <v>1</v>
      </c>
      <c r="F533" s="141">
        <v>25</v>
      </c>
      <c r="G533" s="142">
        <f>+PRODUCT(D533:F533)</f>
        <v>25</v>
      </c>
      <c r="H533" s="142">
        <f>G533</f>
        <v>25</v>
      </c>
    </row>
    <row r="534" spans="1:8">
      <c r="B534" s="2036" t="s">
        <v>0</v>
      </c>
      <c r="C534" s="2037"/>
      <c r="D534" s="2037"/>
      <c r="E534" s="2037"/>
      <c r="F534" s="2037"/>
      <c r="G534" s="2038"/>
      <c r="H534" s="143">
        <f>H523+H527+H529+H532</f>
        <v>17815</v>
      </c>
    </row>
    <row r="535" spans="1:8">
      <c r="B535" s="2039" t="s">
        <v>395</v>
      </c>
      <c r="C535" s="2039"/>
      <c r="D535" s="2039"/>
      <c r="E535" s="2039"/>
      <c r="F535" s="2039"/>
      <c r="G535" s="2039"/>
      <c r="H535" s="2039"/>
    </row>
    <row r="539" spans="1:8">
      <c r="A539" s="177" t="s">
        <v>427</v>
      </c>
      <c r="B539" s="26" t="s">
        <v>428</v>
      </c>
    </row>
    <row r="540" spans="1:8" ht="15.75">
      <c r="A540" s="2040" t="s">
        <v>396</v>
      </c>
      <c r="B540" s="2040"/>
      <c r="C540" s="2040"/>
      <c r="D540" s="2040"/>
      <c r="E540" s="2040"/>
      <c r="F540" s="2040"/>
      <c r="G540" s="2040"/>
      <c r="H540" s="2040"/>
    </row>
    <row r="541" spans="1:8" ht="25.5">
      <c r="A541" s="144" t="s">
        <v>397</v>
      </c>
      <c r="B541" s="144" t="s">
        <v>266</v>
      </c>
      <c r="C541" s="144" t="s">
        <v>267</v>
      </c>
      <c r="D541" s="144" t="s">
        <v>398</v>
      </c>
      <c r="E541" s="144" t="s">
        <v>68</v>
      </c>
      <c r="F541" s="145" t="s">
        <v>269</v>
      </c>
      <c r="G541" s="144" t="s">
        <v>399</v>
      </c>
      <c r="H541" s="144" t="s">
        <v>0</v>
      </c>
    </row>
    <row r="542" spans="1:8">
      <c r="A542" s="146">
        <v>1</v>
      </c>
      <c r="B542" s="147" t="s">
        <v>400</v>
      </c>
      <c r="C542" s="148"/>
      <c r="D542" s="148"/>
      <c r="E542" s="148"/>
      <c r="F542" s="149"/>
      <c r="G542" s="148"/>
      <c r="H542" s="150">
        <f>SUM(G543:G546)</f>
        <v>24700</v>
      </c>
    </row>
    <row r="543" spans="1:8">
      <c r="A543" s="151">
        <v>1.1000000000000001</v>
      </c>
      <c r="B543" s="152" t="s">
        <v>401</v>
      </c>
      <c r="C543" s="153" t="s">
        <v>402</v>
      </c>
      <c r="D543" s="151">
        <v>0.5</v>
      </c>
      <c r="E543" s="151">
        <v>4</v>
      </c>
      <c r="F543" s="154">
        <v>6000</v>
      </c>
      <c r="G543" s="154">
        <f>+D543*E543*F543</f>
        <v>12000</v>
      </c>
      <c r="H543" s="155"/>
    </row>
    <row r="544" spans="1:8">
      <c r="A544" s="151">
        <v>1.2</v>
      </c>
      <c r="B544" s="156" t="s">
        <v>403</v>
      </c>
      <c r="C544" s="153" t="s">
        <v>402</v>
      </c>
      <c r="D544" s="151">
        <v>0.25</v>
      </c>
      <c r="E544" s="151">
        <v>4</v>
      </c>
      <c r="F544" s="154">
        <v>4500</v>
      </c>
      <c r="G544" s="154">
        <f>D544*E544*F544</f>
        <v>4500</v>
      </c>
      <c r="H544" s="155"/>
    </row>
    <row r="545" spans="1:8">
      <c r="A545" s="151">
        <v>1.3</v>
      </c>
      <c r="B545" s="152" t="s">
        <v>404</v>
      </c>
      <c r="C545" s="153" t="s">
        <v>405</v>
      </c>
      <c r="D545" s="151">
        <v>1</v>
      </c>
      <c r="E545" s="151">
        <v>1</v>
      </c>
      <c r="F545" s="154">
        <v>7000</v>
      </c>
      <c r="G545" s="154">
        <f>D545*E545*F545</f>
        <v>7000</v>
      </c>
      <c r="H545" s="155"/>
    </row>
    <row r="546" spans="1:8">
      <c r="A546" s="151">
        <v>1.4</v>
      </c>
      <c r="B546" s="152" t="s">
        <v>406</v>
      </c>
      <c r="C546" s="153" t="s">
        <v>405</v>
      </c>
      <c r="D546" s="151">
        <v>1</v>
      </c>
      <c r="E546" s="151">
        <v>1</v>
      </c>
      <c r="F546" s="154">
        <v>1200</v>
      </c>
      <c r="G546" s="154">
        <f>D546*E546*F546</f>
        <v>1200</v>
      </c>
      <c r="H546" s="155"/>
    </row>
    <row r="547" spans="1:8">
      <c r="A547" s="146">
        <v>2</v>
      </c>
      <c r="B547" s="147" t="s">
        <v>407</v>
      </c>
      <c r="C547" s="157"/>
      <c r="D547" s="158"/>
      <c r="E547" s="158"/>
      <c r="F547" s="159"/>
      <c r="G547" s="159"/>
      <c r="H547" s="160">
        <f>SUM(G548:G550)</f>
        <v>17100</v>
      </c>
    </row>
    <row r="548" spans="1:8">
      <c r="A548" s="151">
        <v>2.1</v>
      </c>
      <c r="B548" s="156" t="s">
        <v>408</v>
      </c>
      <c r="C548" s="153" t="s">
        <v>405</v>
      </c>
      <c r="D548" s="151">
        <v>1</v>
      </c>
      <c r="E548" s="151">
        <v>1</v>
      </c>
      <c r="F548" s="154">
        <v>100</v>
      </c>
      <c r="G548" s="154">
        <f>D548*E548*F548</f>
        <v>100</v>
      </c>
      <c r="H548" s="155"/>
    </row>
    <row r="549" spans="1:8" ht="25.5">
      <c r="A549" s="151">
        <v>2.2000000000000002</v>
      </c>
      <c r="B549" s="161" t="s">
        <v>409</v>
      </c>
      <c r="C549" s="153" t="s">
        <v>405</v>
      </c>
      <c r="D549" s="151">
        <v>1</v>
      </c>
      <c r="E549" s="151">
        <v>1</v>
      </c>
      <c r="F549" s="154">
        <v>12000</v>
      </c>
      <c r="G549" s="154">
        <f>D549*E549*F549</f>
        <v>12000</v>
      </c>
      <c r="H549" s="155"/>
    </row>
    <row r="550" spans="1:8">
      <c r="A550" s="151">
        <v>2.2999999999999998</v>
      </c>
      <c r="B550" s="152" t="s">
        <v>410</v>
      </c>
      <c r="C550" s="153" t="s">
        <v>259</v>
      </c>
      <c r="D550" s="151">
        <v>1</v>
      </c>
      <c r="E550" s="151">
        <v>1</v>
      </c>
      <c r="F550" s="154">
        <v>5000</v>
      </c>
      <c r="G550" s="154">
        <f>D550*E550*F550</f>
        <v>5000</v>
      </c>
      <c r="H550" s="155"/>
    </row>
    <row r="551" spans="1:8">
      <c r="A551" s="162">
        <v>3</v>
      </c>
      <c r="B551" s="147" t="s">
        <v>69</v>
      </c>
      <c r="C551" s="157"/>
      <c r="D551" s="158"/>
      <c r="E551" s="158"/>
      <c r="F551" s="159"/>
      <c r="G551" s="159"/>
      <c r="H551" s="160">
        <f>SUM(G552)</f>
        <v>2500</v>
      </c>
    </row>
    <row r="552" spans="1:8">
      <c r="A552" s="151">
        <v>3.1</v>
      </c>
      <c r="B552" s="152" t="s">
        <v>411</v>
      </c>
      <c r="C552" s="153" t="s">
        <v>259</v>
      </c>
      <c r="D552" s="151">
        <v>1</v>
      </c>
      <c r="E552" s="151">
        <v>1</v>
      </c>
      <c r="F552" s="154">
        <v>2500</v>
      </c>
      <c r="G552" s="154">
        <f>D552*E552*F552</f>
        <v>2500</v>
      </c>
      <c r="H552" s="155"/>
    </row>
    <row r="553" spans="1:8">
      <c r="A553" s="146">
        <v>4</v>
      </c>
      <c r="B553" s="147" t="s">
        <v>412</v>
      </c>
      <c r="C553" s="163"/>
      <c r="D553" s="164"/>
      <c r="E553" s="164"/>
      <c r="F553" s="165"/>
      <c r="G553" s="165"/>
      <c r="H553" s="166">
        <f>+G554+G555</f>
        <v>3000</v>
      </c>
    </row>
    <row r="554" spans="1:8">
      <c r="A554" s="151">
        <v>4.0999999999999996</v>
      </c>
      <c r="B554" s="152" t="s">
        <v>413</v>
      </c>
      <c r="C554" s="167" t="s">
        <v>402</v>
      </c>
      <c r="D554" s="168">
        <v>1</v>
      </c>
      <c r="E554" s="168">
        <v>3</v>
      </c>
      <c r="F554" s="169">
        <v>500</v>
      </c>
      <c r="G554" s="169">
        <f>+D554*E554*F554</f>
        <v>1500</v>
      </c>
      <c r="H554" s="170"/>
    </row>
    <row r="555" spans="1:8">
      <c r="A555" s="151">
        <v>4.2</v>
      </c>
      <c r="B555" s="152" t="s">
        <v>414</v>
      </c>
      <c r="C555" s="167" t="s">
        <v>402</v>
      </c>
      <c r="D555" s="168">
        <v>1</v>
      </c>
      <c r="E555" s="168">
        <v>3</v>
      </c>
      <c r="F555" s="169">
        <v>500</v>
      </c>
      <c r="G555" s="169">
        <f>+D555*E555*F555</f>
        <v>1500</v>
      </c>
      <c r="H555" s="170"/>
    </row>
    <row r="556" spans="1:8">
      <c r="A556" s="171">
        <v>5</v>
      </c>
      <c r="B556" s="147" t="s">
        <v>415</v>
      </c>
      <c r="C556" s="157"/>
      <c r="D556" s="158"/>
      <c r="E556" s="158"/>
      <c r="F556" s="159"/>
      <c r="G556" s="159"/>
      <c r="H556" s="160">
        <f>SUM(G557:G559)</f>
        <v>15176.5</v>
      </c>
    </row>
    <row r="557" spans="1:8" ht="25.5">
      <c r="A557" s="172">
        <v>5.0999999999999996</v>
      </c>
      <c r="B557" s="173" t="s">
        <v>416</v>
      </c>
      <c r="C557" s="153" t="s">
        <v>259</v>
      </c>
      <c r="D557" s="151">
        <v>1</v>
      </c>
      <c r="E557" s="151">
        <v>2</v>
      </c>
      <c r="F557" s="154">
        <v>500</v>
      </c>
      <c r="G557" s="154">
        <f>F557*E557*D557</f>
        <v>1000</v>
      </c>
      <c r="H557" s="155"/>
    </row>
    <row r="558" spans="1:8" ht="25.5">
      <c r="A558" s="172">
        <v>5.2</v>
      </c>
      <c r="B558" s="173" t="s">
        <v>417</v>
      </c>
      <c r="C558" s="153" t="s">
        <v>35</v>
      </c>
      <c r="D558" s="151">
        <v>1</v>
      </c>
      <c r="E558" s="151">
        <f>100.62+88.4</f>
        <v>189.02</v>
      </c>
      <c r="F558" s="154">
        <v>50</v>
      </c>
      <c r="G558" s="154">
        <f>F558*E558*D558</f>
        <v>9451</v>
      </c>
      <c r="H558" s="155"/>
    </row>
    <row r="559" spans="1:8">
      <c r="A559" s="172">
        <v>5.3</v>
      </c>
      <c r="B559" s="152" t="s">
        <v>418</v>
      </c>
      <c r="C559" s="153" t="s">
        <v>35</v>
      </c>
      <c r="D559" s="151">
        <v>1</v>
      </c>
      <c r="E559" s="151">
        <f>100.62+88.4</f>
        <v>189.02</v>
      </c>
      <c r="F559" s="154">
        <v>25</v>
      </c>
      <c r="G559" s="154">
        <f>F559*E559*D559</f>
        <v>4725.5</v>
      </c>
      <c r="H559" s="155"/>
    </row>
    <row r="560" spans="1:8">
      <c r="A560" s="2041" t="s">
        <v>419</v>
      </c>
      <c r="B560" s="2041"/>
      <c r="C560" s="2041"/>
      <c r="D560" s="2041"/>
      <c r="E560" s="2041"/>
      <c r="F560" s="2041"/>
      <c r="G560" s="2041"/>
      <c r="H560" s="174">
        <f>SUM(H542:H557)</f>
        <v>62476.5</v>
      </c>
    </row>
    <row r="561" spans="1:9">
      <c r="A561" s="175" t="s">
        <v>420</v>
      </c>
      <c r="B561" s="176"/>
      <c r="C561" s="176"/>
      <c r="D561" s="176"/>
      <c r="E561" s="176"/>
      <c r="F561" s="176"/>
      <c r="G561" s="176"/>
      <c r="H561" s="176"/>
    </row>
    <row r="567" spans="1:9">
      <c r="A567" s="177" t="s">
        <v>475</v>
      </c>
      <c r="B567" s="2030" t="s">
        <v>429</v>
      </c>
      <c r="C567" s="2030"/>
      <c r="D567" s="2030"/>
      <c r="E567" s="2030"/>
      <c r="F567" s="2030"/>
      <c r="G567" s="2030"/>
      <c r="H567" s="2030"/>
      <c r="I567" s="2030"/>
    </row>
    <row r="568" spans="1:9">
      <c r="B568" s="2031" t="s">
        <v>2</v>
      </c>
      <c r="C568" s="2031" t="s">
        <v>259</v>
      </c>
      <c r="D568" s="2031" t="s">
        <v>73</v>
      </c>
      <c r="E568" s="2031" t="s">
        <v>430</v>
      </c>
      <c r="F568" s="179" t="s">
        <v>431</v>
      </c>
      <c r="G568" s="179" t="s">
        <v>432</v>
      </c>
      <c r="H568" s="2032" t="s">
        <v>433</v>
      </c>
      <c r="I568" s="2032"/>
    </row>
    <row r="569" spans="1:9">
      <c r="B569" s="2031"/>
      <c r="C569" s="2031"/>
      <c r="D569" s="2031"/>
      <c r="E569" s="2031"/>
      <c r="F569" s="179" t="s">
        <v>402</v>
      </c>
      <c r="G569" s="179" t="s">
        <v>434</v>
      </c>
      <c r="H569" s="179" t="s">
        <v>75</v>
      </c>
      <c r="I569" s="179" t="s">
        <v>76</v>
      </c>
    </row>
    <row r="570" spans="1:9">
      <c r="B570" s="2054" t="s">
        <v>435</v>
      </c>
      <c r="C570" s="2055"/>
      <c r="D570" s="2055"/>
      <c r="E570" s="2055"/>
      <c r="F570" s="2055"/>
      <c r="G570" s="2056"/>
      <c r="H570" s="180" t="s">
        <v>436</v>
      </c>
      <c r="I570" s="181">
        <f>SUM(I571:I583)</f>
        <v>66800</v>
      </c>
    </row>
    <row r="571" spans="1:9">
      <c r="B571" s="182" t="s">
        <v>437</v>
      </c>
      <c r="C571" s="182"/>
      <c r="D571" s="183"/>
      <c r="E571" s="183"/>
      <c r="F571" s="183"/>
      <c r="G571" s="183"/>
      <c r="H571" s="183"/>
      <c r="I571" s="184">
        <f>SUM(H572:H577)</f>
        <v>55500</v>
      </c>
    </row>
    <row r="572" spans="1:9">
      <c r="B572" s="185" t="s">
        <v>438</v>
      </c>
      <c r="C572" s="186" t="s">
        <v>436</v>
      </c>
      <c r="D572" s="187">
        <v>1</v>
      </c>
      <c r="E572" s="187">
        <v>1</v>
      </c>
      <c r="F572" s="187">
        <v>2</v>
      </c>
      <c r="G572" s="188">
        <v>9500</v>
      </c>
      <c r="H572" s="188">
        <f t="shared" ref="H572:H577" si="24">+D572*E572*F572*G572</f>
        <v>19000</v>
      </c>
      <c r="I572" s="189"/>
    </row>
    <row r="573" spans="1:9">
      <c r="B573" s="190" t="s">
        <v>439</v>
      </c>
      <c r="C573" s="186" t="s">
        <v>436</v>
      </c>
      <c r="D573" s="187">
        <v>1</v>
      </c>
      <c r="E573" s="187">
        <v>1</v>
      </c>
      <c r="F573" s="187">
        <v>2</v>
      </c>
      <c r="G573" s="188">
        <v>8000</v>
      </c>
      <c r="H573" s="188">
        <f t="shared" si="24"/>
        <v>16000</v>
      </c>
      <c r="I573" s="191"/>
    </row>
    <row r="574" spans="1:9">
      <c r="B574" s="190" t="s">
        <v>440</v>
      </c>
      <c r="C574" s="186" t="s">
        <v>436</v>
      </c>
      <c r="D574" s="187">
        <v>1</v>
      </c>
      <c r="E574" s="187">
        <v>1</v>
      </c>
      <c r="F574" s="187">
        <v>1</v>
      </c>
      <c r="G574" s="188">
        <v>8000</v>
      </c>
      <c r="H574" s="188">
        <f t="shared" si="24"/>
        <v>8000</v>
      </c>
      <c r="I574" s="191"/>
    </row>
    <row r="575" spans="1:9">
      <c r="B575" s="192" t="s">
        <v>441</v>
      </c>
      <c r="C575" s="186" t="s">
        <v>436</v>
      </c>
      <c r="D575" s="187">
        <v>1</v>
      </c>
      <c r="E575" s="187">
        <v>1</v>
      </c>
      <c r="F575" s="187">
        <v>1</v>
      </c>
      <c r="G575" s="188">
        <v>6500</v>
      </c>
      <c r="H575" s="188">
        <f t="shared" si="24"/>
        <v>6500</v>
      </c>
      <c r="I575" s="191"/>
    </row>
    <row r="576" spans="1:9">
      <c r="B576" s="192" t="s">
        <v>442</v>
      </c>
      <c r="C576" s="186" t="s">
        <v>436</v>
      </c>
      <c r="D576" s="187">
        <v>1</v>
      </c>
      <c r="E576" s="187">
        <v>1</v>
      </c>
      <c r="F576" s="187">
        <v>0.5</v>
      </c>
      <c r="G576" s="188">
        <v>6000</v>
      </c>
      <c r="H576" s="188">
        <f t="shared" si="24"/>
        <v>3000</v>
      </c>
      <c r="I576" s="193"/>
    </row>
    <row r="577" spans="2:9">
      <c r="B577" s="194" t="s">
        <v>443</v>
      </c>
      <c r="C577" s="186" t="s">
        <v>436</v>
      </c>
      <c r="D577" s="187">
        <v>1</v>
      </c>
      <c r="E577" s="187">
        <v>1</v>
      </c>
      <c r="F577" s="187">
        <v>0.5</v>
      </c>
      <c r="G577" s="188">
        <v>6000</v>
      </c>
      <c r="H577" s="188">
        <f t="shared" si="24"/>
        <v>3000</v>
      </c>
      <c r="I577" s="193"/>
    </row>
    <row r="578" spans="2:9">
      <c r="B578" s="182" t="s">
        <v>444</v>
      </c>
      <c r="C578" s="182"/>
      <c r="D578" s="195"/>
      <c r="E578" s="195"/>
      <c r="F578" s="195"/>
      <c r="G578" s="195"/>
      <c r="H578" s="195"/>
      <c r="I578" s="196">
        <f>SUM(H579:H582)</f>
        <v>6300</v>
      </c>
    </row>
    <row r="579" spans="2:9">
      <c r="B579" s="197" t="s">
        <v>445</v>
      </c>
      <c r="C579" s="186" t="s">
        <v>436</v>
      </c>
      <c r="D579" s="198">
        <v>1</v>
      </c>
      <c r="E579" s="198">
        <v>1</v>
      </c>
      <c r="F579" s="198">
        <v>1</v>
      </c>
      <c r="G579" s="199">
        <v>2000</v>
      </c>
      <c r="H579" s="188">
        <f>+D579*E579*F579*G579</f>
        <v>2000</v>
      </c>
      <c r="I579" s="200"/>
    </row>
    <row r="580" spans="2:9">
      <c r="B580" s="197" t="s">
        <v>446</v>
      </c>
      <c r="C580" s="186" t="s">
        <v>436</v>
      </c>
      <c r="D580" s="198">
        <v>1</v>
      </c>
      <c r="E580" s="198">
        <v>0.5</v>
      </c>
      <c r="F580" s="198">
        <v>1</v>
      </c>
      <c r="G580" s="199">
        <v>1000</v>
      </c>
      <c r="H580" s="188">
        <f>+D580*E580*F580*G580</f>
        <v>500</v>
      </c>
      <c r="I580" s="200"/>
    </row>
    <row r="581" spans="2:9">
      <c r="B581" s="197" t="s">
        <v>447</v>
      </c>
      <c r="C581" s="186" t="s">
        <v>436</v>
      </c>
      <c r="D581" s="198">
        <v>1</v>
      </c>
      <c r="E581" s="198">
        <v>1</v>
      </c>
      <c r="F581" s="198">
        <v>1</v>
      </c>
      <c r="G581" s="199">
        <v>1000</v>
      </c>
      <c r="H581" s="188">
        <f>+D581*E581*F581*G581</f>
        <v>1000</v>
      </c>
      <c r="I581" s="201"/>
    </row>
    <row r="582" spans="2:9">
      <c r="B582" s="197" t="s">
        <v>448</v>
      </c>
      <c r="C582" s="186" t="s">
        <v>436</v>
      </c>
      <c r="D582" s="198">
        <v>1</v>
      </c>
      <c r="E582" s="198">
        <v>1</v>
      </c>
      <c r="F582" s="198">
        <v>1</v>
      </c>
      <c r="G582" s="199">
        <v>2800</v>
      </c>
      <c r="H582" s="188">
        <f>+D582*E582*F582*G582</f>
        <v>2800</v>
      </c>
      <c r="I582" s="200"/>
    </row>
    <row r="583" spans="2:9">
      <c r="B583" s="202" t="s">
        <v>449</v>
      </c>
      <c r="C583" s="202"/>
      <c r="D583" s="203"/>
      <c r="E583" s="203"/>
      <c r="F583" s="203"/>
      <c r="G583" s="203"/>
      <c r="H583" s="203"/>
      <c r="I583" s="196">
        <f>SUM(H584:H584)</f>
        <v>5000</v>
      </c>
    </row>
    <row r="584" spans="2:9">
      <c r="B584" s="204" t="s">
        <v>450</v>
      </c>
      <c r="C584" s="186" t="s">
        <v>436</v>
      </c>
      <c r="D584" s="205">
        <v>1</v>
      </c>
      <c r="E584" s="205">
        <v>1</v>
      </c>
      <c r="F584" s="205">
        <v>1</v>
      </c>
      <c r="G584" s="199">
        <v>5000</v>
      </c>
      <c r="H584" s="188">
        <f>+D584*E584*F584*G584</f>
        <v>5000</v>
      </c>
      <c r="I584" s="200"/>
    </row>
    <row r="585" spans="2:9">
      <c r="B585" s="206" t="s">
        <v>7</v>
      </c>
      <c r="C585" s="207"/>
      <c r="D585" s="208"/>
      <c r="E585" s="207"/>
      <c r="F585" s="209"/>
      <c r="G585" s="207"/>
      <c r="H585" s="210" t="s">
        <v>436</v>
      </c>
      <c r="I585" s="211">
        <f>SUM(I586:I592)</f>
        <v>5800</v>
      </c>
    </row>
    <row r="586" spans="2:9">
      <c r="B586" s="202" t="s">
        <v>451</v>
      </c>
      <c r="C586" s="203"/>
      <c r="D586" s="203"/>
      <c r="E586" s="212"/>
      <c r="F586" s="212"/>
      <c r="G586" s="212"/>
      <c r="H586" s="212"/>
      <c r="I586" s="212">
        <f>SUM(H587:H591)</f>
        <v>1500</v>
      </c>
    </row>
    <row r="587" spans="2:9">
      <c r="B587" s="213" t="s">
        <v>452</v>
      </c>
      <c r="C587" s="198" t="s">
        <v>38</v>
      </c>
      <c r="D587" s="198">
        <v>1</v>
      </c>
      <c r="E587" s="198">
        <v>2</v>
      </c>
      <c r="F587" s="198">
        <v>1</v>
      </c>
      <c r="G587" s="199">
        <v>200</v>
      </c>
      <c r="H587" s="188">
        <f>+D587*E587*F587*G587</f>
        <v>400</v>
      </c>
      <c r="I587" s="214"/>
    </row>
    <row r="588" spans="2:9">
      <c r="B588" s="215" t="s">
        <v>453</v>
      </c>
      <c r="C588" s="198" t="s">
        <v>38</v>
      </c>
      <c r="D588" s="198">
        <v>1</v>
      </c>
      <c r="E588" s="198">
        <v>1</v>
      </c>
      <c r="F588" s="198">
        <v>1</v>
      </c>
      <c r="G588" s="199">
        <v>300</v>
      </c>
      <c r="H588" s="188">
        <f>+D588*E588*F588*G588</f>
        <v>300</v>
      </c>
      <c r="I588" s="214"/>
    </row>
    <row r="589" spans="2:9">
      <c r="B589" s="213" t="s">
        <v>454</v>
      </c>
      <c r="C589" s="198" t="s">
        <v>38</v>
      </c>
      <c r="D589" s="198">
        <v>1</v>
      </c>
      <c r="E589" s="198">
        <v>2</v>
      </c>
      <c r="F589" s="198">
        <v>1</v>
      </c>
      <c r="G589" s="199">
        <v>100</v>
      </c>
      <c r="H589" s="188">
        <f>+D589*E589*F589*G589</f>
        <v>200</v>
      </c>
      <c r="I589" s="214"/>
    </row>
    <row r="590" spans="2:9">
      <c r="B590" s="213" t="s">
        <v>455</v>
      </c>
      <c r="C590" s="198" t="s">
        <v>456</v>
      </c>
      <c r="D590" s="198">
        <v>1</v>
      </c>
      <c r="E590" s="198">
        <v>2</v>
      </c>
      <c r="F590" s="198">
        <v>1</v>
      </c>
      <c r="G590" s="199">
        <v>250</v>
      </c>
      <c r="H590" s="188">
        <f>+D590*E590*F590*G590</f>
        <v>500</v>
      </c>
      <c r="I590" s="214"/>
    </row>
    <row r="591" spans="2:9">
      <c r="B591" s="213" t="s">
        <v>457</v>
      </c>
      <c r="C591" s="198" t="s">
        <v>456</v>
      </c>
      <c r="D591" s="198">
        <v>1</v>
      </c>
      <c r="E591" s="198">
        <v>1</v>
      </c>
      <c r="F591" s="198">
        <v>1</v>
      </c>
      <c r="G591" s="199">
        <v>100</v>
      </c>
      <c r="H591" s="188">
        <f>+D591*E591*F591*G591</f>
        <v>100</v>
      </c>
      <c r="I591" s="214"/>
    </row>
    <row r="592" spans="2:9">
      <c r="B592" s="202" t="s">
        <v>458</v>
      </c>
      <c r="C592" s="203"/>
      <c r="D592" s="203"/>
      <c r="E592" s="203"/>
      <c r="F592" s="203"/>
      <c r="G592" s="203"/>
      <c r="H592" s="203"/>
      <c r="I592" s="216">
        <f>SUM(H593:H601)</f>
        <v>4300</v>
      </c>
    </row>
    <row r="593" spans="2:9">
      <c r="B593" s="204" t="s">
        <v>459</v>
      </c>
      <c r="C593" s="198" t="s">
        <v>38</v>
      </c>
      <c r="D593" s="205"/>
      <c r="E593" s="217">
        <v>1</v>
      </c>
      <c r="F593" s="217">
        <v>2</v>
      </c>
      <c r="G593" s="218">
        <v>600</v>
      </c>
      <c r="H593" s="218">
        <f>+E593*F593*G593</f>
        <v>1200</v>
      </c>
      <c r="I593" s="214"/>
    </row>
    <row r="594" spans="2:9">
      <c r="B594" s="213" t="s">
        <v>460</v>
      </c>
      <c r="C594" s="198" t="s">
        <v>38</v>
      </c>
      <c r="D594" s="198"/>
      <c r="E594" s="219">
        <v>1</v>
      </c>
      <c r="F594" s="217">
        <v>2</v>
      </c>
      <c r="G594" s="199">
        <v>100</v>
      </c>
      <c r="H594" s="218">
        <f t="shared" ref="H594:H601" si="25">+E594*F594*G594</f>
        <v>200</v>
      </c>
      <c r="I594" s="214"/>
    </row>
    <row r="595" spans="2:9">
      <c r="B595" s="213" t="s">
        <v>461</v>
      </c>
      <c r="C595" s="198" t="s">
        <v>38</v>
      </c>
      <c r="D595" s="198"/>
      <c r="E595" s="219">
        <v>1</v>
      </c>
      <c r="F595" s="217">
        <v>2</v>
      </c>
      <c r="G595" s="199">
        <v>300</v>
      </c>
      <c r="H595" s="218">
        <f t="shared" si="25"/>
        <v>600</v>
      </c>
      <c r="I595" s="214"/>
    </row>
    <row r="596" spans="2:9">
      <c r="B596" s="213" t="s">
        <v>462</v>
      </c>
      <c r="C596" s="198" t="s">
        <v>38</v>
      </c>
      <c r="D596" s="198"/>
      <c r="E596" s="219">
        <v>1</v>
      </c>
      <c r="F596" s="217">
        <v>2</v>
      </c>
      <c r="G596" s="199">
        <v>250</v>
      </c>
      <c r="H596" s="218">
        <f t="shared" si="25"/>
        <v>500</v>
      </c>
      <c r="I596" s="214"/>
    </row>
    <row r="597" spans="2:9">
      <c r="B597" s="213" t="s">
        <v>463</v>
      </c>
      <c r="C597" s="198" t="s">
        <v>38</v>
      </c>
      <c r="D597" s="198"/>
      <c r="E597" s="198">
        <v>1</v>
      </c>
      <c r="F597" s="217">
        <v>2</v>
      </c>
      <c r="G597" s="199">
        <v>250</v>
      </c>
      <c r="H597" s="218">
        <f t="shared" si="25"/>
        <v>500</v>
      </c>
      <c r="I597" s="214"/>
    </row>
    <row r="598" spans="2:9">
      <c r="B598" s="213" t="s">
        <v>464</v>
      </c>
      <c r="C598" s="198" t="s">
        <v>38</v>
      </c>
      <c r="D598" s="198"/>
      <c r="E598" s="198">
        <v>1</v>
      </c>
      <c r="F598" s="217">
        <v>2</v>
      </c>
      <c r="G598" s="199">
        <v>200</v>
      </c>
      <c r="H598" s="218">
        <f t="shared" si="25"/>
        <v>400</v>
      </c>
      <c r="I598" s="214"/>
    </row>
    <row r="599" spans="2:9">
      <c r="B599" s="213" t="s">
        <v>465</v>
      </c>
      <c r="C599" s="198" t="s">
        <v>38</v>
      </c>
      <c r="D599" s="198"/>
      <c r="E599" s="198">
        <v>1</v>
      </c>
      <c r="F599" s="198">
        <v>1</v>
      </c>
      <c r="G599" s="199">
        <v>150</v>
      </c>
      <c r="H599" s="218">
        <f t="shared" si="25"/>
        <v>150</v>
      </c>
      <c r="I599" s="214"/>
    </row>
    <row r="600" spans="2:9">
      <c r="B600" s="213" t="s">
        <v>466</v>
      </c>
      <c r="C600" s="198" t="s">
        <v>38</v>
      </c>
      <c r="D600" s="198"/>
      <c r="E600" s="198">
        <v>1</v>
      </c>
      <c r="F600" s="198">
        <v>1</v>
      </c>
      <c r="G600" s="199">
        <v>600</v>
      </c>
      <c r="H600" s="218">
        <f t="shared" si="25"/>
        <v>600</v>
      </c>
      <c r="I600" s="214"/>
    </row>
    <row r="601" spans="2:9">
      <c r="B601" s="213" t="s">
        <v>467</v>
      </c>
      <c r="C601" s="198" t="s">
        <v>38</v>
      </c>
      <c r="D601" s="198"/>
      <c r="E601" s="198">
        <v>1</v>
      </c>
      <c r="F601" s="198">
        <v>1</v>
      </c>
      <c r="G601" s="199">
        <v>150</v>
      </c>
      <c r="H601" s="218">
        <f t="shared" si="25"/>
        <v>150</v>
      </c>
      <c r="I601" s="214"/>
    </row>
    <row r="602" spans="2:9">
      <c r="B602" s="206" t="s">
        <v>12</v>
      </c>
      <c r="C602" s="207"/>
      <c r="D602" s="208">
        <v>0.1</v>
      </c>
      <c r="E602" s="207"/>
      <c r="F602" s="207"/>
      <c r="G602" s="207"/>
      <c r="H602" s="220" t="s">
        <v>436</v>
      </c>
      <c r="I602" s="221">
        <f>I570*10%</f>
        <v>6680</v>
      </c>
    </row>
    <row r="603" spans="2:9">
      <c r="B603" s="2054" t="s">
        <v>70</v>
      </c>
      <c r="C603" s="2055"/>
      <c r="D603" s="2055"/>
      <c r="E603" s="2055"/>
      <c r="F603" s="2055"/>
      <c r="G603" s="2056"/>
      <c r="H603" s="180" t="s">
        <v>436</v>
      </c>
      <c r="I603" s="181">
        <f>I602+I585+I570</f>
        <v>79280</v>
      </c>
    </row>
    <row r="604" spans="2:9">
      <c r="B604" s="2057" t="s">
        <v>468</v>
      </c>
      <c r="C604" s="2057"/>
      <c r="D604" s="222">
        <v>0.18</v>
      </c>
      <c r="E604" s="223"/>
      <c r="F604" s="223"/>
      <c r="G604" s="223"/>
      <c r="H604" s="224" t="s">
        <v>436</v>
      </c>
      <c r="I604" s="214">
        <f>I603*18%</f>
        <v>14270.4</v>
      </c>
    </row>
    <row r="605" spans="2:9">
      <c r="B605" s="2058" t="s">
        <v>469</v>
      </c>
      <c r="C605" s="2059"/>
      <c r="D605" s="2059"/>
      <c r="E605" s="2059"/>
      <c r="F605" s="2059"/>
      <c r="G605" s="2060"/>
      <c r="H605" s="225" t="s">
        <v>436</v>
      </c>
      <c r="I605" s="226">
        <f>SUM(I603:I604)</f>
        <v>93550.399999999994</v>
      </c>
    </row>
    <row r="606" spans="2:9">
      <c r="B606" s="2061" t="s">
        <v>470</v>
      </c>
      <c r="C606" s="2062"/>
      <c r="D606" s="2062"/>
      <c r="E606" s="2062"/>
      <c r="F606" s="2062"/>
      <c r="G606" s="2063"/>
      <c r="H606" s="227" t="s">
        <v>436</v>
      </c>
      <c r="I606" s="228">
        <f>I605/1.08</f>
        <v>86620.74074074073</v>
      </c>
    </row>
    <row r="607" spans="2:9">
      <c r="B607" s="2050" t="s">
        <v>471</v>
      </c>
      <c r="C607" s="2050"/>
      <c r="D607" s="2050"/>
      <c r="E607" s="2050"/>
      <c r="F607" s="2050"/>
      <c r="G607" s="2050"/>
      <c r="H607" s="2050"/>
      <c r="I607" s="2050"/>
    </row>
    <row r="608" spans="2:9">
      <c r="B608" s="2051" t="s">
        <v>472</v>
      </c>
      <c r="C608" s="2051"/>
      <c r="D608" s="2051"/>
      <c r="E608" s="2051"/>
      <c r="F608" s="2051"/>
      <c r="G608" s="2051"/>
      <c r="H608" s="2051"/>
      <c r="I608" s="2051"/>
    </row>
    <row r="609" spans="1:9">
      <c r="B609" s="2052" t="s">
        <v>473</v>
      </c>
      <c r="C609" s="2052"/>
      <c r="D609" s="2052"/>
      <c r="E609" s="2052"/>
      <c r="F609" s="2052"/>
      <c r="G609" s="2052"/>
      <c r="H609" s="2052"/>
      <c r="I609" s="2052"/>
    </row>
    <row r="610" spans="1:9">
      <c r="B610" s="2053" t="s">
        <v>474</v>
      </c>
      <c r="C610" s="2053"/>
      <c r="D610" s="2053"/>
      <c r="E610" s="2053"/>
      <c r="F610" s="2053"/>
      <c r="G610" s="2053"/>
      <c r="H610" s="2053"/>
      <c r="I610" s="2053"/>
    </row>
    <row r="614" spans="1:9">
      <c r="A614" s="177" t="s">
        <v>556</v>
      </c>
      <c r="B614" s="26" t="s">
        <v>557</v>
      </c>
    </row>
    <row r="615" spans="1:9">
      <c r="A615" s="2042" t="s">
        <v>476</v>
      </c>
      <c r="B615" s="2043"/>
      <c r="C615" s="2043"/>
      <c r="D615" s="2043"/>
      <c r="E615" s="2043"/>
      <c r="F615" s="2044"/>
    </row>
    <row r="616" spans="1:9" ht="24">
      <c r="A616" s="229" t="s">
        <v>10</v>
      </c>
      <c r="B616" s="2045" t="s">
        <v>2</v>
      </c>
      <c r="C616" s="2045"/>
      <c r="D616" s="230"/>
      <c r="E616" s="230"/>
      <c r="F616" s="231" t="s">
        <v>477</v>
      </c>
    </row>
    <row r="617" spans="1:9">
      <c r="A617" s="232"/>
      <c r="B617" s="233" t="s">
        <v>478</v>
      </c>
      <c r="C617" s="233"/>
      <c r="D617" s="233"/>
      <c r="E617" s="233"/>
      <c r="F617" s="234"/>
    </row>
    <row r="618" spans="1:9">
      <c r="A618" s="232"/>
      <c r="B618" s="233"/>
      <c r="C618" s="233" t="str">
        <f>+B635</f>
        <v>Supervisor, Ingeniero Civil o Arquitecto</v>
      </c>
      <c r="D618" s="233"/>
      <c r="E618" s="233"/>
      <c r="F618" s="234">
        <v>1</v>
      </c>
    </row>
    <row r="619" spans="1:9">
      <c r="A619" s="232"/>
      <c r="B619" s="233"/>
      <c r="C619" s="233" t="str">
        <f>+B636</f>
        <v>Asistente (Arquitecto o Ing. Civil)</v>
      </c>
      <c r="D619" s="233"/>
      <c r="E619" s="233"/>
      <c r="F619" s="234">
        <v>1</v>
      </c>
    </row>
    <row r="620" spans="1:9">
      <c r="A620" s="232"/>
      <c r="B620" s="233"/>
      <c r="C620" s="233" t="str">
        <f>+B637</f>
        <v>Asistente (Ing. Sanitario)</v>
      </c>
      <c r="D620" s="233"/>
      <c r="E620" s="233"/>
      <c r="F620" s="234">
        <v>0.25</v>
      </c>
    </row>
    <row r="621" spans="1:9">
      <c r="A621" s="232"/>
      <c r="B621" s="233"/>
      <c r="C621" s="233" t="str">
        <f>+B638</f>
        <v>Asistente (Ing. Mecanico Electrico)</v>
      </c>
      <c r="D621" s="233"/>
      <c r="E621" s="233"/>
      <c r="F621" s="234">
        <v>0.25</v>
      </c>
    </row>
    <row r="622" spans="1:9">
      <c r="A622" s="235" t="s">
        <v>479</v>
      </c>
      <c r="B622" s="236" t="s">
        <v>480</v>
      </c>
      <c r="C622" s="237"/>
      <c r="D622" s="237"/>
      <c r="E622" s="237"/>
      <c r="F622" s="238"/>
    </row>
    <row r="623" spans="1:9">
      <c r="A623" s="232" t="s">
        <v>481</v>
      </c>
      <c r="B623" s="233" t="s">
        <v>482</v>
      </c>
      <c r="C623" s="233"/>
      <c r="D623" s="233"/>
      <c r="E623" s="233"/>
      <c r="F623" s="239" t="e">
        <f>+#REF!</f>
        <v>#REF!</v>
      </c>
    </row>
    <row r="624" spans="1:9">
      <c r="A624" s="232" t="s">
        <v>483</v>
      </c>
      <c r="B624" s="233" t="s">
        <v>484</v>
      </c>
      <c r="C624" s="233"/>
      <c r="D624" s="233"/>
      <c r="E624" s="233"/>
      <c r="F624" s="240" t="e">
        <f>+F623*0.1</f>
        <v>#REF!</v>
      </c>
    </row>
    <row r="625" spans="1:6">
      <c r="A625" s="232" t="s">
        <v>485</v>
      </c>
      <c r="B625" s="233" t="s">
        <v>486</v>
      </c>
      <c r="C625" s="233"/>
      <c r="D625" s="233"/>
      <c r="E625" s="241" t="s">
        <v>487</v>
      </c>
      <c r="F625" s="240">
        <v>120</v>
      </c>
    </row>
    <row r="626" spans="1:6">
      <c r="A626" s="242" t="s">
        <v>488</v>
      </c>
      <c r="B626" s="233" t="s">
        <v>486</v>
      </c>
      <c r="C626" s="233"/>
      <c r="D626" s="233"/>
      <c r="E626" s="241" t="s">
        <v>489</v>
      </c>
      <c r="F626" s="240">
        <v>5</v>
      </c>
    </row>
    <row r="627" spans="1:6">
      <c r="A627" s="242">
        <v>1.5</v>
      </c>
      <c r="B627" s="243" t="s">
        <v>490</v>
      </c>
      <c r="C627" s="243"/>
      <c r="D627" s="243"/>
      <c r="E627" s="244" t="s">
        <v>487</v>
      </c>
      <c r="F627" s="245">
        <v>150</v>
      </c>
    </row>
    <row r="628" spans="1:6">
      <c r="A628" s="242">
        <v>1.6</v>
      </c>
      <c r="B628" s="243" t="s">
        <v>490</v>
      </c>
      <c r="C628" s="243"/>
      <c r="D628" s="243"/>
      <c r="E628" s="241" t="s">
        <v>489</v>
      </c>
      <c r="F628" s="245">
        <v>6</v>
      </c>
    </row>
    <row r="629" spans="1:6">
      <c r="A629" s="242">
        <v>1.7</v>
      </c>
      <c r="B629" s="243" t="s">
        <v>491</v>
      </c>
      <c r="C629" s="243"/>
      <c r="D629" s="243"/>
      <c r="E629" s="244" t="s">
        <v>492</v>
      </c>
      <c r="F629" s="246">
        <v>6</v>
      </c>
    </row>
    <row r="630" spans="1:6">
      <c r="A630" s="242">
        <v>1.9</v>
      </c>
      <c r="B630" s="243" t="s">
        <v>493</v>
      </c>
      <c r="C630" s="243"/>
      <c r="D630" s="243"/>
      <c r="E630" s="244" t="s">
        <v>492</v>
      </c>
      <c r="F630" s="246">
        <v>6</v>
      </c>
    </row>
    <row r="631" spans="1:6">
      <c r="A631" s="247">
        <v>1.1000000000000001</v>
      </c>
      <c r="B631" s="243" t="s">
        <v>494</v>
      </c>
      <c r="C631" s="243"/>
      <c r="D631" s="243"/>
      <c r="E631" s="244" t="s">
        <v>495</v>
      </c>
      <c r="F631" s="248">
        <v>3</v>
      </c>
    </row>
    <row r="632" spans="1:6">
      <c r="A632" s="242">
        <v>1.1100000000000001</v>
      </c>
      <c r="B632" s="243" t="s">
        <v>496</v>
      </c>
      <c r="C632" s="243"/>
      <c r="D632" s="243"/>
      <c r="E632" s="244" t="s">
        <v>495</v>
      </c>
      <c r="F632" s="248">
        <v>3</v>
      </c>
    </row>
    <row r="633" spans="1:6">
      <c r="A633" s="235" t="s">
        <v>497</v>
      </c>
      <c r="B633" s="236" t="s">
        <v>498</v>
      </c>
      <c r="C633" s="237"/>
      <c r="D633" s="237"/>
      <c r="E633" s="237"/>
      <c r="F633" s="238"/>
    </row>
    <row r="634" spans="1:6">
      <c r="A634" s="232" t="s">
        <v>499</v>
      </c>
      <c r="B634" s="249" t="s">
        <v>500</v>
      </c>
      <c r="C634" s="233"/>
      <c r="D634" s="233"/>
      <c r="E634" s="233"/>
      <c r="F634" s="250">
        <f>SUM(F635:F638)</f>
        <v>85750</v>
      </c>
    </row>
    <row r="635" spans="1:6">
      <c r="A635" s="232" t="s">
        <v>501</v>
      </c>
      <c r="B635" s="233" t="s">
        <v>502</v>
      </c>
      <c r="C635" s="251">
        <v>1</v>
      </c>
      <c r="D635" s="252">
        <v>5</v>
      </c>
      <c r="E635" s="252">
        <v>9500</v>
      </c>
      <c r="F635" s="234">
        <f>D635*E635</f>
        <v>47500</v>
      </c>
    </row>
    <row r="636" spans="1:6">
      <c r="A636" s="232">
        <v>2.4</v>
      </c>
      <c r="B636" s="233" t="s">
        <v>503</v>
      </c>
      <c r="C636" s="251">
        <v>1</v>
      </c>
      <c r="D636" s="252">
        <v>5</v>
      </c>
      <c r="E636" s="252">
        <v>6000</v>
      </c>
      <c r="F636" s="234">
        <f>D636*E636</f>
        <v>30000</v>
      </c>
    </row>
    <row r="637" spans="1:6">
      <c r="A637" s="232">
        <v>2.5</v>
      </c>
      <c r="B637" s="233" t="s">
        <v>504</v>
      </c>
      <c r="C637" s="253">
        <v>0.25</v>
      </c>
      <c r="D637" s="252">
        <v>3</v>
      </c>
      <c r="E637" s="252">
        <v>5500</v>
      </c>
      <c r="F637" s="234">
        <f>C637*D637*E637</f>
        <v>4125</v>
      </c>
    </row>
    <row r="638" spans="1:6">
      <c r="A638" s="232">
        <v>2.6</v>
      </c>
      <c r="B638" s="233" t="s">
        <v>505</v>
      </c>
      <c r="C638" s="253">
        <v>0.25</v>
      </c>
      <c r="D638" s="252">
        <v>3</v>
      </c>
      <c r="E638" s="252">
        <v>5500</v>
      </c>
      <c r="F638" s="234">
        <f>C638*D638*E638</f>
        <v>4125</v>
      </c>
    </row>
    <row r="639" spans="1:6">
      <c r="A639" s="232"/>
      <c r="B639" s="233"/>
      <c r="C639" s="254"/>
      <c r="D639" s="233"/>
      <c r="E639" s="252"/>
      <c r="F639" s="234"/>
    </row>
    <row r="640" spans="1:6">
      <c r="A640" s="235" t="s">
        <v>506</v>
      </c>
      <c r="B640" s="236" t="s">
        <v>507</v>
      </c>
      <c r="C640" s="237"/>
      <c r="D640" s="237"/>
      <c r="E640" s="237"/>
      <c r="F640" s="255">
        <f>SUM(F641:F644)</f>
        <v>6037.2</v>
      </c>
    </row>
    <row r="641" spans="1:6">
      <c r="A641" s="232" t="s">
        <v>508</v>
      </c>
      <c r="B641" s="233" t="s">
        <v>509</v>
      </c>
      <c r="C641" s="232" t="s">
        <v>492</v>
      </c>
      <c r="D641" s="256">
        <v>6</v>
      </c>
      <c r="E641" s="252">
        <v>500</v>
      </c>
      <c r="F641" s="234">
        <f>D641*E641</f>
        <v>3000</v>
      </c>
    </row>
    <row r="642" spans="1:6">
      <c r="A642" s="232" t="s">
        <v>510</v>
      </c>
      <c r="B642" s="233" t="s">
        <v>511</v>
      </c>
      <c r="C642" s="232" t="s">
        <v>492</v>
      </c>
      <c r="D642" s="256">
        <v>6</v>
      </c>
      <c r="E642" s="252">
        <v>100</v>
      </c>
      <c r="F642" s="234">
        <f>D642*E642</f>
        <v>600</v>
      </c>
    </row>
    <row r="643" spans="1:6">
      <c r="A643" s="232" t="s">
        <v>512</v>
      </c>
      <c r="B643" s="233" t="s">
        <v>513</v>
      </c>
      <c r="C643" s="232" t="s">
        <v>492</v>
      </c>
      <c r="D643" s="256">
        <v>6</v>
      </c>
      <c r="E643" s="252">
        <v>300</v>
      </c>
      <c r="F643" s="234">
        <f>D643*E643</f>
        <v>1800</v>
      </c>
    </row>
    <row r="644" spans="1:6">
      <c r="A644" s="232" t="s">
        <v>514</v>
      </c>
      <c r="B644" s="233" t="s">
        <v>515</v>
      </c>
      <c r="C644" s="232" t="s">
        <v>492</v>
      </c>
      <c r="D644" s="256">
        <v>6</v>
      </c>
      <c r="E644" s="252">
        <v>106.19999999999999</v>
      </c>
      <c r="F644" s="234">
        <f>D644*E644</f>
        <v>637.19999999999993</v>
      </c>
    </row>
    <row r="645" spans="1:6">
      <c r="A645" s="235" t="s">
        <v>516</v>
      </c>
      <c r="B645" s="236" t="s">
        <v>517</v>
      </c>
      <c r="C645" s="237"/>
      <c r="D645" s="237"/>
      <c r="E645" s="237"/>
      <c r="F645" s="255">
        <f>SUM(F646:F655)</f>
        <v>19537.297359999997</v>
      </c>
    </row>
    <row r="646" spans="1:6" ht="24">
      <c r="A646" s="232">
        <v>4.0999999999999996</v>
      </c>
      <c r="B646" s="257" t="s">
        <v>518</v>
      </c>
      <c r="C646" s="232"/>
      <c r="D646" s="258">
        <v>0.1</v>
      </c>
      <c r="E646" s="252">
        <f>+F634</f>
        <v>85750</v>
      </c>
      <c r="F646" s="248">
        <f>+E646*D646</f>
        <v>8575</v>
      </c>
    </row>
    <row r="647" spans="1:6">
      <c r="A647" s="232">
        <v>4.2</v>
      </c>
      <c r="B647" s="233" t="s">
        <v>519</v>
      </c>
      <c r="C647" s="233"/>
      <c r="D647" s="259">
        <v>6</v>
      </c>
      <c r="E647" s="252">
        <v>150</v>
      </c>
      <c r="F647" s="248">
        <f>+E647*D647</f>
        <v>900</v>
      </c>
    </row>
    <row r="648" spans="1:6">
      <c r="A648" s="232">
        <v>4.3</v>
      </c>
      <c r="B648" s="233" t="s">
        <v>520</v>
      </c>
      <c r="C648" s="233"/>
      <c r="D648" s="233">
        <v>28</v>
      </c>
      <c r="E648" s="252">
        <v>150</v>
      </c>
      <c r="F648" s="248">
        <f>+E648*D648</f>
        <v>4200</v>
      </c>
    </row>
    <row r="649" spans="1:6">
      <c r="A649" s="232" t="s">
        <v>521</v>
      </c>
      <c r="B649" s="233" t="s">
        <v>522</v>
      </c>
      <c r="C649" s="233" t="s">
        <v>523</v>
      </c>
      <c r="D649" s="260">
        <v>1E-3</v>
      </c>
      <c r="E649" s="252">
        <f>+'[4]Costo Total Inversion'!F741</f>
        <v>0</v>
      </c>
      <c r="F649" s="248">
        <f>+E649*D649</f>
        <v>0</v>
      </c>
    </row>
    <row r="650" spans="1:6">
      <c r="A650" s="232" t="s">
        <v>524</v>
      </c>
      <c r="B650" s="233" t="s">
        <v>525</v>
      </c>
      <c r="C650" s="233" t="s">
        <v>526</v>
      </c>
      <c r="D650" s="233">
        <v>24</v>
      </c>
      <c r="E650" s="252">
        <v>0.35399999999999998</v>
      </c>
      <c r="F650" s="248">
        <f>60*D650*E650</f>
        <v>509.76</v>
      </c>
    </row>
    <row r="651" spans="1:6">
      <c r="A651" s="232" t="s">
        <v>527</v>
      </c>
      <c r="B651" s="233" t="s">
        <v>528</v>
      </c>
      <c r="C651" s="233" t="s">
        <v>529</v>
      </c>
      <c r="D651" s="233">
        <v>6</v>
      </c>
      <c r="E651" s="252">
        <v>0.35399999999999998</v>
      </c>
      <c r="F651" s="248">
        <f>120*D651*E651</f>
        <v>254.88</v>
      </c>
    </row>
    <row r="652" spans="1:6">
      <c r="A652" s="232" t="s">
        <v>530</v>
      </c>
      <c r="B652" s="233" t="s">
        <v>531</v>
      </c>
      <c r="C652" s="233" t="s">
        <v>532</v>
      </c>
      <c r="D652" s="233">
        <v>6</v>
      </c>
      <c r="E652" s="252">
        <v>0.35399999999999998</v>
      </c>
      <c r="F652" s="248">
        <f>120*D652*E652</f>
        <v>254.88</v>
      </c>
    </row>
    <row r="653" spans="1:6">
      <c r="A653" s="232" t="s">
        <v>533</v>
      </c>
      <c r="B653" s="233" t="s">
        <v>534</v>
      </c>
      <c r="C653" s="233" t="s">
        <v>535</v>
      </c>
      <c r="D653" s="233">
        <v>2</v>
      </c>
      <c r="E653" s="252">
        <v>0.35647799999999996</v>
      </c>
      <c r="F653" s="248">
        <f>60*D653*E653</f>
        <v>42.777359999999994</v>
      </c>
    </row>
    <row r="654" spans="1:6">
      <c r="A654" s="232" t="s">
        <v>536</v>
      </c>
      <c r="B654" s="233" t="s">
        <v>537</v>
      </c>
      <c r="C654" s="233" t="s">
        <v>492</v>
      </c>
      <c r="D654" s="233">
        <v>6</v>
      </c>
      <c r="E654" s="252">
        <v>450</v>
      </c>
      <c r="F654" s="234">
        <f>+D654*E654</f>
        <v>2700</v>
      </c>
    </row>
    <row r="655" spans="1:6">
      <c r="A655" s="261">
        <v>4.0999999999999996</v>
      </c>
      <c r="B655" s="233" t="s">
        <v>538</v>
      </c>
      <c r="C655" s="233" t="s">
        <v>492</v>
      </c>
      <c r="D655" s="233">
        <v>6</v>
      </c>
      <c r="E655" s="252">
        <v>350</v>
      </c>
      <c r="F655" s="234">
        <f>+D655*E655</f>
        <v>2100</v>
      </c>
    </row>
    <row r="656" spans="1:6">
      <c r="A656" s="235" t="s">
        <v>539</v>
      </c>
      <c r="B656" s="236" t="s">
        <v>540</v>
      </c>
      <c r="C656" s="237"/>
      <c r="D656" s="237"/>
      <c r="E656" s="237"/>
      <c r="F656" s="255">
        <f>SUM(F657:F660)</f>
        <v>3600</v>
      </c>
    </row>
    <row r="657" spans="1:12">
      <c r="A657" s="232" t="s">
        <v>541</v>
      </c>
      <c r="B657" s="233" t="s">
        <v>542</v>
      </c>
      <c r="C657" s="233" t="s">
        <v>492</v>
      </c>
      <c r="D657" s="233">
        <v>6</v>
      </c>
      <c r="E657" s="252">
        <v>250</v>
      </c>
      <c r="F657" s="234">
        <f>+D657*E657</f>
        <v>1500</v>
      </c>
    </row>
    <row r="658" spans="1:12">
      <c r="A658" s="232" t="s">
        <v>543</v>
      </c>
      <c r="B658" s="233" t="s">
        <v>544</v>
      </c>
      <c r="C658" s="233" t="s">
        <v>492</v>
      </c>
      <c r="D658" s="233">
        <v>6</v>
      </c>
      <c r="E658" s="252">
        <v>200</v>
      </c>
      <c r="F658" s="234">
        <f>+D658*E658</f>
        <v>1200</v>
      </c>
    </row>
    <row r="659" spans="1:12">
      <c r="A659" s="232">
        <v>5.3</v>
      </c>
      <c r="B659" s="233" t="s">
        <v>545</v>
      </c>
      <c r="C659" s="233" t="s">
        <v>546</v>
      </c>
      <c r="D659" s="262">
        <v>3</v>
      </c>
      <c r="E659" s="252">
        <v>100</v>
      </c>
      <c r="F659" s="234">
        <f>+D659*E659</f>
        <v>300</v>
      </c>
    </row>
    <row r="660" spans="1:12">
      <c r="A660" s="232">
        <v>5.4</v>
      </c>
      <c r="B660" s="233" t="s">
        <v>547</v>
      </c>
      <c r="C660" s="233" t="s">
        <v>548</v>
      </c>
      <c r="D660" s="233">
        <v>2</v>
      </c>
      <c r="E660" s="252">
        <v>300</v>
      </c>
      <c r="F660" s="234">
        <f>+D660*E660</f>
        <v>600</v>
      </c>
    </row>
    <row r="661" spans="1:12">
      <c r="A661" s="235" t="s">
        <v>549</v>
      </c>
      <c r="B661" s="263" t="s">
        <v>550</v>
      </c>
      <c r="C661" s="235"/>
      <c r="D661" s="235"/>
      <c r="E661" s="235"/>
      <c r="F661" s="255">
        <f>+F634+F640+F645+F656</f>
        <v>114924.49735999999</v>
      </c>
    </row>
    <row r="662" spans="1:12">
      <c r="A662" s="264"/>
      <c r="B662" s="265" t="s">
        <v>551</v>
      </c>
      <c r="C662" s="265"/>
      <c r="D662" s="266"/>
      <c r="E662" s="266"/>
      <c r="F662" s="267">
        <f>+F661*0.1</f>
        <v>11492.449736</v>
      </c>
    </row>
    <row r="663" spans="1:12">
      <c r="A663" s="268"/>
      <c r="B663" s="2046" t="s">
        <v>552</v>
      </c>
      <c r="C663" s="2047"/>
      <c r="D663" s="2047"/>
      <c r="E663" s="2048"/>
      <c r="F663" s="269">
        <f>+F661+F662</f>
        <v>126416.94709599999</v>
      </c>
    </row>
    <row r="664" spans="1:12">
      <c r="A664" s="270" t="s">
        <v>553</v>
      </c>
      <c r="B664" s="249" t="s">
        <v>554</v>
      </c>
      <c r="C664" s="233"/>
      <c r="D664" s="233"/>
      <c r="E664" s="233"/>
      <c r="F664" s="250">
        <f>F663/6</f>
        <v>21069.491182666665</v>
      </c>
    </row>
    <row r="665" spans="1:12">
      <c r="A665" s="271"/>
      <c r="B665" s="2049" t="s">
        <v>555</v>
      </c>
      <c r="C665" s="2049"/>
      <c r="D665" s="2049"/>
      <c r="E665" s="2049"/>
      <c r="F665" s="272">
        <f>F663/1.18</f>
        <v>107133.00601355932</v>
      </c>
    </row>
    <row r="666" spans="1:12">
      <c r="A666" s="43"/>
      <c r="B666" s="43"/>
      <c r="C666" s="43"/>
      <c r="D666" s="43"/>
      <c r="E666" s="43"/>
      <c r="F666" s="43"/>
    </row>
    <row r="670" spans="1:12">
      <c r="A670" s="177" t="s">
        <v>634</v>
      </c>
      <c r="B670" s="26" t="s">
        <v>635</v>
      </c>
    </row>
    <row r="671" spans="1:12">
      <c r="A671" s="2069" t="s">
        <v>558</v>
      </c>
      <c r="B671" s="2069"/>
      <c r="C671" s="2069"/>
      <c r="D671" s="2069"/>
      <c r="E671" s="2069"/>
      <c r="F671" s="2069"/>
      <c r="G671" s="2069"/>
      <c r="H671" s="2069"/>
      <c r="I671" s="273"/>
      <c r="J671" s="273"/>
      <c r="K671" s="43"/>
      <c r="L671" s="43"/>
    </row>
    <row r="672" spans="1:12">
      <c r="A672" s="274" t="s">
        <v>559</v>
      </c>
      <c r="B672" s="274" t="s">
        <v>2</v>
      </c>
      <c r="C672" s="274" t="s">
        <v>259</v>
      </c>
      <c r="D672" s="274" t="s">
        <v>560</v>
      </c>
      <c r="E672" s="274" t="s">
        <v>73</v>
      </c>
      <c r="F672" s="274" t="s">
        <v>561</v>
      </c>
      <c r="G672" s="274" t="s">
        <v>70</v>
      </c>
      <c r="H672" s="274" t="s">
        <v>76</v>
      </c>
      <c r="I672" s="273"/>
      <c r="J672" s="273"/>
      <c r="K672" s="43"/>
      <c r="L672" s="43"/>
    </row>
    <row r="673" spans="1:12">
      <c r="A673" s="275" t="s">
        <v>562</v>
      </c>
      <c r="B673" s="276" t="s">
        <v>563</v>
      </c>
      <c r="C673" s="277"/>
      <c r="D673" s="278"/>
      <c r="E673" s="278"/>
      <c r="F673" s="278"/>
      <c r="G673" s="279">
        <f>SUM(G675:G689)</f>
        <v>15800</v>
      </c>
      <c r="H673" s="277"/>
      <c r="I673" s="273"/>
      <c r="J673" s="273"/>
      <c r="K673" s="43"/>
      <c r="L673" s="43"/>
    </row>
    <row r="674" spans="1:12">
      <c r="A674" s="280" t="s">
        <v>564</v>
      </c>
      <c r="B674" s="281" t="s">
        <v>565</v>
      </c>
      <c r="C674" s="282"/>
      <c r="D674" s="283"/>
      <c r="E674" s="283"/>
      <c r="F674" s="283"/>
      <c r="G674" s="283"/>
      <c r="H674" s="284">
        <f>SUM(G675:G680)</f>
        <v>10700</v>
      </c>
      <c r="I674" s="273"/>
      <c r="J674" s="273"/>
      <c r="K674" s="43"/>
      <c r="L674" s="43"/>
    </row>
    <row r="675" spans="1:12">
      <c r="A675" s="280"/>
      <c r="B675" s="285" t="s">
        <v>566</v>
      </c>
      <c r="C675" s="286" t="s">
        <v>254</v>
      </c>
      <c r="D675" s="283">
        <v>1</v>
      </c>
      <c r="E675" s="283">
        <v>10</v>
      </c>
      <c r="F675" s="283">
        <v>150</v>
      </c>
      <c r="G675" s="283">
        <f t="shared" ref="G675:G680" si="26">+F675*E675*D675</f>
        <v>1500</v>
      </c>
      <c r="H675" s="283"/>
      <c r="I675" s="273"/>
      <c r="J675" s="273"/>
      <c r="K675" s="43"/>
      <c r="L675" s="43"/>
    </row>
    <row r="676" spans="1:12">
      <c r="A676" s="280"/>
      <c r="B676" s="285" t="s">
        <v>567</v>
      </c>
      <c r="C676" s="286" t="s">
        <v>254</v>
      </c>
      <c r="D676" s="283">
        <v>1</v>
      </c>
      <c r="E676" s="283">
        <v>15</v>
      </c>
      <c r="F676" s="283">
        <v>100</v>
      </c>
      <c r="G676" s="283">
        <f t="shared" si="26"/>
        <v>1500</v>
      </c>
      <c r="H676" s="283"/>
      <c r="I676" s="273"/>
      <c r="J676" s="273"/>
      <c r="K676" s="43"/>
      <c r="L676" s="43"/>
    </row>
    <row r="677" spans="1:12">
      <c r="A677" s="280"/>
      <c r="B677" s="285" t="s">
        <v>568</v>
      </c>
      <c r="C677" s="286" t="s">
        <v>254</v>
      </c>
      <c r="D677" s="283">
        <v>1</v>
      </c>
      <c r="E677" s="283">
        <v>25</v>
      </c>
      <c r="F677" s="283">
        <v>80</v>
      </c>
      <c r="G677" s="283">
        <f t="shared" si="26"/>
        <v>2000</v>
      </c>
      <c r="H677" s="283"/>
      <c r="I677" s="273"/>
      <c r="J677" s="273"/>
      <c r="K677" s="43"/>
      <c r="L677" s="43"/>
    </row>
    <row r="678" spans="1:12">
      <c r="A678" s="280"/>
      <c r="B678" s="285" t="s">
        <v>569</v>
      </c>
      <c r="C678" s="286" t="s">
        <v>254</v>
      </c>
      <c r="D678" s="283">
        <v>1</v>
      </c>
      <c r="E678" s="283">
        <v>20</v>
      </c>
      <c r="F678" s="283">
        <v>60</v>
      </c>
      <c r="G678" s="283">
        <f t="shared" si="26"/>
        <v>1200</v>
      </c>
      <c r="H678" s="283"/>
      <c r="I678" s="273"/>
      <c r="J678" s="273"/>
      <c r="K678" s="43"/>
      <c r="L678" s="43"/>
    </row>
    <row r="679" spans="1:12">
      <c r="A679" s="280"/>
      <c r="B679" s="285" t="s">
        <v>570</v>
      </c>
      <c r="C679" s="286" t="s">
        <v>254</v>
      </c>
      <c r="D679" s="283">
        <v>1</v>
      </c>
      <c r="E679" s="283">
        <v>60</v>
      </c>
      <c r="F679" s="283">
        <v>60</v>
      </c>
      <c r="G679" s="283">
        <f t="shared" si="26"/>
        <v>3600</v>
      </c>
      <c r="H679" s="283"/>
      <c r="I679" s="273"/>
      <c r="J679" s="273"/>
      <c r="K679" s="43"/>
      <c r="L679" s="43"/>
    </row>
    <row r="680" spans="1:12">
      <c r="A680" s="280"/>
      <c r="B680" s="285" t="s">
        <v>571</v>
      </c>
      <c r="C680" s="286" t="s">
        <v>254</v>
      </c>
      <c r="D680" s="283">
        <v>1</v>
      </c>
      <c r="E680" s="283">
        <v>15</v>
      </c>
      <c r="F680" s="283">
        <v>60</v>
      </c>
      <c r="G680" s="283">
        <f t="shared" si="26"/>
        <v>900</v>
      </c>
      <c r="H680" s="283"/>
      <c r="I680" s="273"/>
      <c r="J680" s="273"/>
      <c r="K680" s="43"/>
      <c r="L680" s="43"/>
    </row>
    <row r="681" spans="1:12">
      <c r="A681" s="280" t="s">
        <v>572</v>
      </c>
      <c r="B681" s="281" t="s">
        <v>573</v>
      </c>
      <c r="C681" s="286"/>
      <c r="D681" s="283"/>
      <c r="E681" s="283"/>
      <c r="F681" s="283"/>
      <c r="G681" s="283"/>
      <c r="H681" s="283"/>
      <c r="I681" s="273"/>
      <c r="J681" s="273"/>
      <c r="K681" s="43"/>
      <c r="L681" s="43"/>
    </row>
    <row r="682" spans="1:12">
      <c r="A682" s="280"/>
      <c r="B682" s="285" t="s">
        <v>574</v>
      </c>
      <c r="C682" s="286" t="s">
        <v>575</v>
      </c>
      <c r="D682" s="283">
        <v>1</v>
      </c>
      <c r="E682" s="283">
        <v>1</v>
      </c>
      <c r="F682" s="283">
        <v>1000</v>
      </c>
      <c r="G682" s="283">
        <f>+F682*E682*D682</f>
        <v>1000</v>
      </c>
      <c r="H682" s="284">
        <f>+G682</f>
        <v>1000</v>
      </c>
      <c r="I682" s="273"/>
      <c r="J682" s="273"/>
      <c r="K682" s="43"/>
      <c r="L682" s="43"/>
    </row>
    <row r="683" spans="1:12">
      <c r="A683" s="280" t="s">
        <v>576</v>
      </c>
      <c r="B683" s="281" t="s">
        <v>577</v>
      </c>
      <c r="C683" s="286"/>
      <c r="D683" s="283"/>
      <c r="E683" s="283"/>
      <c r="F683" s="283"/>
      <c r="G683" s="283"/>
      <c r="H683" s="284">
        <f>+G684</f>
        <v>800</v>
      </c>
      <c r="I683" s="273"/>
      <c r="J683" s="273"/>
      <c r="K683" s="43"/>
      <c r="L683" s="43"/>
    </row>
    <row r="684" spans="1:12">
      <c r="A684" s="280"/>
      <c r="B684" s="285" t="s">
        <v>578</v>
      </c>
      <c r="C684" s="286" t="s">
        <v>575</v>
      </c>
      <c r="D684" s="283">
        <v>1</v>
      </c>
      <c r="E684" s="283">
        <v>1</v>
      </c>
      <c r="F684" s="283">
        <v>800</v>
      </c>
      <c r="G684" s="283">
        <f>+F684*E684*D684</f>
        <v>800</v>
      </c>
      <c r="H684" s="283"/>
      <c r="I684" s="273"/>
      <c r="J684" s="273"/>
      <c r="K684" s="43"/>
      <c r="L684" s="43"/>
    </row>
    <row r="685" spans="1:12">
      <c r="A685" s="280"/>
      <c r="B685" s="285"/>
      <c r="C685" s="286"/>
      <c r="D685" s="283"/>
      <c r="E685" s="283"/>
      <c r="F685" s="283"/>
      <c r="G685" s="283"/>
      <c r="H685" s="283"/>
      <c r="I685" s="273"/>
      <c r="J685" s="273"/>
      <c r="K685" s="43"/>
      <c r="L685" s="43"/>
    </row>
    <row r="686" spans="1:12">
      <c r="A686" s="280" t="s">
        <v>579</v>
      </c>
      <c r="B686" s="281" t="s">
        <v>580</v>
      </c>
      <c r="C686" s="286"/>
      <c r="D686" s="283"/>
      <c r="E686" s="283"/>
      <c r="F686" s="283"/>
      <c r="G686" s="283"/>
      <c r="H686" s="284">
        <f>SUM(G687:G689)</f>
        <v>3300</v>
      </c>
      <c r="I686" s="273"/>
      <c r="J686" s="273"/>
      <c r="K686" s="43"/>
      <c r="L686" s="43"/>
    </row>
    <row r="687" spans="1:12">
      <c r="A687" s="287"/>
      <c r="B687" s="288" t="s">
        <v>581</v>
      </c>
      <c r="C687" s="286" t="s">
        <v>575</v>
      </c>
      <c r="D687" s="283">
        <v>1</v>
      </c>
      <c r="E687" s="283">
        <v>2</v>
      </c>
      <c r="F687" s="283">
        <v>600</v>
      </c>
      <c r="G687" s="283">
        <f>+F687*E687*D687</f>
        <v>1200</v>
      </c>
      <c r="H687" s="283"/>
      <c r="I687" s="273"/>
      <c r="J687" s="273"/>
      <c r="K687" s="43"/>
      <c r="L687" s="43"/>
    </row>
    <row r="688" spans="1:12">
      <c r="A688" s="287"/>
      <c r="B688" s="288" t="s">
        <v>582</v>
      </c>
      <c r="C688" s="286" t="s">
        <v>575</v>
      </c>
      <c r="D688" s="283">
        <v>1</v>
      </c>
      <c r="E688" s="283">
        <v>40</v>
      </c>
      <c r="F688" s="283">
        <v>25</v>
      </c>
      <c r="G688" s="283">
        <f>+F688*E688*D688</f>
        <v>1000</v>
      </c>
      <c r="H688" s="283"/>
      <c r="I688" s="273"/>
      <c r="J688" s="273"/>
      <c r="K688" s="43"/>
      <c r="L688" s="43"/>
    </row>
    <row r="689" spans="1:12">
      <c r="A689" s="287"/>
      <c r="B689" s="288" t="s">
        <v>583</v>
      </c>
      <c r="C689" s="286" t="s">
        <v>575</v>
      </c>
      <c r="D689" s="283">
        <v>1</v>
      </c>
      <c r="E689" s="283">
        <v>20</v>
      </c>
      <c r="F689" s="283">
        <v>55</v>
      </c>
      <c r="G689" s="283">
        <f>+F689*E689*D689</f>
        <v>1100</v>
      </c>
      <c r="H689" s="283"/>
      <c r="I689" s="273"/>
      <c r="J689" s="273"/>
      <c r="K689" s="43"/>
      <c r="L689" s="43"/>
    </row>
    <row r="690" spans="1:12">
      <c r="A690" s="275" t="s">
        <v>584</v>
      </c>
      <c r="B690" s="289" t="s">
        <v>585</v>
      </c>
      <c r="C690" s="277"/>
      <c r="D690" s="278"/>
      <c r="E690" s="278"/>
      <c r="F690" s="278"/>
      <c r="G690" s="279">
        <f>SUM(G693:G728)</f>
        <v>284756.98905182671</v>
      </c>
      <c r="H690" s="278"/>
      <c r="I690" s="273"/>
      <c r="J690" s="273"/>
      <c r="K690" s="43"/>
      <c r="L690" s="43"/>
    </row>
    <row r="691" spans="1:12">
      <c r="A691" s="280" t="s">
        <v>586</v>
      </c>
      <c r="B691" s="281" t="s">
        <v>587</v>
      </c>
      <c r="C691" s="282"/>
      <c r="D691" s="283"/>
      <c r="E691" s="283"/>
      <c r="F691" s="283"/>
      <c r="G691" s="283"/>
      <c r="H691" s="284">
        <f>SUM(G693:G705)</f>
        <v>195000</v>
      </c>
      <c r="I691" s="273"/>
      <c r="J691" s="273"/>
      <c r="K691" s="43"/>
      <c r="L691" s="43"/>
    </row>
    <row r="692" spans="1:12">
      <c r="A692" s="280"/>
      <c r="B692" s="281" t="s">
        <v>588</v>
      </c>
      <c r="C692" s="282"/>
      <c r="D692" s="283"/>
      <c r="E692" s="283"/>
      <c r="F692" s="283"/>
      <c r="G692" s="283"/>
      <c r="H692" s="284"/>
      <c r="I692" s="273"/>
      <c r="J692" s="273"/>
      <c r="K692" s="43"/>
      <c r="L692" s="43"/>
    </row>
    <row r="693" spans="1:12">
      <c r="A693" s="280"/>
      <c r="B693" s="285" t="s">
        <v>589</v>
      </c>
      <c r="C693" s="286" t="s">
        <v>380</v>
      </c>
      <c r="D693" s="283">
        <v>1</v>
      </c>
      <c r="E693" s="283">
        <v>6</v>
      </c>
      <c r="F693" s="290">
        <v>9000</v>
      </c>
      <c r="G693" s="283">
        <f>D693*E693*F693</f>
        <v>54000</v>
      </c>
      <c r="H693" s="283"/>
      <c r="I693" s="273"/>
      <c r="J693" s="273"/>
      <c r="K693" s="43"/>
      <c r="L693" s="43"/>
    </row>
    <row r="694" spans="1:12">
      <c r="A694" s="280"/>
      <c r="B694" s="285" t="s">
        <v>590</v>
      </c>
      <c r="C694" s="286" t="s">
        <v>380</v>
      </c>
      <c r="D694" s="283">
        <v>1</v>
      </c>
      <c r="E694" s="283">
        <v>6</v>
      </c>
      <c r="F694" s="290">
        <v>5000</v>
      </c>
      <c r="G694" s="283">
        <f>D694*E694*F694</f>
        <v>30000</v>
      </c>
      <c r="H694" s="283"/>
      <c r="I694" s="273"/>
      <c r="J694" s="273"/>
      <c r="K694" s="43"/>
      <c r="L694" s="43"/>
    </row>
    <row r="695" spans="1:12">
      <c r="A695" s="280"/>
      <c r="B695" s="291" t="s">
        <v>591</v>
      </c>
      <c r="C695" s="286" t="s">
        <v>380</v>
      </c>
      <c r="D695" s="283">
        <v>1</v>
      </c>
      <c r="E695" s="283">
        <v>6</v>
      </c>
      <c r="F695" s="290">
        <v>7500</v>
      </c>
      <c r="G695" s="283">
        <f>D695*E695*F695</f>
        <v>45000</v>
      </c>
      <c r="H695" s="283"/>
      <c r="I695" s="273"/>
      <c r="J695" s="273"/>
      <c r="K695" s="43"/>
      <c r="L695" s="43"/>
    </row>
    <row r="696" spans="1:12">
      <c r="A696" s="280"/>
      <c r="B696" s="285" t="s">
        <v>592</v>
      </c>
      <c r="C696" s="286" t="s">
        <v>380</v>
      </c>
      <c r="D696" s="283">
        <v>0.25</v>
      </c>
      <c r="E696" s="283">
        <v>6</v>
      </c>
      <c r="F696" s="290">
        <v>7000</v>
      </c>
      <c r="G696" s="283">
        <f>D696*E696*F696</f>
        <v>10500</v>
      </c>
      <c r="H696" s="283"/>
      <c r="I696" s="273"/>
      <c r="J696" s="273"/>
      <c r="K696" s="43"/>
      <c r="L696" s="43"/>
    </row>
    <row r="697" spans="1:12">
      <c r="A697" s="280"/>
      <c r="B697" s="285" t="s">
        <v>593</v>
      </c>
      <c r="C697" s="286" t="s">
        <v>380</v>
      </c>
      <c r="D697" s="283">
        <v>0.25</v>
      </c>
      <c r="E697" s="283">
        <v>6</v>
      </c>
      <c r="F697" s="290">
        <v>7000</v>
      </c>
      <c r="G697" s="283">
        <f>D697*E697*F697</f>
        <v>10500</v>
      </c>
      <c r="H697" s="283"/>
      <c r="I697" s="273"/>
      <c r="J697" s="273"/>
      <c r="K697" s="43"/>
      <c r="L697" s="43"/>
    </row>
    <row r="698" spans="1:12">
      <c r="A698" s="280"/>
      <c r="B698" s="281" t="s">
        <v>594</v>
      </c>
      <c r="C698" s="282"/>
      <c r="D698" s="283"/>
      <c r="E698" s="283"/>
      <c r="F698" s="283"/>
      <c r="G698" s="283"/>
      <c r="H698" s="283"/>
      <c r="I698" s="273"/>
      <c r="J698" s="273"/>
      <c r="K698" s="43"/>
      <c r="L698" s="43"/>
    </row>
    <row r="699" spans="1:12">
      <c r="A699" s="280"/>
      <c r="B699" s="285" t="s">
        <v>595</v>
      </c>
      <c r="C699" s="286" t="s">
        <v>380</v>
      </c>
      <c r="D699" s="283">
        <v>1</v>
      </c>
      <c r="E699" s="283">
        <v>6</v>
      </c>
      <c r="F699" s="290">
        <v>2500</v>
      </c>
      <c r="G699" s="283">
        <f>D699*E699*F699</f>
        <v>15000</v>
      </c>
      <c r="H699" s="283"/>
      <c r="I699" s="273"/>
      <c r="J699" s="273"/>
      <c r="K699" s="43"/>
      <c r="L699" s="43"/>
    </row>
    <row r="700" spans="1:12">
      <c r="A700" s="280"/>
      <c r="B700" s="285" t="s">
        <v>596</v>
      </c>
      <c r="C700" s="286" t="s">
        <v>380</v>
      </c>
      <c r="D700" s="283">
        <v>0.2</v>
      </c>
      <c r="E700" s="283">
        <v>6</v>
      </c>
      <c r="F700" s="283">
        <v>1500</v>
      </c>
      <c r="G700" s="283">
        <f>+F700*E700*D700</f>
        <v>1800</v>
      </c>
      <c r="H700" s="283"/>
      <c r="I700" s="273"/>
      <c r="J700" s="273"/>
      <c r="K700" s="43"/>
      <c r="L700" s="43"/>
    </row>
    <row r="701" spans="1:12">
      <c r="A701" s="280"/>
      <c r="B701" s="285" t="s">
        <v>597</v>
      </c>
      <c r="C701" s="286" t="s">
        <v>380</v>
      </c>
      <c r="D701" s="283">
        <v>1</v>
      </c>
      <c r="E701" s="283">
        <v>6</v>
      </c>
      <c r="F701" s="283">
        <v>1500</v>
      </c>
      <c r="G701" s="283">
        <f>+F701*E701*D701</f>
        <v>9000</v>
      </c>
      <c r="H701" s="283"/>
      <c r="I701" s="273"/>
      <c r="J701" s="273"/>
      <c r="K701" s="43"/>
      <c r="L701" s="43"/>
    </row>
    <row r="702" spans="1:12">
      <c r="A702" s="280"/>
      <c r="B702" s="285" t="s">
        <v>598</v>
      </c>
      <c r="C702" s="286" t="s">
        <v>380</v>
      </c>
      <c r="D702" s="283">
        <v>1</v>
      </c>
      <c r="E702" s="283">
        <v>6</v>
      </c>
      <c r="F702" s="283">
        <v>1500</v>
      </c>
      <c r="G702" s="283">
        <f>+F702*E702*D702</f>
        <v>9000</v>
      </c>
      <c r="H702" s="283"/>
      <c r="I702" s="273"/>
      <c r="J702" s="273"/>
      <c r="K702" s="43"/>
      <c r="L702" s="43"/>
    </row>
    <row r="703" spans="1:12">
      <c r="A703" s="280"/>
      <c r="B703" s="281" t="s">
        <v>599</v>
      </c>
      <c r="C703" s="286"/>
      <c r="D703" s="283"/>
      <c r="E703" s="283"/>
      <c r="F703" s="283"/>
      <c r="G703" s="283"/>
      <c r="H703" s="283"/>
      <c r="I703" s="273"/>
      <c r="J703" s="273"/>
      <c r="K703" s="43"/>
      <c r="L703" s="43"/>
    </row>
    <row r="704" spans="1:12">
      <c r="A704" s="280"/>
      <c r="B704" s="285" t="s">
        <v>600</v>
      </c>
      <c r="C704" s="286" t="s">
        <v>380</v>
      </c>
      <c r="D704" s="283">
        <v>1</v>
      </c>
      <c r="E704" s="283">
        <v>6</v>
      </c>
      <c r="F704" s="283">
        <v>850</v>
      </c>
      <c r="G704" s="283">
        <f>+F704*E704*D704</f>
        <v>5100</v>
      </c>
      <c r="H704" s="283"/>
      <c r="I704" s="273"/>
      <c r="J704" s="273"/>
      <c r="K704" s="43"/>
      <c r="L704" s="43"/>
    </row>
    <row r="705" spans="1:12">
      <c r="A705" s="280"/>
      <c r="B705" s="285" t="s">
        <v>597</v>
      </c>
      <c r="C705" s="286" t="s">
        <v>380</v>
      </c>
      <c r="D705" s="283">
        <v>1</v>
      </c>
      <c r="E705" s="283">
        <v>6</v>
      </c>
      <c r="F705" s="283">
        <v>850</v>
      </c>
      <c r="G705" s="283">
        <f>+F705*E705*D705</f>
        <v>5100</v>
      </c>
      <c r="H705" s="283"/>
      <c r="I705" s="273"/>
      <c r="J705" s="273"/>
      <c r="K705" s="43"/>
      <c r="L705" s="43"/>
    </row>
    <row r="706" spans="1:12">
      <c r="A706" s="280" t="s">
        <v>601</v>
      </c>
      <c r="B706" s="281" t="s">
        <v>602</v>
      </c>
      <c r="C706" s="286"/>
      <c r="D706" s="283"/>
      <c r="E706" s="283"/>
      <c r="F706" s="283"/>
      <c r="G706" s="283"/>
      <c r="H706" s="292">
        <f>SUM(G707:G711)</f>
        <v>6200</v>
      </c>
      <c r="I706" s="273"/>
      <c r="J706" s="273"/>
      <c r="K706" s="43"/>
      <c r="L706" s="43"/>
    </row>
    <row r="707" spans="1:12">
      <c r="A707" s="280"/>
      <c r="B707" s="285" t="s">
        <v>603</v>
      </c>
      <c r="C707" s="286" t="s">
        <v>380</v>
      </c>
      <c r="D707" s="283">
        <v>1</v>
      </c>
      <c r="E707" s="283">
        <v>2</v>
      </c>
      <c r="F707" s="283">
        <v>200</v>
      </c>
      <c r="G707" s="283">
        <f>+F707*E707*D707</f>
        <v>400</v>
      </c>
      <c r="H707" s="283"/>
      <c r="I707" s="273"/>
      <c r="J707" s="273"/>
      <c r="K707" s="43"/>
      <c r="L707" s="43"/>
    </row>
    <row r="708" spans="1:12">
      <c r="A708" s="280"/>
      <c r="B708" s="285" t="s">
        <v>604</v>
      </c>
      <c r="C708" s="286" t="s">
        <v>380</v>
      </c>
      <c r="D708" s="283">
        <v>1</v>
      </c>
      <c r="E708" s="283">
        <v>1</v>
      </c>
      <c r="F708" s="283">
        <v>1000</v>
      </c>
      <c r="G708" s="283">
        <f>+F708*E708*D708</f>
        <v>1000</v>
      </c>
      <c r="H708" s="283"/>
      <c r="I708" s="273"/>
      <c r="J708" s="273"/>
      <c r="K708" s="43"/>
      <c r="L708" s="43"/>
    </row>
    <row r="709" spans="1:12">
      <c r="A709" s="280"/>
      <c r="B709" s="285" t="s">
        <v>605</v>
      </c>
      <c r="C709" s="286" t="s">
        <v>380</v>
      </c>
      <c r="D709" s="283">
        <v>1</v>
      </c>
      <c r="E709" s="283">
        <v>1</v>
      </c>
      <c r="F709" s="283">
        <v>1500</v>
      </c>
      <c r="G709" s="283">
        <f>+F709*E709*D709</f>
        <v>1500</v>
      </c>
      <c r="H709" s="283"/>
      <c r="I709" s="273"/>
      <c r="J709" s="273"/>
      <c r="K709" s="43"/>
      <c r="L709" s="43"/>
    </row>
    <row r="710" spans="1:12">
      <c r="A710" s="280"/>
      <c r="B710" s="285" t="s">
        <v>606</v>
      </c>
      <c r="C710" s="286" t="s">
        <v>380</v>
      </c>
      <c r="D710" s="283">
        <v>1</v>
      </c>
      <c r="E710" s="283">
        <v>6</v>
      </c>
      <c r="F710" s="283">
        <v>250</v>
      </c>
      <c r="G710" s="283">
        <f>+F710*E710*D710</f>
        <v>1500</v>
      </c>
      <c r="H710" s="283"/>
      <c r="I710" s="273"/>
      <c r="J710" s="273"/>
      <c r="K710" s="43"/>
      <c r="L710" s="43"/>
    </row>
    <row r="711" spans="1:12">
      <c r="A711" s="280"/>
      <c r="B711" s="285" t="s">
        <v>607</v>
      </c>
      <c r="C711" s="286" t="s">
        <v>380</v>
      </c>
      <c r="D711" s="283">
        <v>1</v>
      </c>
      <c r="E711" s="283">
        <v>6</v>
      </c>
      <c r="F711" s="283">
        <v>300</v>
      </c>
      <c r="G711" s="283">
        <f>+F711*E711*D711</f>
        <v>1800</v>
      </c>
      <c r="H711" s="283"/>
      <c r="I711" s="273"/>
      <c r="J711" s="273"/>
      <c r="K711" s="43"/>
      <c r="L711" s="43"/>
    </row>
    <row r="712" spans="1:12">
      <c r="A712" s="280" t="s">
        <v>608</v>
      </c>
      <c r="B712" s="281" t="s">
        <v>609</v>
      </c>
      <c r="C712" s="286"/>
      <c r="D712" s="283"/>
      <c r="E712" s="283"/>
      <c r="F712" s="283"/>
      <c r="G712" s="283"/>
      <c r="H712" s="292">
        <f>SUM(G713:G717)</f>
        <v>27500</v>
      </c>
      <c r="I712" s="273"/>
      <c r="J712" s="273"/>
      <c r="K712" s="43"/>
      <c r="L712" s="43"/>
    </row>
    <row r="713" spans="1:12">
      <c r="A713" s="280"/>
      <c r="B713" s="285" t="s">
        <v>610</v>
      </c>
      <c r="C713" s="286" t="s">
        <v>380</v>
      </c>
      <c r="D713" s="283">
        <v>1</v>
      </c>
      <c r="E713" s="283">
        <v>6</v>
      </c>
      <c r="F713" s="283">
        <v>100</v>
      </c>
      <c r="G713" s="283">
        <f>+F713*E713*D713</f>
        <v>600</v>
      </c>
      <c r="H713" s="283"/>
      <c r="I713" s="273"/>
      <c r="J713" s="273"/>
      <c r="K713" s="43"/>
      <c r="L713" s="43"/>
    </row>
    <row r="714" spans="1:12">
      <c r="A714" s="280"/>
      <c r="B714" s="285" t="s">
        <v>611</v>
      </c>
      <c r="C714" s="286" t="s">
        <v>380</v>
      </c>
      <c r="D714" s="283">
        <v>1</v>
      </c>
      <c r="E714" s="283">
        <v>6</v>
      </c>
      <c r="F714" s="283">
        <v>350</v>
      </c>
      <c r="G714" s="283">
        <f>+F714*E714*D714</f>
        <v>2100</v>
      </c>
      <c r="H714" s="283"/>
      <c r="I714" s="273"/>
      <c r="J714" s="273"/>
      <c r="K714" s="43"/>
      <c r="L714" s="43"/>
    </row>
    <row r="715" spans="1:12">
      <c r="A715" s="280"/>
      <c r="B715" s="285" t="s">
        <v>612</v>
      </c>
      <c r="C715" s="286" t="s">
        <v>613</v>
      </c>
      <c r="D715" s="283">
        <v>20</v>
      </c>
      <c r="E715" s="283">
        <v>6</v>
      </c>
      <c r="F715" s="283">
        <v>200</v>
      </c>
      <c r="G715" s="283">
        <f>+F715*E715*D715</f>
        <v>24000</v>
      </c>
      <c r="H715" s="283"/>
      <c r="I715" s="273"/>
      <c r="J715" s="273"/>
      <c r="K715" s="43"/>
      <c r="L715" s="43"/>
    </row>
    <row r="716" spans="1:12">
      <c r="A716" s="280"/>
      <c r="B716" s="285" t="s">
        <v>614</v>
      </c>
      <c r="C716" s="286" t="s">
        <v>575</v>
      </c>
      <c r="D716" s="283">
        <v>1</v>
      </c>
      <c r="E716" s="283">
        <v>6</v>
      </c>
      <c r="F716" s="283">
        <v>80</v>
      </c>
      <c r="G716" s="283">
        <f>+F716*E716*D716</f>
        <v>480</v>
      </c>
      <c r="H716" s="283"/>
      <c r="I716" s="273"/>
      <c r="J716" s="273"/>
      <c r="K716" s="43"/>
      <c r="L716" s="43"/>
    </row>
    <row r="717" spans="1:12">
      <c r="A717" s="280"/>
      <c r="B717" s="285" t="s">
        <v>615</v>
      </c>
      <c r="C717" s="286" t="s">
        <v>380</v>
      </c>
      <c r="D717" s="283">
        <v>1</v>
      </c>
      <c r="E717" s="283">
        <v>4</v>
      </c>
      <c r="F717" s="283">
        <v>80</v>
      </c>
      <c r="G717" s="283">
        <f>+F717*E717*D717</f>
        <v>320</v>
      </c>
      <c r="H717" s="283"/>
      <c r="I717" s="273"/>
      <c r="J717" s="273"/>
      <c r="K717" s="43"/>
      <c r="L717" s="43"/>
    </row>
    <row r="718" spans="1:12">
      <c r="A718" s="280" t="s">
        <v>616</v>
      </c>
      <c r="B718" s="281" t="s">
        <v>617</v>
      </c>
      <c r="C718" s="286"/>
      <c r="D718" s="283"/>
      <c r="E718" s="283"/>
      <c r="F718" s="283"/>
      <c r="G718" s="283"/>
      <c r="H718" s="292">
        <f>SUM(G719:G720)</f>
        <v>3899.9999999999982</v>
      </c>
      <c r="I718" s="273"/>
      <c r="J718" s="273"/>
      <c r="K718" s="43"/>
      <c r="L718" s="43"/>
    </row>
    <row r="719" spans="1:12">
      <c r="A719" s="280"/>
      <c r="B719" s="285" t="s">
        <v>618</v>
      </c>
      <c r="C719" s="286" t="s">
        <v>380</v>
      </c>
      <c r="D719" s="283">
        <v>3</v>
      </c>
      <c r="E719" s="293">
        <v>0.33333333333333298</v>
      </c>
      <c r="F719" s="283">
        <v>1500</v>
      </c>
      <c r="G719" s="283">
        <f>+F719*E719*D719</f>
        <v>1499.9999999999984</v>
      </c>
      <c r="H719" s="283"/>
      <c r="I719" s="273"/>
      <c r="J719" s="273"/>
      <c r="K719" s="43"/>
      <c r="L719" s="43"/>
    </row>
    <row r="720" spans="1:12">
      <c r="A720" s="280"/>
      <c r="B720" s="285" t="s">
        <v>619</v>
      </c>
      <c r="C720" s="286" t="s">
        <v>380</v>
      </c>
      <c r="D720" s="283">
        <v>3</v>
      </c>
      <c r="E720" s="293">
        <v>1</v>
      </c>
      <c r="F720" s="283">
        <v>800</v>
      </c>
      <c r="G720" s="283">
        <f>+F720*E720*D720</f>
        <v>2400</v>
      </c>
      <c r="H720" s="283"/>
      <c r="I720" s="273"/>
      <c r="J720" s="273"/>
      <c r="K720" s="43"/>
      <c r="L720" s="43"/>
    </row>
    <row r="721" spans="1:12">
      <c r="A721" s="280" t="s">
        <v>620</v>
      </c>
      <c r="B721" s="276" t="s">
        <v>621</v>
      </c>
      <c r="C721" s="294"/>
      <c r="D721" s="278"/>
      <c r="E721" s="278"/>
      <c r="F721" s="278"/>
      <c r="G721" s="278"/>
      <c r="H721" s="278"/>
      <c r="I721" s="273"/>
      <c r="J721" s="273"/>
      <c r="K721" s="43"/>
      <c r="L721" s="43"/>
    </row>
    <row r="722" spans="1:12">
      <c r="A722" s="280"/>
      <c r="B722" s="276" t="s">
        <v>622</v>
      </c>
      <c r="C722" s="294"/>
      <c r="D722" s="278"/>
      <c r="E722" s="278"/>
      <c r="F722" s="278"/>
      <c r="G722" s="278"/>
      <c r="H722" s="279">
        <f>SUM(G723:G725)</f>
        <v>37204.026554771059</v>
      </c>
      <c r="I722" s="273"/>
      <c r="J722" s="295" t="s">
        <v>623</v>
      </c>
      <c r="K722" s="43"/>
      <c r="L722" s="43"/>
    </row>
    <row r="723" spans="1:12">
      <c r="A723" s="280"/>
      <c r="B723" s="285" t="s">
        <v>624</v>
      </c>
      <c r="C723" s="286" t="s">
        <v>625</v>
      </c>
      <c r="D723" s="283">
        <v>1</v>
      </c>
      <c r="E723" s="296">
        <f>+D723*0.1*0.03*(6/12)</f>
        <v>1.5E-3</v>
      </c>
      <c r="F723" s="296">
        <v>3543240.6242639106</v>
      </c>
      <c r="G723" s="283">
        <f>+D723*E723*F723</f>
        <v>5314.8609363958658</v>
      </c>
      <c r="H723" s="283"/>
      <c r="I723" s="273"/>
      <c r="J723" s="297">
        <f>+'[4]Costo Total Inversion'!F802</f>
        <v>0</v>
      </c>
      <c r="K723" s="298">
        <f>J723-F723</f>
        <v>-3543240.6242639106</v>
      </c>
      <c r="L723" s="43"/>
    </row>
    <row r="724" spans="1:12">
      <c r="A724" s="280"/>
      <c r="B724" s="285" t="s">
        <v>626</v>
      </c>
      <c r="C724" s="286" t="s">
        <v>625</v>
      </c>
      <c r="D724" s="283">
        <v>1</v>
      </c>
      <c r="E724" s="296">
        <f>+D724*0.2*0.03*(6/12)</f>
        <v>3.0000000000000001E-3</v>
      </c>
      <c r="F724" s="296">
        <f>+F723</f>
        <v>3543240.6242639106</v>
      </c>
      <c r="G724" s="283">
        <f>+D724*E724*F724</f>
        <v>10629.721872791732</v>
      </c>
      <c r="H724" s="283"/>
      <c r="I724" s="273"/>
      <c r="J724" s="273"/>
      <c r="K724" s="43"/>
      <c r="L724" s="43"/>
    </row>
    <row r="725" spans="1:12">
      <c r="A725" s="280"/>
      <c r="B725" s="285" t="s">
        <v>627</v>
      </c>
      <c r="C725" s="286"/>
      <c r="D725" s="283">
        <v>1</v>
      </c>
      <c r="E725" s="296">
        <f>+D725*0.4*0.03*(6/12)</f>
        <v>6.0000000000000001E-3</v>
      </c>
      <c r="F725" s="296">
        <f>+F723</f>
        <v>3543240.6242639106</v>
      </c>
      <c r="G725" s="283">
        <f>+D725*E725*F725</f>
        <v>21259.443745583463</v>
      </c>
      <c r="H725" s="283"/>
      <c r="I725" s="273"/>
      <c r="J725" s="273"/>
      <c r="K725" s="43"/>
      <c r="L725" s="43"/>
    </row>
    <row r="726" spans="1:12">
      <c r="A726" s="280"/>
      <c r="B726" s="276" t="s">
        <v>628</v>
      </c>
      <c r="C726" s="294"/>
      <c r="D726" s="278"/>
      <c r="E726" s="278"/>
      <c r="F726" s="278"/>
      <c r="G726" s="278"/>
      <c r="H726" s="279">
        <f>SUM(G727:G728)</f>
        <v>14952.962497055643</v>
      </c>
      <c r="I726" s="273"/>
      <c r="J726" s="273"/>
      <c r="K726" s="43"/>
      <c r="L726" s="43"/>
    </row>
    <row r="727" spans="1:12" ht="24">
      <c r="A727" s="280"/>
      <c r="B727" s="299" t="s">
        <v>629</v>
      </c>
      <c r="C727" s="300" t="s">
        <v>625</v>
      </c>
      <c r="D727" s="301">
        <v>4.0000000000000001E-3</v>
      </c>
      <c r="E727" s="302">
        <v>1</v>
      </c>
      <c r="F727" s="303">
        <f>+F723</f>
        <v>3543240.6242639106</v>
      </c>
      <c r="G727" s="302">
        <f>+F727*E727*D727</f>
        <v>14172.962497055643</v>
      </c>
      <c r="H727" s="302"/>
      <c r="I727" s="273"/>
      <c r="J727" s="304"/>
      <c r="K727" s="43"/>
      <c r="L727" s="43"/>
    </row>
    <row r="728" spans="1:12">
      <c r="A728" s="280"/>
      <c r="B728" s="305" t="s">
        <v>630</v>
      </c>
      <c r="C728" s="300" t="s">
        <v>625</v>
      </c>
      <c r="D728" s="301">
        <v>4.0000000000000001E-3</v>
      </c>
      <c r="E728" s="302">
        <v>1</v>
      </c>
      <c r="F728" s="302">
        <f>+H691</f>
        <v>195000</v>
      </c>
      <c r="G728" s="302">
        <f>+F728*E728*D728</f>
        <v>780</v>
      </c>
      <c r="H728" s="302"/>
      <c r="I728" s="273"/>
      <c r="J728" s="273"/>
      <c r="K728" s="43"/>
      <c r="L728" s="43"/>
    </row>
    <row r="729" spans="1:12">
      <c r="A729" s="2070" t="s">
        <v>631</v>
      </c>
      <c r="B729" s="2071"/>
      <c r="C729" s="2071"/>
      <c r="D729" s="2071"/>
      <c r="E729" s="2071"/>
      <c r="F729" s="2071"/>
      <c r="G729" s="2072"/>
      <c r="H729" s="306">
        <f>H674+H682+H683++H686+H691+H706+H712+H718+H722+H726</f>
        <v>300556.98905182671</v>
      </c>
      <c r="I729" s="273"/>
      <c r="J729" s="307"/>
      <c r="K729" s="43"/>
      <c r="L729" s="43"/>
    </row>
    <row r="730" spans="1:12">
      <c r="A730" s="2070" t="s">
        <v>632</v>
      </c>
      <c r="B730" s="2071"/>
      <c r="C730" s="2071"/>
      <c r="D730" s="2071"/>
      <c r="E730" s="2071"/>
      <c r="F730" s="2071"/>
      <c r="G730" s="2072"/>
      <c r="H730" s="308">
        <f>+H729/1.18</f>
        <v>254709.31275578536</v>
      </c>
      <c r="I730" s="273"/>
      <c r="J730" s="273" t="s">
        <v>633</v>
      </c>
      <c r="K730" s="43"/>
      <c r="L730" s="43"/>
    </row>
    <row r="731" spans="1:12">
      <c r="A731" s="43"/>
      <c r="B731" s="43"/>
      <c r="C731" s="43"/>
      <c r="D731" s="43"/>
      <c r="E731" s="43"/>
      <c r="F731" s="43"/>
      <c r="G731" s="43"/>
      <c r="H731" s="43"/>
      <c r="I731" s="43"/>
      <c r="J731" s="43"/>
      <c r="K731" s="43"/>
      <c r="L731" s="43"/>
    </row>
    <row r="732" spans="1:12">
      <c r="A732" s="43"/>
      <c r="B732" s="43"/>
      <c r="C732" s="43"/>
      <c r="D732" s="43"/>
      <c r="E732" s="43"/>
      <c r="F732" s="43"/>
      <c r="G732" s="43"/>
      <c r="H732" s="43"/>
      <c r="I732" s="43"/>
      <c r="J732" s="43"/>
      <c r="K732" s="43"/>
      <c r="L732" s="43"/>
    </row>
    <row r="733" spans="1:12">
      <c r="A733" s="43"/>
      <c r="B733" s="43"/>
      <c r="C733" s="43"/>
      <c r="D733" s="43"/>
      <c r="E733" s="43"/>
      <c r="F733" s="43"/>
      <c r="G733" s="43"/>
      <c r="H733" s="43"/>
      <c r="I733" s="309"/>
      <c r="J733" s="43"/>
      <c r="K733" s="43"/>
      <c r="L733" s="43"/>
    </row>
    <row r="736" spans="1:12" ht="14.25" thickBot="1">
      <c r="A736" s="26" t="s">
        <v>655</v>
      </c>
    </row>
    <row r="737" spans="2:6">
      <c r="B737" s="2073" t="s">
        <v>636</v>
      </c>
      <c r="C737" s="2074"/>
      <c r="D737" s="2074"/>
      <c r="E737" s="2074"/>
      <c r="F737" s="2075"/>
    </row>
    <row r="738" spans="2:6" ht="39">
      <c r="B738" s="2076" t="s">
        <v>2</v>
      </c>
      <c r="C738" s="2077"/>
      <c r="D738" s="2077"/>
      <c r="E738" s="2078"/>
      <c r="F738" s="310" t="s">
        <v>637</v>
      </c>
    </row>
    <row r="739" spans="2:6">
      <c r="B739" s="2091" t="s">
        <v>638</v>
      </c>
      <c r="C739" s="2092"/>
      <c r="D739" s="2092"/>
      <c r="E739" s="2092"/>
      <c r="F739" s="311">
        <f>F749+F750</f>
        <v>0</v>
      </c>
    </row>
    <row r="740" spans="2:6">
      <c r="B740" s="2093" t="s">
        <v>639</v>
      </c>
      <c r="C740" s="2096" t="s">
        <v>640</v>
      </c>
      <c r="D740" s="2096"/>
      <c r="E740" s="2096"/>
      <c r="F740" s="312">
        <f>+'[4]Costo Total Inversion'!G831</f>
        <v>0</v>
      </c>
    </row>
    <row r="741" spans="2:6">
      <c r="B741" s="2094"/>
      <c r="C741" s="2084" t="s">
        <v>422</v>
      </c>
      <c r="D741" s="2084"/>
      <c r="E741" s="2084"/>
      <c r="F741" s="313">
        <f>+'[4]Costo Total Inversion'!G835</f>
        <v>0</v>
      </c>
    </row>
    <row r="742" spans="2:6">
      <c r="B742" s="2094"/>
      <c r="C742" s="2097" t="s">
        <v>36</v>
      </c>
      <c r="D742" s="2098"/>
      <c r="E742" s="2099"/>
      <c r="F742" s="2082">
        <f>+'[4]Costo Total Inversion'!G839</f>
        <v>0</v>
      </c>
    </row>
    <row r="743" spans="2:6">
      <c r="B743" s="2094"/>
      <c r="C743" s="2100"/>
      <c r="D743" s="2101"/>
      <c r="E743" s="2102"/>
      <c r="F743" s="2083"/>
    </row>
    <row r="744" spans="2:6">
      <c r="B744" s="2094"/>
      <c r="C744" s="2084" t="s">
        <v>641</v>
      </c>
      <c r="D744" s="2084"/>
      <c r="E744" s="2084"/>
      <c r="F744" s="312">
        <f>+'[4]Costo Total Inversion'!G858</f>
        <v>0</v>
      </c>
    </row>
    <row r="745" spans="2:6">
      <c r="B745" s="2095"/>
      <c r="C745" s="2084" t="s">
        <v>642</v>
      </c>
      <c r="D745" s="2084"/>
      <c r="E745" s="2084"/>
      <c r="F745" s="312">
        <f>+'[4]Costo Total Inversion'!G861</f>
        <v>0</v>
      </c>
    </row>
    <row r="746" spans="2:6">
      <c r="B746" s="314" t="s">
        <v>643</v>
      </c>
      <c r="C746" s="315"/>
      <c r="D746" s="315"/>
      <c r="E746" s="316"/>
      <c r="F746" s="317">
        <f>SUM(F740:F745)</f>
        <v>0</v>
      </c>
    </row>
    <row r="747" spans="2:6">
      <c r="B747" s="318" t="s">
        <v>7</v>
      </c>
      <c r="C747" s="319" t="s">
        <v>644</v>
      </c>
      <c r="D747" s="320"/>
      <c r="E747" s="321"/>
      <c r="F747" s="322">
        <f>+'[4]Costo Total Inversion'!G864</f>
        <v>0</v>
      </c>
    </row>
    <row r="748" spans="2:6" ht="26.25">
      <c r="B748" s="318" t="s">
        <v>12</v>
      </c>
      <c r="C748" s="323" t="s">
        <v>645</v>
      </c>
      <c r="D748" s="324"/>
      <c r="E748" s="325"/>
      <c r="F748" s="322">
        <f>+'[4]Costo Total Inversion'!G865</f>
        <v>0</v>
      </c>
    </row>
    <row r="749" spans="2:6">
      <c r="B749" s="326" t="s">
        <v>646</v>
      </c>
      <c r="C749" s="327"/>
      <c r="D749" s="328"/>
      <c r="E749" s="329"/>
      <c r="F749" s="330">
        <f>+'[4]Costo Total Inversion'!G866</f>
        <v>0</v>
      </c>
    </row>
    <row r="750" spans="2:6">
      <c r="B750" s="318" t="s">
        <v>21</v>
      </c>
      <c r="C750" s="323" t="s">
        <v>647</v>
      </c>
      <c r="D750" s="324"/>
      <c r="E750" s="325"/>
      <c r="F750" s="322">
        <f>+'[4]Costo Total Inversion'!G867</f>
        <v>0</v>
      </c>
    </row>
    <row r="751" spans="2:6">
      <c r="B751" s="331" t="s">
        <v>648</v>
      </c>
      <c r="C751" s="332"/>
      <c r="D751" s="332"/>
      <c r="E751" s="333"/>
      <c r="F751" s="334">
        <f>+'[4]Costo Total Inversion'!G868</f>
        <v>0</v>
      </c>
    </row>
    <row r="752" spans="2:6">
      <c r="B752" s="335" t="s">
        <v>649</v>
      </c>
      <c r="C752" s="336" t="s">
        <v>644</v>
      </c>
      <c r="D752" s="337"/>
      <c r="E752" s="338"/>
      <c r="F752" s="339">
        <f>+'[4]Costo Total Inversion'!G869</f>
        <v>0</v>
      </c>
    </row>
    <row r="753" spans="2:7">
      <c r="B753" s="335" t="s">
        <v>650</v>
      </c>
      <c r="C753" s="337" t="s">
        <v>644</v>
      </c>
      <c r="D753" s="340"/>
      <c r="E753" s="338"/>
      <c r="F753" s="339">
        <f>+'[4]Costo Total Inversion'!G870</f>
        <v>0</v>
      </c>
    </row>
    <row r="754" spans="2:7">
      <c r="B754" s="341" t="s">
        <v>651</v>
      </c>
      <c r="C754" s="2085" t="s">
        <v>644</v>
      </c>
      <c r="D754" s="2086"/>
      <c r="E754" s="2087"/>
      <c r="F754" s="339">
        <f>+'[4]Costo Total Inversion'!G871</f>
        <v>0</v>
      </c>
    </row>
    <row r="755" spans="2:7">
      <c r="B755" s="342" t="s">
        <v>652</v>
      </c>
      <c r="C755" s="343"/>
      <c r="D755" s="343"/>
      <c r="E755" s="344"/>
      <c r="F755" s="334"/>
    </row>
    <row r="756" spans="2:7">
      <c r="B756" s="345" t="s">
        <v>653</v>
      </c>
      <c r="C756" s="2088" t="s">
        <v>644</v>
      </c>
      <c r="D756" s="2089"/>
      <c r="E756" s="2090"/>
      <c r="F756" s="346">
        <f>+'[4]Costo Total Inversion'!G872</f>
        <v>0</v>
      </c>
    </row>
    <row r="757" spans="2:7" ht="14.25" thickBot="1">
      <c r="B757" s="2079" t="s">
        <v>76</v>
      </c>
      <c r="C757" s="2080"/>
      <c r="D757" s="2080"/>
      <c r="E757" s="2081"/>
      <c r="F757" s="347">
        <f>+F751+F756+F752+F753+F754</f>
        <v>0</v>
      </c>
    </row>
    <row r="758" spans="2:7" ht="15">
      <c r="B758" s="348" t="s">
        <v>654</v>
      </c>
      <c r="C758" s="349"/>
      <c r="D758" s="349"/>
      <c r="E758" s="349"/>
      <c r="F758" s="349"/>
    </row>
    <row r="760" spans="2:7" ht="24">
      <c r="B760" s="429" t="s">
        <v>2</v>
      </c>
      <c r="C760" s="27" t="s">
        <v>713</v>
      </c>
      <c r="D760" s="27" t="s">
        <v>859</v>
      </c>
      <c r="E760" s="27" t="s">
        <v>860</v>
      </c>
      <c r="F760" s="27" t="s">
        <v>861</v>
      </c>
      <c r="G760" s="27" t="s">
        <v>862</v>
      </c>
    </row>
    <row r="761" spans="2:7">
      <c r="B761" s="641" t="s">
        <v>241</v>
      </c>
      <c r="C761" s="642"/>
      <c r="D761" s="642"/>
      <c r="E761" s="642"/>
      <c r="F761" s="642"/>
      <c r="G761" s="643"/>
    </row>
    <row r="762" spans="2:7">
      <c r="B762" s="2065" t="s">
        <v>812</v>
      </c>
      <c r="C762" s="2065"/>
      <c r="D762" s="2065"/>
      <c r="E762" s="644" t="e">
        <f>D763</f>
        <v>#REF!</v>
      </c>
      <c r="F762" s="645">
        <f>1/1.18</f>
        <v>0.84745762711864414</v>
      </c>
      <c r="G762" s="644" t="e">
        <f>E762*F762</f>
        <v>#REF!</v>
      </c>
    </row>
    <row r="763" spans="2:7">
      <c r="B763" s="646" t="s">
        <v>56</v>
      </c>
      <c r="C763" s="383" t="s">
        <v>74</v>
      </c>
      <c r="D763" s="647" t="e">
        <f>#REF!</f>
        <v>#REF!</v>
      </c>
      <c r="E763" s="647"/>
      <c r="F763" s="648"/>
      <c r="G763" s="649"/>
    </row>
    <row r="764" spans="2:7">
      <c r="B764" s="650" t="s">
        <v>863</v>
      </c>
      <c r="C764" s="651"/>
      <c r="D764" s="652"/>
      <c r="E764" s="652"/>
      <c r="F764" s="653"/>
      <c r="G764" s="654"/>
    </row>
    <row r="765" spans="2:7">
      <c r="B765" s="646" t="s">
        <v>864</v>
      </c>
      <c r="C765" s="383"/>
      <c r="D765" s="647"/>
      <c r="E765" s="655" t="e">
        <f>SUM(D766:D770)</f>
        <v>#REF!</v>
      </c>
      <c r="F765" s="648"/>
      <c r="G765" s="655" t="e">
        <f>SUM(G766:U770)</f>
        <v>#REF!</v>
      </c>
    </row>
    <row r="766" spans="2:7">
      <c r="B766" s="646" t="s">
        <v>865</v>
      </c>
      <c r="C766" s="383" t="s">
        <v>74</v>
      </c>
      <c r="D766" s="656" t="e">
        <f>+#REF!</f>
        <v>#REF!</v>
      </c>
      <c r="E766" s="647"/>
      <c r="F766" s="657"/>
      <c r="G766" s="647" t="e">
        <f>D766</f>
        <v>#REF!</v>
      </c>
    </row>
    <row r="767" spans="2:7">
      <c r="B767" s="646" t="s">
        <v>866</v>
      </c>
      <c r="C767" s="383" t="s">
        <v>74</v>
      </c>
      <c r="D767" s="647" t="e">
        <f>+#REF!</f>
        <v>#REF!</v>
      </c>
      <c r="E767" s="647"/>
      <c r="F767" s="657"/>
      <c r="G767" s="647" t="e">
        <f>D767</f>
        <v>#REF!</v>
      </c>
    </row>
    <row r="768" spans="2:7">
      <c r="B768" s="646" t="s">
        <v>867</v>
      </c>
      <c r="C768" s="383" t="s">
        <v>74</v>
      </c>
      <c r="D768" s="647" t="e">
        <f>+#REF!</f>
        <v>#REF!</v>
      </c>
      <c r="E768" s="647"/>
      <c r="F768" s="657"/>
      <c r="G768" s="647" t="e">
        <f>D768</f>
        <v>#REF!</v>
      </c>
    </row>
    <row r="769" spans="2:7">
      <c r="B769" s="646" t="s">
        <v>868</v>
      </c>
      <c r="C769" s="383" t="s">
        <v>74</v>
      </c>
      <c r="D769" s="647" t="e">
        <f>+#REF!</f>
        <v>#REF!</v>
      </c>
      <c r="E769" s="647"/>
      <c r="F769" s="657"/>
      <c r="G769" s="647" t="e">
        <f>D769</f>
        <v>#REF!</v>
      </c>
    </row>
    <row r="770" spans="2:7">
      <c r="B770" s="646" t="s">
        <v>869</v>
      </c>
      <c r="C770" s="383" t="s">
        <v>74</v>
      </c>
      <c r="D770" s="647" t="e">
        <f>+#REF!</f>
        <v>#REF!</v>
      </c>
      <c r="E770" s="647"/>
      <c r="F770" s="657"/>
      <c r="G770" s="647" t="e">
        <f>D770</f>
        <v>#REF!</v>
      </c>
    </row>
    <row r="771" spans="2:7">
      <c r="B771" s="646" t="s">
        <v>870</v>
      </c>
      <c r="C771" s="383" t="s">
        <v>74</v>
      </c>
      <c r="D771" s="647" t="e">
        <f>+#REF!</f>
        <v>#REF!</v>
      </c>
      <c r="E771" s="647" t="e">
        <f>D771</f>
        <v>#REF!</v>
      </c>
      <c r="F771" s="383"/>
      <c r="G771" s="647" t="e">
        <f>E771</f>
        <v>#REF!</v>
      </c>
    </row>
    <row r="772" spans="2:7">
      <c r="B772" s="646" t="s">
        <v>871</v>
      </c>
      <c r="C772" s="383" t="s">
        <v>74</v>
      </c>
      <c r="D772" s="647" t="e">
        <f>+#REF!</f>
        <v>#REF!</v>
      </c>
      <c r="E772" s="647" t="e">
        <f>D772</f>
        <v>#REF!</v>
      </c>
      <c r="F772" s="383"/>
      <c r="G772" s="647" t="e">
        <f>E772</f>
        <v>#REF!</v>
      </c>
    </row>
    <row r="773" spans="2:7">
      <c r="B773" s="650" t="s">
        <v>70</v>
      </c>
      <c r="C773" s="658"/>
      <c r="D773" s="652" t="e">
        <f>SUM(D766:D772)</f>
        <v>#REF!</v>
      </c>
      <c r="E773" s="644" t="e">
        <f>SUM(E765:E772)</f>
        <v>#REF!</v>
      </c>
      <c r="F773" s="651"/>
      <c r="G773" s="644" t="e">
        <f>SUM(G771:G772)+G765</f>
        <v>#REF!</v>
      </c>
    </row>
    <row r="774" spans="2:7">
      <c r="B774" s="648" t="s">
        <v>71</v>
      </c>
      <c r="C774" s="648"/>
      <c r="D774" s="647"/>
      <c r="E774" s="647" t="e">
        <f>E773*0.18</f>
        <v>#REF!</v>
      </c>
      <c r="F774" s="383"/>
      <c r="G774" s="647"/>
    </row>
    <row r="775" spans="2:7">
      <c r="B775" s="659" t="s">
        <v>872</v>
      </c>
      <c r="C775" s="651" t="s">
        <v>74</v>
      </c>
      <c r="D775" s="652"/>
      <c r="E775" s="644" t="e">
        <f>E774+E773</f>
        <v>#REF!</v>
      </c>
      <c r="F775" s="651"/>
      <c r="G775" s="644" t="e">
        <f>G773</f>
        <v>#REF!</v>
      </c>
    </row>
    <row r="776" spans="2:7">
      <c r="B776" s="2066" t="s">
        <v>873</v>
      </c>
      <c r="C776" s="2066"/>
      <c r="D776" s="652"/>
      <c r="E776" s="644" t="e">
        <f>D777</f>
        <v>#REF!</v>
      </c>
      <c r="F776" s="645">
        <f>1/1.18</f>
        <v>0.84745762711864414</v>
      </c>
      <c r="G776" s="644" t="e">
        <f>E776*F776</f>
        <v>#REF!</v>
      </c>
    </row>
    <row r="777" spans="2:7">
      <c r="B777" s="648" t="s">
        <v>874</v>
      </c>
      <c r="C777" s="383" t="s">
        <v>74</v>
      </c>
      <c r="D777" s="647" t="e">
        <f>+#REF!</f>
        <v>#REF!</v>
      </c>
      <c r="E777" s="647"/>
      <c r="F777" s="383"/>
      <c r="G777" s="647"/>
    </row>
    <row r="778" spans="2:7">
      <c r="B778" s="660" t="s">
        <v>875</v>
      </c>
      <c r="C778" s="661"/>
      <c r="D778" s="662"/>
      <c r="E778" s="663" t="e">
        <f>E776+E775</f>
        <v>#REF!</v>
      </c>
      <c r="F778" s="664"/>
      <c r="G778" s="663" t="e">
        <f>G776+G775</f>
        <v>#REF!</v>
      </c>
    </row>
    <row r="779" spans="2:7">
      <c r="B779" s="648" t="s">
        <v>478</v>
      </c>
      <c r="C779" s="383" t="s">
        <v>74</v>
      </c>
      <c r="D779" s="647"/>
      <c r="E779" s="647" t="e">
        <f>+#REF!</f>
        <v>#REF!</v>
      </c>
      <c r="F779" s="657">
        <f>1/1.18</f>
        <v>0.84745762711864414</v>
      </c>
      <c r="G779" s="655" t="e">
        <f>E779*F779</f>
        <v>#REF!</v>
      </c>
    </row>
    <row r="780" spans="2:7">
      <c r="B780" s="384" t="s">
        <v>876</v>
      </c>
      <c r="C780" s="383" t="s">
        <v>74</v>
      </c>
      <c r="D780" s="647" t="e">
        <f>+#REF!</f>
        <v>#REF!</v>
      </c>
      <c r="E780" s="656" t="e">
        <f>+D780</f>
        <v>#REF!</v>
      </c>
      <c r="F780" s="657">
        <f>1/1.08</f>
        <v>0.92592592592592582</v>
      </c>
      <c r="G780" s="655" t="e">
        <f>E780*F780</f>
        <v>#REF!</v>
      </c>
    </row>
    <row r="781" spans="2:7">
      <c r="B781" s="2067" t="s">
        <v>877</v>
      </c>
      <c r="C781" s="2067"/>
      <c r="D781" s="2067"/>
      <c r="E781" s="663" t="e">
        <f>E778+E762+E779+E780</f>
        <v>#REF!</v>
      </c>
      <c r="F781" s="661"/>
      <c r="G781" s="663" t="e">
        <f>G779+G778+G762+G780</f>
        <v>#REF!</v>
      </c>
    </row>
    <row r="782" spans="2:7">
      <c r="B782" s="2068" t="s">
        <v>878</v>
      </c>
      <c r="C782" s="2068"/>
      <c r="D782" s="2068"/>
      <c r="E782" s="2068"/>
      <c r="F782" s="2068"/>
      <c r="G782" s="665"/>
    </row>
    <row r="783" spans="2:7">
      <c r="B783" s="665"/>
      <c r="C783" s="665"/>
      <c r="D783" s="665"/>
      <c r="E783" s="665"/>
      <c r="F783" s="665"/>
      <c r="G783" s="665"/>
    </row>
    <row r="784" spans="2:7">
      <c r="B784" s="666"/>
      <c r="C784" s="666"/>
      <c r="D784" s="666"/>
      <c r="E784" s="666"/>
      <c r="F784" s="667"/>
      <c r="G784" s="666"/>
    </row>
    <row r="785" spans="2:7">
      <c r="B785" s="665"/>
      <c r="C785" s="665"/>
      <c r="D785" s="665"/>
      <c r="E785" s="665" t="e">
        <f>+E781='[4]Costo Total Inversion'!G896</f>
        <v>#REF!</v>
      </c>
      <c r="F785" s="665"/>
      <c r="G785" s="665" t="e">
        <f>+G781='[4]Costo Total Inversion'!G897</f>
        <v>#REF!</v>
      </c>
    </row>
    <row r="786" spans="2:7">
      <c r="B786" s="665"/>
      <c r="C786" s="665"/>
      <c r="D786" s="665"/>
      <c r="E786" s="665"/>
      <c r="F786" s="665"/>
      <c r="G786" s="665"/>
    </row>
    <row r="820" spans="1:31">
      <c r="A820" s="26" t="s">
        <v>656</v>
      </c>
    </row>
    <row r="823" spans="1:31" ht="15">
      <c r="B823" s="350" t="s">
        <v>657</v>
      </c>
      <c r="C823" s="350"/>
      <c r="D823" s="350"/>
      <c r="E823" s="350"/>
      <c r="F823" s="350"/>
      <c r="G823" s="350"/>
      <c r="H823" s="350"/>
      <c r="I823" s="350"/>
      <c r="O823" s="350" t="s">
        <v>657</v>
      </c>
      <c r="P823" s="350"/>
      <c r="Q823" s="350"/>
      <c r="R823" s="350"/>
      <c r="S823" s="350"/>
      <c r="T823" s="350"/>
      <c r="U823" s="350"/>
      <c r="V823" s="350"/>
      <c r="W823" s="371"/>
      <c r="X823" s="2150" t="s">
        <v>101</v>
      </c>
      <c r="Y823" s="2150" t="s">
        <v>766</v>
      </c>
      <c r="Z823" s="2116" t="s">
        <v>32</v>
      </c>
      <c r="AA823" s="2116"/>
      <c r="AB823" s="2116" t="s">
        <v>33</v>
      </c>
      <c r="AC823" s="2116"/>
      <c r="AD823" s="2116" t="s">
        <v>34</v>
      </c>
      <c r="AE823" s="2116"/>
    </row>
    <row r="824" spans="1:31" ht="120">
      <c r="B824" s="351" t="s">
        <v>658</v>
      </c>
      <c r="C824" s="352" t="s">
        <v>261</v>
      </c>
      <c r="D824" s="352" t="s">
        <v>659</v>
      </c>
      <c r="E824" s="352" t="s">
        <v>73</v>
      </c>
      <c r="F824" s="353"/>
      <c r="G824" s="353" t="s">
        <v>660</v>
      </c>
      <c r="H824" s="353" t="s">
        <v>661</v>
      </c>
      <c r="I824" s="354" t="s">
        <v>662</v>
      </c>
      <c r="O824" s="351" t="s">
        <v>658</v>
      </c>
      <c r="P824" s="352" t="s">
        <v>261</v>
      </c>
      <c r="Q824" s="352" t="s">
        <v>659</v>
      </c>
      <c r="R824" s="352" t="s">
        <v>73</v>
      </c>
      <c r="S824" s="353"/>
      <c r="T824" s="353" t="s">
        <v>660</v>
      </c>
      <c r="U824" s="353" t="s">
        <v>661</v>
      </c>
      <c r="V824" s="354" t="s">
        <v>662</v>
      </c>
      <c r="W824" s="371"/>
      <c r="X824" s="2150"/>
      <c r="Y824" s="2150"/>
      <c r="Z824" s="2119" t="s">
        <v>767</v>
      </c>
      <c r="AA824" s="2119" t="s">
        <v>768</v>
      </c>
      <c r="AB824" s="2119" t="s">
        <v>769</v>
      </c>
      <c r="AC824" s="2119" t="s">
        <v>768</v>
      </c>
      <c r="AD824" s="2119" t="s">
        <v>770</v>
      </c>
      <c r="AE824" s="2119" t="s">
        <v>768</v>
      </c>
    </row>
    <row r="825" spans="1:31" ht="15">
      <c r="B825" s="355" t="s">
        <v>663</v>
      </c>
      <c r="C825" s="356"/>
      <c r="D825" s="356"/>
      <c r="E825" s="356"/>
      <c r="F825" s="356"/>
      <c r="G825" s="357"/>
      <c r="H825" s="358"/>
      <c r="I825" s="359"/>
      <c r="O825" s="355" t="s">
        <v>663</v>
      </c>
      <c r="P825" s="356"/>
      <c r="Q825" s="356"/>
      <c r="R825" s="356"/>
      <c r="S825" s="356"/>
      <c r="T825" s="357"/>
      <c r="U825" s="358"/>
      <c r="V825" s="359"/>
      <c r="W825" s="371"/>
      <c r="X825" s="2150"/>
      <c r="Y825" s="2150"/>
      <c r="Z825" s="2119"/>
      <c r="AA825" s="2119"/>
      <c r="AB825" s="2119"/>
      <c r="AC825" s="2119"/>
      <c r="AD825" s="2119"/>
      <c r="AE825" s="2119"/>
    </row>
    <row r="826" spans="1:31" ht="409.5">
      <c r="B826" s="360" t="s">
        <v>664</v>
      </c>
      <c r="C826" s="361" t="s">
        <v>665</v>
      </c>
      <c r="D826" s="362" t="s">
        <v>666</v>
      </c>
      <c r="E826" s="362">
        <v>1</v>
      </c>
      <c r="F826" s="362"/>
      <c r="G826" s="363">
        <v>362.40000000000003</v>
      </c>
      <c r="H826" s="364">
        <v>0.84745762711864414</v>
      </c>
      <c r="I826" s="365">
        <f>+G826*H826</f>
        <v>307.11864406779665</v>
      </c>
      <c r="O826" s="360" t="s">
        <v>664</v>
      </c>
      <c r="P826" s="361" t="s">
        <v>665</v>
      </c>
      <c r="Q826" s="362" t="s">
        <v>666</v>
      </c>
      <c r="R826" s="362">
        <v>1</v>
      </c>
      <c r="S826" s="362"/>
      <c r="T826" s="363">
        <f>+Y826*Z826</f>
        <v>362.40000000000003</v>
      </c>
      <c r="U826" s="364">
        <v>0.84745762711864414</v>
      </c>
      <c r="V826" s="365">
        <f>+T826*U826</f>
        <v>307.11864406779665</v>
      </c>
      <c r="W826" s="514"/>
      <c r="X826" s="515" t="s">
        <v>771</v>
      </c>
      <c r="Y826" s="516">
        <f>3000+4248</f>
        <v>7248</v>
      </c>
      <c r="Z826" s="517">
        <v>0.05</v>
      </c>
      <c r="AA826" s="516">
        <f>Y826*Z826</f>
        <v>362.40000000000003</v>
      </c>
      <c r="AB826" s="517">
        <v>0.55000000000000004</v>
      </c>
      <c r="AC826" s="516">
        <f>AB826*Y826</f>
        <v>3986.4000000000005</v>
      </c>
      <c r="AD826" s="517">
        <v>0.4</v>
      </c>
      <c r="AE826" s="516">
        <f>AD826*Y826</f>
        <v>2899.2000000000003</v>
      </c>
    </row>
    <row r="827" spans="1:31" ht="15">
      <c r="B827" s="366" t="s">
        <v>667</v>
      </c>
      <c r="C827" s="367"/>
      <c r="D827" s="367"/>
      <c r="E827" s="367"/>
      <c r="F827" s="367"/>
      <c r="G827" s="368">
        <f>SUM(G826:G826)</f>
        <v>362.40000000000003</v>
      </c>
      <c r="H827" s="369"/>
      <c r="I827" s="370">
        <f>SUM(I826:I826)</f>
        <v>307.11864406779665</v>
      </c>
      <c r="O827" s="366" t="s">
        <v>667</v>
      </c>
      <c r="P827" s="367"/>
      <c r="Q827" s="367"/>
      <c r="R827" s="367"/>
      <c r="S827" s="367"/>
      <c r="T827" s="368">
        <f>SUM(T826:T826)</f>
        <v>362.40000000000003</v>
      </c>
      <c r="U827" s="369"/>
      <c r="V827" s="370">
        <f>SUM(V826:V826)</f>
        <v>307.11864406779665</v>
      </c>
      <c r="W827" s="514"/>
      <c r="X827" s="518" t="s">
        <v>708</v>
      </c>
      <c r="Y827" s="519"/>
      <c r="Z827" s="519"/>
      <c r="AA827" s="519"/>
      <c r="AB827" s="519"/>
      <c r="AC827" s="519"/>
      <c r="AD827" s="519"/>
      <c r="AE827" s="519"/>
    </row>
    <row r="828" spans="1:31" ht="15">
      <c r="B828" s="371" t="s">
        <v>668</v>
      </c>
      <c r="C828" s="372"/>
      <c r="D828" s="372"/>
      <c r="E828" s="372"/>
      <c r="F828" s="372"/>
      <c r="G828" s="372"/>
      <c r="H828" s="372"/>
      <c r="I828" s="372"/>
      <c r="O828" s="371" t="s">
        <v>668</v>
      </c>
      <c r="P828" s="372"/>
      <c r="Q828" s="372"/>
      <c r="R828" s="372"/>
      <c r="S828" s="372"/>
      <c r="T828" s="372"/>
      <c r="U828" s="372"/>
      <c r="V828" s="372"/>
      <c r="W828" s="371"/>
      <c r="X828" s="520"/>
      <c r="Y828" s="520"/>
      <c r="Z828" s="520"/>
      <c r="AA828" s="520"/>
      <c r="AB828" s="520"/>
      <c r="AC828" s="520"/>
      <c r="AD828" s="520"/>
      <c r="AE828" s="520"/>
    </row>
    <row r="829" spans="1:31" ht="15">
      <c r="B829" s="371"/>
      <c r="C829" s="372"/>
      <c r="D829" s="372"/>
      <c r="E829" s="372"/>
      <c r="F829" s="372"/>
      <c r="G829" s="372"/>
      <c r="H829" s="372"/>
      <c r="I829" s="372"/>
      <c r="O829" s="371"/>
      <c r="P829" s="372"/>
      <c r="Q829" s="372"/>
      <c r="R829" s="372"/>
      <c r="S829" s="372"/>
      <c r="T829" s="372"/>
      <c r="U829" s="372"/>
      <c r="V829" s="372"/>
      <c r="W829" s="371"/>
      <c r="X829" s="371"/>
      <c r="Y829" s="371"/>
      <c r="Z829" s="371"/>
      <c r="AA829" s="371"/>
      <c r="AB829" s="371"/>
      <c r="AC829" s="371"/>
      <c r="AD829" s="371"/>
      <c r="AE829" s="371"/>
    </row>
    <row r="830" spans="1:31" ht="15">
      <c r="B830" s="373" t="s">
        <v>669</v>
      </c>
      <c r="C830" s="374"/>
      <c r="D830" s="374"/>
      <c r="E830" s="374"/>
      <c r="F830" s="372"/>
      <c r="G830" s="372"/>
      <c r="H830" s="372"/>
      <c r="I830" s="372"/>
      <c r="O830" s="373" t="s">
        <v>669</v>
      </c>
      <c r="P830" s="374"/>
      <c r="Q830" s="374"/>
      <c r="R830" s="374"/>
      <c r="S830" s="372"/>
      <c r="T830" s="372"/>
      <c r="U830" s="372"/>
      <c r="V830" s="372"/>
      <c r="W830" s="371"/>
      <c r="X830" s="371"/>
      <c r="Y830" s="371"/>
      <c r="Z830" s="371"/>
      <c r="AA830" s="371"/>
      <c r="AB830" s="371"/>
      <c r="AC830" s="371"/>
      <c r="AD830" s="371"/>
      <c r="AE830" s="371"/>
    </row>
    <row r="831" spans="1:31" ht="75" customHeight="1">
      <c r="B831" s="351" t="s">
        <v>670</v>
      </c>
      <c r="C831" s="353" t="s">
        <v>671</v>
      </c>
      <c r="D831" s="354" t="s">
        <v>672</v>
      </c>
      <c r="E831" s="372"/>
      <c r="F831" s="372"/>
      <c r="G831" s="372"/>
      <c r="H831" s="372"/>
      <c r="I831" s="372"/>
      <c r="O831" s="351" t="s">
        <v>670</v>
      </c>
      <c r="P831" s="353" t="s">
        <v>671</v>
      </c>
      <c r="Q831" s="354" t="s">
        <v>672</v>
      </c>
      <c r="R831" s="372"/>
      <c r="S831" s="372"/>
      <c r="T831" s="372"/>
      <c r="U831" s="372"/>
      <c r="V831" s="372"/>
      <c r="W831" s="371"/>
      <c r="X831" s="2151" t="s">
        <v>101</v>
      </c>
      <c r="Y831" s="2154" t="s">
        <v>766</v>
      </c>
      <c r="Z831" s="2157" t="s">
        <v>32</v>
      </c>
      <c r="AA831" s="2157"/>
      <c r="AB831" s="2157" t="s">
        <v>33</v>
      </c>
      <c r="AC831" s="2157"/>
      <c r="AD831" s="2157" t="s">
        <v>34</v>
      </c>
      <c r="AE831" s="2157"/>
    </row>
    <row r="832" spans="1:31" ht="15" customHeight="1">
      <c r="B832" s="375" t="s">
        <v>673</v>
      </c>
      <c r="C832" s="376">
        <f>+G827</f>
        <v>362.40000000000003</v>
      </c>
      <c r="D832" s="377">
        <f>+I827</f>
        <v>307.11864406779665</v>
      </c>
      <c r="E832" s="372"/>
      <c r="F832" s="372"/>
      <c r="G832" s="372"/>
      <c r="H832" s="372"/>
      <c r="I832" s="372"/>
      <c r="O832" s="375" t="s">
        <v>673</v>
      </c>
      <c r="P832" s="376">
        <f>+T827</f>
        <v>362.40000000000003</v>
      </c>
      <c r="Q832" s="377">
        <f>+V827</f>
        <v>307.11864406779665</v>
      </c>
      <c r="R832" s="372"/>
      <c r="S832" s="372"/>
      <c r="T832" s="372"/>
      <c r="U832" s="372"/>
      <c r="V832" s="372"/>
      <c r="W832" s="371"/>
      <c r="X832" s="2152"/>
      <c r="Y832" s="2155"/>
      <c r="Z832" s="2117" t="s">
        <v>767</v>
      </c>
      <c r="AA832" s="2117" t="s">
        <v>768</v>
      </c>
      <c r="AB832" s="2117" t="s">
        <v>769</v>
      </c>
      <c r="AC832" s="2117" t="s">
        <v>768</v>
      </c>
      <c r="AD832" s="2117" t="s">
        <v>770</v>
      </c>
      <c r="AE832" s="2117" t="s">
        <v>768</v>
      </c>
    </row>
    <row r="833" spans="2:31" ht="15" customHeight="1">
      <c r="B833" s="378" t="s">
        <v>674</v>
      </c>
      <c r="C833" s="379">
        <f>SUM(C832:C832)</f>
        <v>362.40000000000003</v>
      </c>
      <c r="D833" s="380">
        <f>SUM(D832:D832)</f>
        <v>307.11864406779665</v>
      </c>
      <c r="E833" s="372"/>
      <c r="F833" s="372"/>
      <c r="G833" s="372"/>
      <c r="H833" s="372"/>
      <c r="I833" s="372"/>
      <c r="O833" s="378" t="s">
        <v>674</v>
      </c>
      <c r="P833" s="379">
        <f>SUM(P832:P832)</f>
        <v>362.40000000000003</v>
      </c>
      <c r="Q833" s="380">
        <f>SUM(Q832:Q832)</f>
        <v>307.11864406779665</v>
      </c>
      <c r="R833" s="372"/>
      <c r="S833" s="372"/>
      <c r="T833" s="372"/>
      <c r="U833" s="372"/>
      <c r="V833" s="372"/>
      <c r="W833" s="371"/>
      <c r="X833" s="2153"/>
      <c r="Y833" s="2156"/>
      <c r="Z833" s="2118"/>
      <c r="AA833" s="2118"/>
      <c r="AB833" s="2118"/>
      <c r="AC833" s="2118"/>
      <c r="AD833" s="2118"/>
      <c r="AE833" s="2118"/>
    </row>
    <row r="834" spans="2:31" ht="15">
      <c r="O834" s="371"/>
      <c r="P834" s="372"/>
      <c r="Q834" s="372"/>
      <c r="R834" s="372"/>
      <c r="S834" s="372"/>
      <c r="T834" s="372"/>
      <c r="U834" s="372"/>
      <c r="V834" s="372"/>
      <c r="W834" s="371"/>
      <c r="X834" s="521" t="s">
        <v>702</v>
      </c>
      <c r="Y834" s="522">
        <v>7433.52</v>
      </c>
      <c r="Z834" s="523">
        <v>0.05</v>
      </c>
      <c r="AA834" s="522">
        <f>Y834*Z834</f>
        <v>371.67600000000004</v>
      </c>
      <c r="AB834" s="523">
        <v>0.55000000000000004</v>
      </c>
      <c r="AC834" s="522">
        <f>AB834*Y834</f>
        <v>4088.4360000000006</v>
      </c>
      <c r="AD834" s="523">
        <v>0.4</v>
      </c>
      <c r="AE834" s="522">
        <f>AD834*Y834</f>
        <v>2973.4080000000004</v>
      </c>
    </row>
    <row r="835" spans="2:31" ht="15">
      <c r="O835" s="371"/>
      <c r="P835" s="372"/>
      <c r="Q835" s="372"/>
      <c r="R835" s="372"/>
      <c r="S835" s="372"/>
      <c r="T835" s="372"/>
      <c r="U835" s="372"/>
      <c r="V835" s="372"/>
      <c r="W835" s="371"/>
      <c r="X835" s="43" t="s">
        <v>708</v>
      </c>
      <c r="Y835" s="524"/>
      <c r="Z835" s="523">
        <v>1.05</v>
      </c>
      <c r="AA835" s="522">
        <f t="shared" ref="AA835:AA845" si="27">Y835*Z835</f>
        <v>0</v>
      </c>
      <c r="AB835" s="523">
        <v>1.55</v>
      </c>
      <c r="AC835" s="522">
        <f t="shared" ref="AC835:AC846" si="28">AB835*Y835</f>
        <v>0</v>
      </c>
      <c r="AD835" s="523">
        <v>1.4</v>
      </c>
      <c r="AE835" s="522">
        <f t="shared" ref="AE835:AE846" si="29">AD835*Y835</f>
        <v>0</v>
      </c>
    </row>
    <row r="836" spans="2:31" ht="15">
      <c r="O836" s="2145" t="s">
        <v>772</v>
      </c>
      <c r="P836" s="2145"/>
      <c r="Q836" s="2145"/>
      <c r="R836" s="2145"/>
      <c r="S836" s="2145"/>
      <c r="T836" s="2145"/>
      <c r="U836" s="2145"/>
      <c r="V836" s="2145"/>
      <c r="W836" s="2145"/>
      <c r="X836" s="2145"/>
      <c r="Y836" s="2145"/>
      <c r="Z836" s="523">
        <v>2.0499999999999998</v>
      </c>
      <c r="AA836" s="522">
        <f t="shared" si="27"/>
        <v>0</v>
      </c>
      <c r="AB836" s="523">
        <v>2.5499999999999998</v>
      </c>
      <c r="AC836" s="522">
        <f t="shared" si="28"/>
        <v>0</v>
      </c>
      <c r="AD836" s="523">
        <v>2.4</v>
      </c>
      <c r="AE836" s="522">
        <f t="shared" si="29"/>
        <v>0</v>
      </c>
    </row>
    <row r="837" spans="2:31" ht="15">
      <c r="O837" s="2146" t="s">
        <v>656</v>
      </c>
      <c r="P837" s="2147" t="s">
        <v>773</v>
      </c>
      <c r="Q837" s="2147"/>
      <c r="R837" s="2147"/>
      <c r="S837" s="2147"/>
      <c r="T837" s="2147"/>
      <c r="U837" s="2147"/>
      <c r="V837" s="2147"/>
      <c r="W837" s="2147"/>
      <c r="X837" s="2147"/>
      <c r="Y837" s="2147"/>
      <c r="Z837" s="523">
        <v>3.05</v>
      </c>
      <c r="AA837" s="522">
        <f t="shared" si="27"/>
        <v>0</v>
      </c>
      <c r="AB837" s="523">
        <v>3.55</v>
      </c>
      <c r="AC837" s="522">
        <f t="shared" si="28"/>
        <v>0</v>
      </c>
      <c r="AD837" s="523">
        <v>3.4</v>
      </c>
      <c r="AE837" s="522">
        <f t="shared" si="29"/>
        <v>0</v>
      </c>
    </row>
    <row r="838" spans="2:31" ht="15">
      <c r="O838" s="2146"/>
      <c r="P838" s="525">
        <v>1</v>
      </c>
      <c r="Q838" s="525">
        <f t="shared" ref="Q838:Y838" si="30">+P838+1</f>
        <v>2</v>
      </c>
      <c r="R838" s="525">
        <f t="shared" si="30"/>
        <v>3</v>
      </c>
      <c r="S838" s="525">
        <f t="shared" si="30"/>
        <v>4</v>
      </c>
      <c r="T838" s="525">
        <f t="shared" si="30"/>
        <v>5</v>
      </c>
      <c r="U838" s="525">
        <f t="shared" si="30"/>
        <v>6</v>
      </c>
      <c r="V838" s="525">
        <f t="shared" si="30"/>
        <v>7</v>
      </c>
      <c r="W838" s="525">
        <f t="shared" si="30"/>
        <v>8</v>
      </c>
      <c r="X838" s="525">
        <f t="shared" si="30"/>
        <v>9</v>
      </c>
      <c r="Y838" s="525">
        <f t="shared" si="30"/>
        <v>10</v>
      </c>
      <c r="Z838" s="523">
        <v>4.05</v>
      </c>
      <c r="AA838" s="522">
        <f t="shared" si="27"/>
        <v>40.5</v>
      </c>
      <c r="AB838" s="523">
        <v>4.55</v>
      </c>
      <c r="AC838" s="522">
        <f t="shared" si="28"/>
        <v>45.5</v>
      </c>
      <c r="AD838" s="523">
        <v>4.4000000000000004</v>
      </c>
      <c r="AE838" s="522">
        <f t="shared" si="29"/>
        <v>44</v>
      </c>
    </row>
    <row r="839" spans="2:31" ht="15">
      <c r="O839" s="526" t="s">
        <v>774</v>
      </c>
      <c r="P839" s="527"/>
      <c r="Q839" s="527"/>
      <c r="R839" s="527"/>
      <c r="S839" s="527"/>
      <c r="T839" s="527"/>
      <c r="U839" s="527"/>
      <c r="V839" s="527"/>
      <c r="W839" s="528"/>
      <c r="X839" s="528"/>
      <c r="Y839" s="528"/>
      <c r="Z839" s="523">
        <v>5.05</v>
      </c>
      <c r="AA839" s="522">
        <f t="shared" si="27"/>
        <v>0</v>
      </c>
      <c r="AB839" s="523">
        <v>5.55</v>
      </c>
      <c r="AC839" s="522">
        <f t="shared" si="28"/>
        <v>0</v>
      </c>
      <c r="AD839" s="523">
        <v>5.4</v>
      </c>
      <c r="AE839" s="522">
        <f t="shared" si="29"/>
        <v>0</v>
      </c>
    </row>
    <row r="840" spans="2:31" ht="15">
      <c r="B840" s="43"/>
      <c r="C840" s="43"/>
      <c r="D840" s="43"/>
      <c r="E840" s="43"/>
      <c r="F840" s="43"/>
      <c r="G840" s="43"/>
      <c r="H840" s="43"/>
      <c r="I840" s="43"/>
      <c r="J840" s="43"/>
      <c r="K840" s="43"/>
      <c r="L840" s="43"/>
      <c r="M840" s="43"/>
      <c r="O840" s="529" t="s">
        <v>775</v>
      </c>
      <c r="P840" s="527">
        <f>+V827</f>
        <v>307.11864406779665</v>
      </c>
      <c r="Q840" s="527">
        <f t="shared" ref="Q840:Y840" si="31">+P840</f>
        <v>307.11864406779665</v>
      </c>
      <c r="R840" s="527">
        <f t="shared" si="31"/>
        <v>307.11864406779665</v>
      </c>
      <c r="S840" s="527">
        <f t="shared" si="31"/>
        <v>307.11864406779665</v>
      </c>
      <c r="T840" s="527">
        <f t="shared" si="31"/>
        <v>307.11864406779665</v>
      </c>
      <c r="U840" s="527">
        <f t="shared" si="31"/>
        <v>307.11864406779665</v>
      </c>
      <c r="V840" s="527">
        <f t="shared" si="31"/>
        <v>307.11864406779665</v>
      </c>
      <c r="W840" s="528">
        <f t="shared" si="31"/>
        <v>307.11864406779665</v>
      </c>
      <c r="X840" s="528">
        <f t="shared" si="31"/>
        <v>307.11864406779665</v>
      </c>
      <c r="Y840" s="528">
        <f t="shared" si="31"/>
        <v>307.11864406779665</v>
      </c>
      <c r="Z840" s="523">
        <v>6.05</v>
      </c>
      <c r="AA840" s="522">
        <f t="shared" si="27"/>
        <v>1858.0677966101696</v>
      </c>
      <c r="AB840" s="523">
        <v>6.55</v>
      </c>
      <c r="AC840" s="522">
        <f t="shared" si="28"/>
        <v>2011.6271186440681</v>
      </c>
      <c r="AD840" s="523">
        <v>6.4</v>
      </c>
      <c r="AE840" s="522">
        <f t="shared" si="29"/>
        <v>1965.5593220338988</v>
      </c>
    </row>
    <row r="841" spans="2:31" ht="15">
      <c r="B841" s="2064" t="s">
        <v>675</v>
      </c>
      <c r="C841" s="2064"/>
      <c r="D841" s="2064"/>
      <c r="E841" s="2064"/>
      <c r="F841" s="2064"/>
      <c r="G841" s="2064"/>
      <c r="H841" s="43"/>
      <c r="I841" s="43"/>
      <c r="J841" s="381"/>
      <c r="K841" s="381" t="s">
        <v>676</v>
      </c>
      <c r="L841" s="381" t="s">
        <v>677</v>
      </c>
      <c r="M841" s="381"/>
      <c r="O841" s="530" t="s">
        <v>776</v>
      </c>
      <c r="P841" s="531">
        <f t="shared" ref="P841:Y841" si="32">+P840</f>
        <v>307.11864406779665</v>
      </c>
      <c r="Q841" s="531">
        <f t="shared" si="32"/>
        <v>307.11864406779665</v>
      </c>
      <c r="R841" s="531">
        <f t="shared" si="32"/>
        <v>307.11864406779665</v>
      </c>
      <c r="S841" s="531">
        <f t="shared" si="32"/>
        <v>307.11864406779665</v>
      </c>
      <c r="T841" s="531">
        <f t="shared" si="32"/>
        <v>307.11864406779665</v>
      </c>
      <c r="U841" s="531">
        <f t="shared" si="32"/>
        <v>307.11864406779665</v>
      </c>
      <c r="V841" s="531">
        <f t="shared" si="32"/>
        <v>307.11864406779665</v>
      </c>
      <c r="W841" s="532">
        <f t="shared" si="32"/>
        <v>307.11864406779665</v>
      </c>
      <c r="X841" s="532">
        <f t="shared" si="32"/>
        <v>307.11864406779665</v>
      </c>
      <c r="Y841" s="532">
        <f t="shared" si="32"/>
        <v>307.11864406779665</v>
      </c>
      <c r="Z841" s="523">
        <v>7.05</v>
      </c>
      <c r="AA841" s="522">
        <f t="shared" si="27"/>
        <v>2165.1864406779664</v>
      </c>
      <c r="AB841" s="523">
        <v>7.55</v>
      </c>
      <c r="AC841" s="522">
        <f t="shared" si="28"/>
        <v>2318.7457627118647</v>
      </c>
      <c r="AD841" s="523">
        <v>7.4</v>
      </c>
      <c r="AE841" s="522">
        <f t="shared" si="29"/>
        <v>2272.6779661016953</v>
      </c>
    </row>
    <row r="842" spans="2:31" ht="24">
      <c r="B842" s="27" t="s">
        <v>678</v>
      </c>
      <c r="C842" s="27" t="s">
        <v>679</v>
      </c>
      <c r="D842" s="27" t="s">
        <v>680</v>
      </c>
      <c r="E842" s="27" t="s">
        <v>681</v>
      </c>
      <c r="F842" s="27" t="s">
        <v>682</v>
      </c>
      <c r="G842" s="27" t="s">
        <v>683</v>
      </c>
      <c r="H842" s="43"/>
      <c r="I842" s="382"/>
      <c r="J842" s="383" t="s">
        <v>684</v>
      </c>
      <c r="K842" s="384">
        <v>300</v>
      </c>
      <c r="L842" s="384">
        <f>1*300</f>
        <v>300</v>
      </c>
      <c r="M842" s="381"/>
      <c r="O842" s="371"/>
      <c r="P842" s="372"/>
      <c r="Q842" s="372"/>
      <c r="R842" s="372"/>
      <c r="S842" s="372"/>
      <c r="T842" s="372"/>
      <c r="U842" s="372"/>
      <c r="V842" s="372"/>
      <c r="W842" s="371"/>
      <c r="X842" s="371"/>
      <c r="Y842" s="371"/>
      <c r="Z842" s="523">
        <v>8.0500000000000007</v>
      </c>
      <c r="AA842" s="522">
        <f t="shared" si="27"/>
        <v>0</v>
      </c>
      <c r="AB842" s="523">
        <v>8.5500000000000007</v>
      </c>
      <c r="AC842" s="522">
        <f t="shared" si="28"/>
        <v>0</v>
      </c>
      <c r="AD842" s="523">
        <v>8.4</v>
      </c>
      <c r="AE842" s="522">
        <f t="shared" si="29"/>
        <v>0</v>
      </c>
    </row>
    <row r="843" spans="2:31" ht="15">
      <c r="B843" s="385" t="s">
        <v>685</v>
      </c>
      <c r="C843" s="385" t="s">
        <v>686</v>
      </c>
      <c r="D843" s="386">
        <v>1943.63</v>
      </c>
      <c r="E843" s="426">
        <f>+$L$844*2</f>
        <v>600</v>
      </c>
      <c r="F843" s="386">
        <f t="shared" ref="F843:F849" si="33">(D843*12)+E843</f>
        <v>23923.56</v>
      </c>
      <c r="G843" s="386">
        <f t="shared" ref="G843:G849" si="34">F843/1</f>
        <v>23923.56</v>
      </c>
      <c r="H843" s="43"/>
      <c r="I843" s="382"/>
      <c r="J843" s="383" t="s">
        <v>687</v>
      </c>
      <c r="K843" s="384">
        <v>300</v>
      </c>
      <c r="L843" s="384">
        <v>0</v>
      </c>
      <c r="M843" s="381"/>
      <c r="O843" s="371"/>
      <c r="P843" s="372"/>
      <c r="Q843" s="372"/>
      <c r="R843" s="372"/>
      <c r="S843" s="372"/>
      <c r="T843" s="372"/>
      <c r="U843" s="372"/>
      <c r="V843" s="372"/>
      <c r="W843" s="371"/>
      <c r="X843" s="371"/>
      <c r="Y843" s="371"/>
      <c r="Z843" s="523">
        <v>9.0500000000000007</v>
      </c>
      <c r="AA843" s="522">
        <f t="shared" si="27"/>
        <v>0</v>
      </c>
      <c r="AB843" s="523">
        <v>9.5500000000000007</v>
      </c>
      <c r="AC843" s="522">
        <f t="shared" si="28"/>
        <v>0</v>
      </c>
      <c r="AD843" s="523">
        <v>9.4</v>
      </c>
      <c r="AE843" s="522">
        <f t="shared" si="29"/>
        <v>0</v>
      </c>
    </row>
    <row r="844" spans="2:31" ht="15">
      <c r="B844" s="385" t="s">
        <v>688</v>
      </c>
      <c r="C844" s="385" t="s">
        <v>689</v>
      </c>
      <c r="D844" s="386">
        <v>1396</v>
      </c>
      <c r="E844" s="426">
        <f>+L844</f>
        <v>300</v>
      </c>
      <c r="F844" s="386">
        <f t="shared" si="33"/>
        <v>17052</v>
      </c>
      <c r="G844" s="386">
        <f t="shared" si="34"/>
        <v>17052</v>
      </c>
      <c r="H844" s="43"/>
      <c r="I844" s="382"/>
      <c r="J844" s="387" t="s">
        <v>76</v>
      </c>
      <c r="K844" s="388">
        <f>SUM(K842:K843)</f>
        <v>600</v>
      </c>
      <c r="L844" s="388">
        <f>SUM(L842:L843)</f>
        <v>300</v>
      </c>
      <c r="M844" s="389"/>
      <c r="O844" s="371"/>
      <c r="P844" s="372"/>
      <c r="Q844" s="372"/>
      <c r="R844" s="372"/>
      <c r="S844" s="372"/>
      <c r="T844" s="372"/>
      <c r="U844" s="372"/>
      <c r="V844" s="372"/>
      <c r="W844" s="371"/>
      <c r="X844" s="371"/>
      <c r="Y844" s="371"/>
      <c r="Z844" s="523">
        <v>10.050000000000001</v>
      </c>
      <c r="AA844" s="522">
        <f t="shared" si="27"/>
        <v>0</v>
      </c>
      <c r="AB844" s="523">
        <v>10.55</v>
      </c>
      <c r="AC844" s="522">
        <f t="shared" si="28"/>
        <v>0</v>
      </c>
      <c r="AD844" s="523">
        <v>10.4</v>
      </c>
      <c r="AE844" s="522">
        <f t="shared" si="29"/>
        <v>0</v>
      </c>
    </row>
    <row r="845" spans="2:31" ht="15">
      <c r="B845" s="385" t="s">
        <v>688</v>
      </c>
      <c r="C845" s="385" t="s">
        <v>689</v>
      </c>
      <c r="D845" s="386">
        <v>1396</v>
      </c>
      <c r="E845" s="426">
        <f>+L844</f>
        <v>300</v>
      </c>
      <c r="F845" s="386">
        <f t="shared" si="33"/>
        <v>17052</v>
      </c>
      <c r="G845" s="386">
        <f t="shared" si="34"/>
        <v>17052</v>
      </c>
      <c r="H845" s="43"/>
      <c r="I845" s="382"/>
      <c r="J845" s="43" t="s">
        <v>690</v>
      </c>
      <c r="K845" s="390"/>
      <c r="L845" s="390"/>
      <c r="M845" s="389"/>
      <c r="O845" s="371"/>
      <c r="P845" s="372"/>
      <c r="Q845" s="372"/>
      <c r="R845" s="372"/>
      <c r="S845" s="372"/>
      <c r="T845" s="372"/>
      <c r="U845" s="372"/>
      <c r="V845" s="372"/>
      <c r="W845" s="371"/>
      <c r="X845" s="371"/>
      <c r="Y845" s="371"/>
      <c r="Z845" s="523">
        <v>11.05</v>
      </c>
      <c r="AA845" s="522">
        <f t="shared" si="27"/>
        <v>0</v>
      </c>
      <c r="AB845" s="523">
        <v>11.55</v>
      </c>
      <c r="AC845" s="522">
        <f t="shared" si="28"/>
        <v>0</v>
      </c>
      <c r="AD845" s="523">
        <v>11.4</v>
      </c>
      <c r="AE845" s="522">
        <f t="shared" si="29"/>
        <v>0</v>
      </c>
    </row>
    <row r="846" spans="2:31" ht="15">
      <c r="B846" s="385" t="s">
        <v>688</v>
      </c>
      <c r="C846" s="385" t="s">
        <v>686</v>
      </c>
      <c r="D846" s="386">
        <v>1943.63</v>
      </c>
      <c r="E846" s="426">
        <f>+K844</f>
        <v>600</v>
      </c>
      <c r="F846" s="386">
        <f t="shared" si="33"/>
        <v>23923.56</v>
      </c>
      <c r="G846" s="386">
        <f t="shared" si="34"/>
        <v>23923.56</v>
      </c>
      <c r="H846" s="43"/>
      <c r="I846" s="382"/>
      <c r="J846" s="391"/>
      <c r="K846" s="390"/>
      <c r="L846" s="390"/>
      <c r="M846" s="389"/>
      <c r="O846" s="371"/>
      <c r="P846" s="372"/>
      <c r="Q846" s="372"/>
      <c r="R846" s="372"/>
      <c r="S846" s="372"/>
      <c r="T846" s="372"/>
      <c r="U846" s="372"/>
      <c r="V846" s="372"/>
      <c r="W846" s="371"/>
      <c r="X846" s="521" t="s">
        <v>704</v>
      </c>
      <c r="Y846" s="522">
        <v>12000</v>
      </c>
      <c r="Z846" s="523">
        <f>+Z834</f>
        <v>0.05</v>
      </c>
      <c r="AA846" s="522">
        <f>Y846*Z846</f>
        <v>600</v>
      </c>
      <c r="AB846" s="523">
        <f>+AB834</f>
        <v>0.55000000000000004</v>
      </c>
      <c r="AC846" s="522">
        <f t="shared" si="28"/>
        <v>6600.0000000000009</v>
      </c>
      <c r="AD846" s="523">
        <f>+AD834</f>
        <v>0.4</v>
      </c>
      <c r="AE846" s="522">
        <f t="shared" si="29"/>
        <v>4800</v>
      </c>
    </row>
    <row r="847" spans="2:31" ht="15">
      <c r="B847" s="385" t="s">
        <v>688</v>
      </c>
      <c r="C847" s="385" t="s">
        <v>689</v>
      </c>
      <c r="D847" s="386">
        <v>1943.63</v>
      </c>
      <c r="E847" s="426">
        <f>+L844</f>
        <v>300</v>
      </c>
      <c r="F847" s="386">
        <f t="shared" si="33"/>
        <v>23623.56</v>
      </c>
      <c r="G847" s="386">
        <f t="shared" si="34"/>
        <v>23623.56</v>
      </c>
      <c r="H847" s="43"/>
      <c r="I847" s="382"/>
      <c r="J847" s="391"/>
      <c r="K847" s="390"/>
      <c r="L847" s="390"/>
      <c r="M847" s="389"/>
      <c r="O847" s="371"/>
      <c r="P847" s="372"/>
      <c r="Q847" s="372"/>
      <c r="R847" s="372"/>
      <c r="S847" s="372"/>
      <c r="T847" s="372"/>
      <c r="U847" s="372"/>
      <c r="V847" s="372"/>
      <c r="W847" s="371"/>
      <c r="X847" s="43" t="s">
        <v>708</v>
      </c>
      <c r="Y847" s="371"/>
      <c r="Z847" s="371"/>
      <c r="AA847" s="371"/>
      <c r="AB847" s="371"/>
      <c r="AC847" s="371"/>
      <c r="AD847" s="371"/>
      <c r="AE847" s="371"/>
    </row>
    <row r="848" spans="2:31" ht="15">
      <c r="B848" s="385" t="s">
        <v>691</v>
      </c>
      <c r="C848" s="385" t="s">
        <v>686</v>
      </c>
      <c r="D848" s="386">
        <v>1292.4000000000001</v>
      </c>
      <c r="E848" s="426">
        <f>+K844</f>
        <v>600</v>
      </c>
      <c r="F848" s="386">
        <f t="shared" si="33"/>
        <v>16108.800000000001</v>
      </c>
      <c r="G848" s="386">
        <f t="shared" si="34"/>
        <v>16108.800000000001</v>
      </c>
      <c r="H848" s="43"/>
      <c r="I848" s="382"/>
      <c r="J848" s="391"/>
      <c r="K848" s="390"/>
      <c r="L848" s="390"/>
      <c r="M848" s="389"/>
      <c r="O848" s="371"/>
      <c r="P848" s="372"/>
      <c r="Q848" s="372"/>
      <c r="R848" s="372"/>
      <c r="S848" s="372"/>
      <c r="T848" s="372"/>
      <c r="U848" s="372"/>
      <c r="V848" s="372"/>
      <c r="W848" s="371"/>
      <c r="X848" s="371"/>
      <c r="Y848" s="371"/>
      <c r="Z848" s="371"/>
      <c r="AA848" s="371"/>
      <c r="AB848" s="371"/>
      <c r="AC848" s="371"/>
      <c r="AD848" s="371"/>
      <c r="AE848" s="371"/>
    </row>
    <row r="849" spans="2:31" ht="15">
      <c r="B849" s="385" t="s">
        <v>692</v>
      </c>
      <c r="C849" s="385" t="s">
        <v>689</v>
      </c>
      <c r="D849" s="386">
        <v>1696</v>
      </c>
      <c r="E849" s="426">
        <f>+L844</f>
        <v>300</v>
      </c>
      <c r="F849" s="386">
        <f t="shared" si="33"/>
        <v>20652</v>
      </c>
      <c r="G849" s="386">
        <f t="shared" si="34"/>
        <v>20652</v>
      </c>
      <c r="H849" s="43"/>
      <c r="I849" s="382"/>
      <c r="J849" s="391"/>
      <c r="K849" s="390"/>
      <c r="L849" s="390"/>
      <c r="M849" s="389"/>
      <c r="O849" s="371"/>
      <c r="P849" s="372"/>
      <c r="Q849" s="372"/>
      <c r="R849" s="372"/>
      <c r="S849" s="372"/>
      <c r="T849" s="372"/>
      <c r="U849" s="372"/>
      <c r="V849" s="372"/>
      <c r="W849" s="371"/>
      <c r="X849" s="371"/>
      <c r="Y849" s="533">
        <f>+Y826+Y834+Y846</f>
        <v>26681.52</v>
      </c>
      <c r="Z849" s="371"/>
      <c r="AA849" s="371"/>
      <c r="AB849" s="371"/>
      <c r="AC849" s="371"/>
      <c r="AD849" s="371"/>
      <c r="AE849" s="371"/>
    </row>
    <row r="850" spans="2:31" ht="15">
      <c r="B850" s="385"/>
      <c r="C850" s="385"/>
      <c r="D850" s="386"/>
      <c r="E850" s="426"/>
      <c r="F850" s="386"/>
      <c r="G850" s="386"/>
      <c r="H850" s="43"/>
      <c r="I850" s="382"/>
      <c r="J850" s="391"/>
      <c r="K850" s="390"/>
      <c r="L850" s="390"/>
      <c r="M850" s="389"/>
      <c r="O850" s="371"/>
      <c r="P850" s="372"/>
      <c r="Q850" s="372"/>
      <c r="R850" s="372"/>
      <c r="S850" s="372"/>
      <c r="T850" s="372"/>
      <c r="U850" s="372"/>
      <c r="V850" s="372"/>
      <c r="W850" s="371"/>
      <c r="X850" s="371"/>
      <c r="Y850" s="371"/>
      <c r="Z850" s="371"/>
      <c r="AA850" s="371"/>
      <c r="AB850" s="371"/>
      <c r="AC850" s="371"/>
      <c r="AD850" s="371"/>
      <c r="AE850" s="371"/>
    </row>
    <row r="851" spans="2:31">
      <c r="B851" s="393"/>
      <c r="C851" s="394"/>
      <c r="D851" s="395"/>
      <c r="E851" s="427"/>
      <c r="F851" s="386"/>
      <c r="G851" s="386"/>
      <c r="H851" s="43"/>
      <c r="I851" s="382"/>
      <c r="J851" s="43"/>
      <c r="K851" s="43"/>
      <c r="L851" s="43"/>
      <c r="M851" s="43"/>
    </row>
    <row r="852" spans="2:31">
      <c r="B852" s="2" t="s">
        <v>78</v>
      </c>
      <c r="C852" s="2"/>
      <c r="D852" s="2"/>
      <c r="E852" s="2"/>
      <c r="F852" s="396">
        <f>SUM(F843:F850)</f>
        <v>142335.47999999998</v>
      </c>
      <c r="G852" s="396">
        <f>SUM(G843:G850)</f>
        <v>142335.47999999998</v>
      </c>
      <c r="H852" s="43"/>
      <c r="I852" s="382"/>
      <c r="J852" s="382"/>
      <c r="K852" s="392"/>
      <c r="L852" s="392"/>
      <c r="M852" s="382"/>
    </row>
    <row r="853" spans="2:31">
      <c r="B853" s="11" t="s">
        <v>693</v>
      </c>
      <c r="C853" s="9"/>
      <c r="D853" s="9"/>
      <c r="E853" s="9"/>
      <c r="F853" s="9"/>
      <c r="G853" s="9"/>
      <c r="H853" s="382"/>
      <c r="I853" s="382"/>
      <c r="J853" s="382"/>
      <c r="K853" s="392"/>
      <c r="L853" s="392"/>
      <c r="M853" s="382"/>
    </row>
    <row r="854" spans="2:31">
      <c r="B854" s="11" t="s">
        <v>694</v>
      </c>
      <c r="C854" s="12"/>
      <c r="D854" s="12"/>
      <c r="E854" s="12"/>
      <c r="F854" s="12"/>
      <c r="G854" s="12"/>
      <c r="H854" s="382"/>
      <c r="I854" s="382"/>
      <c r="J854" s="382"/>
      <c r="K854" s="397"/>
      <c r="L854" s="398"/>
      <c r="M854" s="382"/>
    </row>
    <row r="855" spans="2:31">
      <c r="B855" s="43"/>
      <c r="C855" s="43"/>
      <c r="D855" s="399"/>
      <c r="E855" s="400"/>
      <c r="F855" s="43"/>
      <c r="G855" s="400"/>
      <c r="H855" s="43"/>
      <c r="I855" s="401"/>
      <c r="J855" s="401"/>
      <c r="K855" s="382"/>
      <c r="L855" s="398"/>
      <c r="M855" s="382"/>
    </row>
    <row r="856" spans="2:31">
      <c r="B856" s="402"/>
      <c r="C856" s="401"/>
      <c r="D856" s="400"/>
      <c r="E856" s="400"/>
      <c r="F856" s="400"/>
      <c r="G856" s="401"/>
      <c r="H856" s="382"/>
      <c r="I856" s="382"/>
      <c r="J856" s="382"/>
      <c r="K856" s="382"/>
      <c r="L856" s="398"/>
      <c r="M856" s="382"/>
    </row>
    <row r="857" spans="2:31">
      <c r="B857" s="402"/>
      <c r="C857" s="403"/>
      <c r="D857" s="401"/>
      <c r="E857" s="400"/>
      <c r="F857" s="401"/>
      <c r="G857" s="401"/>
      <c r="H857" s="382"/>
      <c r="I857" s="382"/>
      <c r="J857" s="382"/>
      <c r="K857" s="382"/>
      <c r="L857" s="398"/>
      <c r="M857" s="382"/>
    </row>
    <row r="858" spans="2:31">
      <c r="B858" s="404" t="s">
        <v>695</v>
      </c>
      <c r="C858" s="43"/>
      <c r="D858" s="43"/>
      <c r="E858" s="43"/>
      <c r="F858" s="43"/>
      <c r="G858" s="43"/>
      <c r="H858" s="43"/>
      <c r="I858" s="43"/>
      <c r="J858" s="382"/>
      <c r="K858" s="382"/>
      <c r="L858" s="398"/>
      <c r="M858" s="382"/>
    </row>
    <row r="859" spans="2:31">
      <c r="B859" s="43"/>
      <c r="C859" s="43"/>
      <c r="D859" s="43"/>
      <c r="E859" s="43"/>
      <c r="F859" s="43"/>
      <c r="G859" s="43"/>
      <c r="H859" s="43"/>
      <c r="I859" s="43"/>
      <c r="J859" s="382"/>
      <c r="K859" s="382"/>
      <c r="L859" s="398"/>
      <c r="M859" s="382"/>
    </row>
    <row r="860" spans="2:31">
      <c r="B860" s="534" t="s">
        <v>696</v>
      </c>
      <c r="C860" s="534" t="s">
        <v>697</v>
      </c>
      <c r="D860" s="534" t="s">
        <v>698</v>
      </c>
      <c r="E860" s="43"/>
      <c r="F860" s="43"/>
      <c r="G860" s="43"/>
      <c r="H860" s="43"/>
      <c r="I860" s="43"/>
      <c r="J860" s="405" t="s">
        <v>82</v>
      </c>
      <c r="K860" s="405" t="s">
        <v>699</v>
      </c>
      <c r="L860" s="43"/>
      <c r="M860" s="43"/>
    </row>
    <row r="861" spans="2:31">
      <c r="B861" s="535" t="str">
        <f>+B843</f>
        <v xml:space="preserve">Directora </v>
      </c>
      <c r="C861" s="536">
        <f>+D843</f>
        <v>1943.63</v>
      </c>
      <c r="D861" s="536">
        <f>+C861*12</f>
        <v>23323.56</v>
      </c>
      <c r="E861" s="43"/>
      <c r="F861" s="43"/>
      <c r="G861" s="43"/>
      <c r="H861" s="43"/>
      <c r="I861" s="43"/>
      <c r="J861" s="406" t="s">
        <v>700</v>
      </c>
      <c r="K861" s="407">
        <f>+(K862+K863)</f>
        <v>971.67600000000004</v>
      </c>
      <c r="L861" s="43"/>
      <c r="M861" s="43"/>
    </row>
    <row r="862" spans="2:31">
      <c r="B862" s="535" t="s">
        <v>701</v>
      </c>
      <c r="C862" s="536">
        <f>+D844+D845+D846+D847</f>
        <v>6679.26</v>
      </c>
      <c r="D862" s="536">
        <f>+C862*12</f>
        <v>80151.12</v>
      </c>
      <c r="E862" s="43"/>
      <c r="F862" s="43"/>
      <c r="G862" s="43"/>
      <c r="H862" s="43"/>
      <c r="I862" s="43"/>
      <c r="J862" s="381" t="s">
        <v>702</v>
      </c>
      <c r="K862" s="408">
        <v>371.67600000000004</v>
      </c>
      <c r="L862" s="43"/>
      <c r="M862" s="43"/>
    </row>
    <row r="863" spans="2:31">
      <c r="B863" s="535" t="s">
        <v>703</v>
      </c>
      <c r="C863" s="536">
        <f>+D848</f>
        <v>1292.4000000000001</v>
      </c>
      <c r="D863" s="536">
        <f>+C863*12</f>
        <v>15508.800000000001</v>
      </c>
      <c r="E863" s="43"/>
      <c r="F863" s="43"/>
      <c r="G863" s="43"/>
      <c r="H863" s="43"/>
      <c r="I863" s="43"/>
      <c r="J863" s="381" t="s">
        <v>704</v>
      </c>
      <c r="K863" s="408">
        <v>600</v>
      </c>
      <c r="L863" s="43"/>
      <c r="M863" s="43"/>
    </row>
    <row r="864" spans="2:31">
      <c r="B864" s="535" t="s">
        <v>692</v>
      </c>
      <c r="C864" s="536">
        <f>+D849</f>
        <v>1696</v>
      </c>
      <c r="D864" s="536">
        <f>+C864*12</f>
        <v>20352</v>
      </c>
      <c r="E864" s="43"/>
      <c r="F864" s="43"/>
      <c r="G864" s="43"/>
      <c r="H864" s="43"/>
      <c r="I864" s="43"/>
      <c r="J864" s="409" t="s">
        <v>705</v>
      </c>
      <c r="K864" s="410">
        <f>+K865</f>
        <v>362.40000000000003</v>
      </c>
      <c r="L864" s="43"/>
      <c r="M864" s="43"/>
    </row>
    <row r="865" spans="2:13">
      <c r="B865" s="535"/>
      <c r="C865" s="536"/>
      <c r="D865" s="537">
        <f>SUM(D861:D864)</f>
        <v>139335.47999999998</v>
      </c>
      <c r="E865" s="43"/>
      <c r="F865" s="43"/>
      <c r="G865" s="43"/>
      <c r="H865" s="43"/>
      <c r="I865" s="43"/>
      <c r="J865" s="2131" t="s">
        <v>706</v>
      </c>
      <c r="K865" s="2133">
        <v>362.40000000000003</v>
      </c>
      <c r="L865" s="43"/>
      <c r="M865" s="43"/>
    </row>
    <row r="866" spans="2:13">
      <c r="B866" s="535" t="s">
        <v>707</v>
      </c>
      <c r="C866" s="538">
        <f>+K861/12</f>
        <v>80.972999999999999</v>
      </c>
      <c r="D866" s="538">
        <f>+K861</f>
        <v>971.67600000000004</v>
      </c>
      <c r="E866" s="43"/>
      <c r="F866" s="43"/>
      <c r="G866" s="43"/>
      <c r="H866" s="43"/>
      <c r="I866" s="43"/>
      <c r="J866" s="2132"/>
      <c r="K866" s="2133"/>
      <c r="L866" s="43"/>
      <c r="M866" s="43"/>
    </row>
    <row r="867" spans="2:13">
      <c r="B867" s="535"/>
      <c r="C867" s="536"/>
      <c r="D867" s="536"/>
      <c r="E867" s="43"/>
      <c r="F867" s="43"/>
      <c r="G867" s="43"/>
      <c r="H867" s="43"/>
      <c r="I867" s="43"/>
      <c r="J867" s="405" t="s">
        <v>76</v>
      </c>
      <c r="K867" s="411">
        <f>+K861+K864</f>
        <v>1334.076</v>
      </c>
      <c r="L867" s="43"/>
      <c r="M867" s="43"/>
    </row>
    <row r="868" spans="2:13">
      <c r="B868" s="535"/>
      <c r="C868" s="536"/>
      <c r="D868" s="537">
        <f>+D866</f>
        <v>971.67600000000004</v>
      </c>
      <c r="E868" s="43"/>
      <c r="F868" s="43"/>
      <c r="G868" s="43"/>
      <c r="H868" s="43"/>
      <c r="I868" s="43"/>
      <c r="J868" s="43" t="s">
        <v>708</v>
      </c>
      <c r="K868" s="43"/>
      <c r="L868" s="43"/>
      <c r="M868" s="43"/>
    </row>
    <row r="869" spans="2:13">
      <c r="B869" s="2134" t="s">
        <v>709</v>
      </c>
      <c r="C869" s="2135"/>
      <c r="D869" s="539">
        <f>+D865+D868</f>
        <v>140307.15599999999</v>
      </c>
      <c r="E869" s="43"/>
      <c r="F869" s="43"/>
      <c r="G869" s="43"/>
      <c r="H869" s="43"/>
      <c r="I869" s="43"/>
      <c r="J869" s="43"/>
      <c r="K869" s="43"/>
      <c r="L869" s="43"/>
      <c r="M869" s="43"/>
    </row>
    <row r="870" spans="2:13">
      <c r="B870" s="540" t="s">
        <v>710</v>
      </c>
      <c r="C870" s="536"/>
      <c r="D870" s="536"/>
      <c r="E870" s="43"/>
      <c r="F870" s="43"/>
      <c r="G870" s="43"/>
      <c r="H870" s="43"/>
      <c r="I870" s="43"/>
      <c r="J870" s="43"/>
      <c r="K870" s="43"/>
      <c r="L870" s="43"/>
      <c r="M870" s="43"/>
    </row>
    <row r="871" spans="2:13">
      <c r="B871" s="541" t="s">
        <v>706</v>
      </c>
      <c r="C871" s="542">
        <f>+D871/12</f>
        <v>30.200000000000003</v>
      </c>
      <c r="D871" s="542">
        <f>+K865</f>
        <v>362.40000000000003</v>
      </c>
      <c r="E871" s="43"/>
      <c r="F871" s="43"/>
      <c r="G871" s="43"/>
      <c r="H871" s="43"/>
      <c r="I871" s="43"/>
      <c r="J871" s="43"/>
      <c r="K871" s="43"/>
      <c r="L871" s="43"/>
      <c r="M871" s="43"/>
    </row>
    <row r="872" spans="2:13">
      <c r="B872" s="535"/>
      <c r="C872" s="536"/>
      <c r="D872" s="536"/>
      <c r="E872" s="43"/>
      <c r="F872" s="43"/>
      <c r="G872" s="43"/>
      <c r="H872" s="43"/>
      <c r="I872" s="43"/>
      <c r="J872" s="43"/>
      <c r="K872" s="43"/>
      <c r="L872" s="43"/>
      <c r="M872" s="43"/>
    </row>
    <row r="873" spans="2:13">
      <c r="B873" s="2136" t="s">
        <v>711</v>
      </c>
      <c r="C873" s="2136"/>
      <c r="D873" s="543">
        <f>+D871+D872</f>
        <v>362.40000000000003</v>
      </c>
      <c r="E873" s="43"/>
      <c r="F873" s="43"/>
      <c r="G873" s="43"/>
      <c r="H873" s="43"/>
      <c r="I873" s="43"/>
      <c r="J873" s="43"/>
      <c r="K873" s="43"/>
      <c r="L873" s="43"/>
      <c r="M873" s="43"/>
    </row>
    <row r="874" spans="2:13">
      <c r="B874" s="2137"/>
      <c r="C874" s="2137"/>
      <c r="D874" s="412"/>
      <c r="E874" s="43"/>
      <c r="F874" s="43"/>
      <c r="G874" s="43"/>
      <c r="H874" s="43"/>
      <c r="I874" s="43"/>
      <c r="J874" s="43"/>
      <c r="K874" s="413"/>
      <c r="L874" s="43"/>
      <c r="M874" s="43"/>
    </row>
    <row r="875" spans="2:13">
      <c r="B875" s="43"/>
      <c r="C875" s="43"/>
      <c r="D875" s="43"/>
      <c r="E875" s="43"/>
      <c r="F875" s="43"/>
      <c r="G875" s="43"/>
      <c r="H875" s="43"/>
      <c r="I875" s="43"/>
      <c r="J875" s="43"/>
      <c r="K875" s="43"/>
      <c r="L875" s="43"/>
      <c r="M875" s="43"/>
    </row>
    <row r="876" spans="2:13">
      <c r="B876" s="404" t="s">
        <v>712</v>
      </c>
      <c r="C876" s="43"/>
      <c r="D876" s="43"/>
      <c r="E876" s="43"/>
      <c r="F876" s="43"/>
      <c r="G876" s="43"/>
      <c r="H876" s="43"/>
      <c r="I876" s="43"/>
      <c r="J876" s="43"/>
      <c r="K876" s="43"/>
      <c r="L876" s="43"/>
      <c r="M876" s="43"/>
    </row>
    <row r="877" spans="2:13" ht="33.75">
      <c r="B877" s="544" t="s">
        <v>2</v>
      </c>
      <c r="C877" s="544" t="s">
        <v>713</v>
      </c>
      <c r="D877" s="544" t="s">
        <v>73</v>
      </c>
      <c r="E877" s="544" t="s">
        <v>714</v>
      </c>
      <c r="F877" s="544" t="s">
        <v>715</v>
      </c>
      <c r="G877" s="544" t="s">
        <v>716</v>
      </c>
      <c r="H877" s="544" t="s">
        <v>717</v>
      </c>
      <c r="I877" s="43"/>
      <c r="J877" s="43"/>
      <c r="K877" s="43"/>
      <c r="L877" s="43"/>
      <c r="M877" s="43"/>
    </row>
    <row r="878" spans="2:13">
      <c r="B878" s="545" t="s">
        <v>718</v>
      </c>
      <c r="C878" s="545"/>
      <c r="D878" s="545"/>
      <c r="E878" s="545"/>
      <c r="F878" s="545"/>
      <c r="G878" s="546">
        <f>SUM(G879:G883)</f>
        <v>142335.47999999998</v>
      </c>
      <c r="H878" s="547">
        <f>G878/1</f>
        <v>142335.47999999998</v>
      </c>
      <c r="I878" s="43"/>
      <c r="J878" s="43"/>
      <c r="K878" s="43"/>
      <c r="L878" s="43"/>
      <c r="M878" s="43"/>
    </row>
    <row r="879" spans="2:13">
      <c r="B879" s="548"/>
      <c r="C879" s="549"/>
      <c r="D879" s="549"/>
      <c r="E879" s="550"/>
      <c r="F879" s="550"/>
      <c r="G879" s="551"/>
      <c r="H879" s="551"/>
      <c r="I879" s="43"/>
      <c r="J879" s="43"/>
      <c r="K879" s="43"/>
      <c r="L879" s="43"/>
      <c r="M879" s="43"/>
    </row>
    <row r="880" spans="2:13">
      <c r="B880" s="552" t="str">
        <f>B843</f>
        <v xml:space="preserve">Directora </v>
      </c>
      <c r="C880" s="3" t="s">
        <v>719</v>
      </c>
      <c r="D880" s="3">
        <v>1</v>
      </c>
      <c r="E880" s="553">
        <f>+C861</f>
        <v>1943.63</v>
      </c>
      <c r="F880" s="553">
        <f>+E843</f>
        <v>600</v>
      </c>
      <c r="G880" s="551">
        <f>(+D880*E880*12)+F880</f>
        <v>23923.56</v>
      </c>
      <c r="H880" s="551">
        <f>G880/1</f>
        <v>23923.56</v>
      </c>
      <c r="I880" s="43"/>
      <c r="J880" s="43"/>
      <c r="K880" s="43"/>
      <c r="L880" s="43"/>
      <c r="M880" s="43"/>
    </row>
    <row r="881" spans="2:13">
      <c r="B881" s="552" t="str">
        <f>+B862</f>
        <v>Docentes</v>
      </c>
      <c r="C881" s="3" t="s">
        <v>719</v>
      </c>
      <c r="D881" s="3">
        <v>4</v>
      </c>
      <c r="E881" s="553">
        <f>+C862</f>
        <v>6679.26</v>
      </c>
      <c r="F881" s="553">
        <f>+SUM(E844:E847)</f>
        <v>1500</v>
      </c>
      <c r="G881" s="551">
        <f>(E881*12)+F881</f>
        <v>81651.12</v>
      </c>
      <c r="H881" s="551">
        <f>G881/1</f>
        <v>81651.12</v>
      </c>
      <c r="I881" s="43"/>
      <c r="J881" s="43"/>
      <c r="K881" s="43"/>
      <c r="L881" s="43"/>
      <c r="M881" s="43"/>
    </row>
    <row r="882" spans="2:13">
      <c r="B882" s="554" t="str">
        <f>+B863</f>
        <v>Auxiliares</v>
      </c>
      <c r="C882" s="3" t="s">
        <v>719</v>
      </c>
      <c r="D882" s="3">
        <v>1</v>
      </c>
      <c r="E882" s="553">
        <f>+C863</f>
        <v>1292.4000000000001</v>
      </c>
      <c r="F882" s="553">
        <f>+SUM(E848)</f>
        <v>600</v>
      </c>
      <c r="G882" s="551">
        <f>(+D882*E882*12)+F882</f>
        <v>16108.800000000001</v>
      </c>
      <c r="H882" s="551">
        <f>G882/1</f>
        <v>16108.800000000001</v>
      </c>
      <c r="I882" s="43"/>
      <c r="J882" s="43"/>
      <c r="K882" s="43"/>
      <c r="L882" s="43"/>
      <c r="M882" s="43"/>
    </row>
    <row r="883" spans="2:13">
      <c r="B883" s="554" t="str">
        <f>+B864</f>
        <v>Psicóloga</v>
      </c>
      <c r="C883" s="3" t="s">
        <v>719</v>
      </c>
      <c r="D883" s="3">
        <v>1</v>
      </c>
      <c r="E883" s="553">
        <f>+D849</f>
        <v>1696</v>
      </c>
      <c r="F883" s="553">
        <f>+SUM(E849)</f>
        <v>300</v>
      </c>
      <c r="G883" s="551">
        <f>(+D883*E883*12)+F883</f>
        <v>20652</v>
      </c>
      <c r="H883" s="551">
        <f>G883/1</f>
        <v>20652</v>
      </c>
      <c r="I883" s="43"/>
      <c r="J883" s="43"/>
      <c r="K883" s="43"/>
      <c r="L883" s="43"/>
      <c r="M883" s="43"/>
    </row>
    <row r="884" spans="2:13">
      <c r="B884" s="545" t="s">
        <v>720</v>
      </c>
      <c r="C884" s="545"/>
      <c r="D884" s="545"/>
      <c r="E884" s="545"/>
      <c r="F884" s="545"/>
      <c r="G884" s="555">
        <f>SUM(G885:G885)</f>
        <v>971.67599999999993</v>
      </c>
      <c r="H884" s="546">
        <f>G884/1.18</f>
        <v>823.45423728813557</v>
      </c>
      <c r="I884" s="43"/>
      <c r="J884" s="43"/>
      <c r="K884" s="43"/>
      <c r="L884" s="43"/>
      <c r="M884" s="43"/>
    </row>
    <row r="885" spans="2:13">
      <c r="B885" s="548" t="str">
        <f>+B866</f>
        <v>Luz y agua</v>
      </c>
      <c r="C885" s="549" t="s">
        <v>405</v>
      </c>
      <c r="D885" s="549">
        <v>1</v>
      </c>
      <c r="E885" s="550">
        <f>+C866</f>
        <v>80.972999999999999</v>
      </c>
      <c r="F885" s="553"/>
      <c r="G885" s="551">
        <f>+E885*12</f>
        <v>971.67599999999993</v>
      </c>
      <c r="H885" s="553">
        <f>G885/1.18</f>
        <v>823.45423728813557</v>
      </c>
      <c r="I885" s="43"/>
      <c r="J885" s="43"/>
      <c r="K885" s="43"/>
      <c r="L885" s="43"/>
      <c r="M885" s="43"/>
    </row>
    <row r="886" spans="2:13">
      <c r="B886" s="556" t="s">
        <v>0</v>
      </c>
      <c r="C886" s="556"/>
      <c r="D886" s="556"/>
      <c r="E886" s="556"/>
      <c r="F886" s="556"/>
      <c r="G886" s="557">
        <f>G878+G884</f>
        <v>143307.15599999999</v>
      </c>
      <c r="H886" s="557">
        <f>H878+H884</f>
        <v>143158.93423728811</v>
      </c>
      <c r="I886" s="43"/>
      <c r="J886" s="43"/>
      <c r="K886" s="43"/>
      <c r="L886" s="43"/>
      <c r="M886" s="43"/>
    </row>
    <row r="887" spans="2:13">
      <c r="B887" s="417" t="s">
        <v>721</v>
      </c>
      <c r="C887" s="418"/>
      <c r="D887" s="418"/>
      <c r="E887" s="418"/>
      <c r="F887" s="418"/>
      <c r="G887" s="418"/>
      <c r="H887" s="418"/>
      <c r="I887" s="43"/>
      <c r="J887" s="43"/>
      <c r="K887" s="43"/>
      <c r="L887" s="43"/>
      <c r="M887" s="43"/>
    </row>
    <row r="888" spans="2:13">
      <c r="B888" s="43"/>
      <c r="C888" s="43"/>
      <c r="D888" s="43"/>
      <c r="E888" s="43"/>
      <c r="F888" s="43"/>
      <c r="G888" s="43"/>
      <c r="H888" s="43"/>
      <c r="I888" s="43"/>
      <c r="J888" s="43"/>
      <c r="K888" s="43"/>
      <c r="L888" s="43"/>
      <c r="M888" s="43"/>
    </row>
    <row r="889" spans="2:13">
      <c r="B889" s="404" t="s">
        <v>722</v>
      </c>
      <c r="C889" s="43"/>
      <c r="D889" s="43"/>
      <c r="E889" s="43"/>
      <c r="F889" s="43"/>
      <c r="G889" s="43"/>
      <c r="H889" s="43"/>
      <c r="I889" s="43"/>
      <c r="J889" s="43"/>
      <c r="K889" s="43"/>
      <c r="L889" s="43"/>
      <c r="M889" s="43"/>
    </row>
    <row r="890" spans="2:13" ht="24">
      <c r="B890" s="414" t="s">
        <v>723</v>
      </c>
      <c r="C890" s="2138" t="s">
        <v>713</v>
      </c>
      <c r="D890" s="2139"/>
      <c r="E890" s="414" t="s">
        <v>714</v>
      </c>
      <c r="F890" s="414" t="s">
        <v>724</v>
      </c>
      <c r="G890" s="414" t="s">
        <v>725</v>
      </c>
      <c r="H890" s="43"/>
      <c r="I890" s="43"/>
      <c r="J890" s="43"/>
      <c r="K890" s="43"/>
      <c r="L890" s="43"/>
      <c r="M890" s="43"/>
    </row>
    <row r="891" spans="2:13">
      <c r="B891" s="2131" t="str">
        <f>+J865</f>
        <v>Mantenimiento de la infraestructura y mobiliario</v>
      </c>
      <c r="C891" s="2140" t="s">
        <v>405</v>
      </c>
      <c r="D891" s="2141"/>
      <c r="E891" s="419">
        <f>+C871</f>
        <v>30.200000000000003</v>
      </c>
      <c r="F891" s="428">
        <f>+E891*12</f>
        <v>362.40000000000003</v>
      </c>
      <c r="G891" s="415">
        <f>F891/1.18</f>
        <v>307.11864406779665</v>
      </c>
      <c r="H891" s="43"/>
      <c r="I891" s="43"/>
      <c r="J891" s="43"/>
      <c r="K891" s="43"/>
      <c r="L891" s="43"/>
      <c r="M891" s="43"/>
    </row>
    <row r="892" spans="2:13">
      <c r="B892" s="2132"/>
      <c r="C892" s="2140"/>
      <c r="D892" s="2141"/>
      <c r="E892" s="419"/>
      <c r="F892" s="428"/>
      <c r="G892" s="420"/>
      <c r="H892" s="43"/>
      <c r="I892" s="43"/>
      <c r="J892" s="43"/>
      <c r="K892" s="43"/>
      <c r="L892" s="43"/>
      <c r="M892" s="43"/>
    </row>
    <row r="893" spans="2:13">
      <c r="B893" s="2142" t="s">
        <v>726</v>
      </c>
      <c r="C893" s="2143"/>
      <c r="D893" s="2144"/>
      <c r="E893" s="421"/>
      <c r="F893" s="422">
        <f>SUM(F891:F892)</f>
        <v>362.40000000000003</v>
      </c>
      <c r="G893" s="423">
        <f>SUM(G891:G892)</f>
        <v>307.11864406779665</v>
      </c>
      <c r="H893" s="43"/>
      <c r="I893" s="43"/>
      <c r="J893" s="43"/>
      <c r="K893" s="43"/>
      <c r="L893" s="43"/>
      <c r="M893" s="43"/>
    </row>
    <row r="894" spans="2:13">
      <c r="B894" s="424" t="s">
        <v>721</v>
      </c>
      <c r="C894" s="418"/>
      <c r="D894" s="418"/>
      <c r="E894" s="418"/>
      <c r="F894" s="418"/>
      <c r="G894" s="382"/>
      <c r="H894" s="382"/>
      <c r="I894" s="43"/>
      <c r="J894" s="43"/>
      <c r="K894" s="43"/>
      <c r="L894" s="43"/>
      <c r="M894" s="43"/>
    </row>
    <row r="895" spans="2:13">
      <c r="B895" s="424" t="s">
        <v>708</v>
      </c>
      <c r="C895" s="43"/>
      <c r="D895" s="43"/>
      <c r="E895" s="43"/>
      <c r="F895" s="43"/>
      <c r="G895" s="43"/>
      <c r="H895" s="43"/>
      <c r="I895" s="43"/>
      <c r="J895" s="43"/>
      <c r="K895" s="43"/>
      <c r="L895" s="43"/>
      <c r="M895" s="43"/>
    </row>
    <row r="896" spans="2:13">
      <c r="B896" s="43"/>
      <c r="C896" s="43"/>
      <c r="D896" s="43"/>
      <c r="E896" s="43"/>
      <c r="F896" s="425"/>
      <c r="G896" s="43"/>
      <c r="H896" s="43"/>
      <c r="I896" s="43"/>
      <c r="J896" s="43"/>
      <c r="K896" s="43"/>
      <c r="L896" s="43"/>
      <c r="M896" s="43"/>
    </row>
    <row r="902" spans="3:14">
      <c r="C902" s="2113" t="s">
        <v>727</v>
      </c>
      <c r="D902" s="2113"/>
      <c r="E902" s="2113"/>
      <c r="F902" s="2113"/>
      <c r="G902" s="2113"/>
      <c r="H902" s="2113"/>
      <c r="I902" s="2113"/>
      <c r="J902" s="2113"/>
      <c r="K902" s="2113"/>
      <c r="L902" s="2113"/>
      <c r="M902" s="2113"/>
      <c r="N902" s="2113"/>
    </row>
    <row r="903" spans="3:14">
      <c r="C903" s="429" t="s">
        <v>2</v>
      </c>
      <c r="D903" s="429" t="s">
        <v>65</v>
      </c>
      <c r="E903" s="429" t="s">
        <v>3</v>
      </c>
      <c r="F903" s="429" t="s">
        <v>4</v>
      </c>
      <c r="G903" s="429" t="s">
        <v>14</v>
      </c>
      <c r="H903" s="429" t="s">
        <v>23</v>
      </c>
      <c r="I903" s="429" t="s">
        <v>24</v>
      </c>
      <c r="J903" s="429" t="s">
        <v>25</v>
      </c>
      <c r="K903" s="429" t="s">
        <v>26</v>
      </c>
      <c r="L903" s="429" t="s">
        <v>27</v>
      </c>
      <c r="M903" s="429" t="s">
        <v>28</v>
      </c>
      <c r="N903" s="429" t="s">
        <v>5</v>
      </c>
    </row>
    <row r="904" spans="3:14">
      <c r="C904" s="385" t="s">
        <v>98</v>
      </c>
      <c r="D904" s="430">
        <f>+G878</f>
        <v>142335.47999999998</v>
      </c>
      <c r="E904" s="430">
        <f>+D904</f>
        <v>142335.47999999998</v>
      </c>
      <c r="F904" s="430">
        <f t="shared" ref="F904:N904" si="35">+E904</f>
        <v>142335.47999999998</v>
      </c>
      <c r="G904" s="430">
        <f t="shared" si="35"/>
        <v>142335.47999999998</v>
      </c>
      <c r="H904" s="430">
        <f t="shared" si="35"/>
        <v>142335.47999999998</v>
      </c>
      <c r="I904" s="430">
        <f t="shared" si="35"/>
        <v>142335.47999999998</v>
      </c>
      <c r="J904" s="430">
        <f t="shared" si="35"/>
        <v>142335.47999999998</v>
      </c>
      <c r="K904" s="430">
        <f t="shared" si="35"/>
        <v>142335.47999999998</v>
      </c>
      <c r="L904" s="430">
        <f t="shared" si="35"/>
        <v>142335.47999999998</v>
      </c>
      <c r="M904" s="430">
        <f t="shared" si="35"/>
        <v>142335.47999999998</v>
      </c>
      <c r="N904" s="430">
        <f t="shared" si="35"/>
        <v>142335.47999999998</v>
      </c>
    </row>
    <row r="905" spans="3:14">
      <c r="C905" s="385" t="s">
        <v>728</v>
      </c>
      <c r="D905" s="430">
        <f>+G884</f>
        <v>971.67599999999993</v>
      </c>
      <c r="E905" s="430">
        <f>+D905</f>
        <v>971.67599999999993</v>
      </c>
      <c r="F905" s="430">
        <f t="shared" ref="F905:N905" si="36">+E905</f>
        <v>971.67599999999993</v>
      </c>
      <c r="G905" s="430">
        <f t="shared" si="36"/>
        <v>971.67599999999993</v>
      </c>
      <c r="H905" s="430">
        <f t="shared" si="36"/>
        <v>971.67599999999993</v>
      </c>
      <c r="I905" s="430">
        <f t="shared" si="36"/>
        <v>971.67599999999993</v>
      </c>
      <c r="J905" s="430">
        <f t="shared" si="36"/>
        <v>971.67599999999993</v>
      </c>
      <c r="K905" s="430">
        <f t="shared" si="36"/>
        <v>971.67599999999993</v>
      </c>
      <c r="L905" s="430">
        <f t="shared" si="36"/>
        <v>971.67599999999993</v>
      </c>
      <c r="M905" s="430">
        <f t="shared" si="36"/>
        <v>971.67599999999993</v>
      </c>
      <c r="N905" s="430">
        <f t="shared" si="36"/>
        <v>971.67599999999993</v>
      </c>
    </row>
    <row r="906" spans="3:14">
      <c r="C906" s="14" t="s">
        <v>76</v>
      </c>
      <c r="D906" s="431">
        <f t="shared" ref="D906:N906" si="37">SUM(D904:D905)</f>
        <v>143307.15599999999</v>
      </c>
      <c r="E906" s="431">
        <f t="shared" si="37"/>
        <v>143307.15599999999</v>
      </c>
      <c r="F906" s="431">
        <f t="shared" si="37"/>
        <v>143307.15599999999</v>
      </c>
      <c r="G906" s="431">
        <f t="shared" si="37"/>
        <v>143307.15599999999</v>
      </c>
      <c r="H906" s="431">
        <f t="shared" si="37"/>
        <v>143307.15599999999</v>
      </c>
      <c r="I906" s="431">
        <f t="shared" si="37"/>
        <v>143307.15599999999</v>
      </c>
      <c r="J906" s="431">
        <f t="shared" si="37"/>
        <v>143307.15599999999</v>
      </c>
      <c r="K906" s="431">
        <f t="shared" si="37"/>
        <v>143307.15599999999</v>
      </c>
      <c r="L906" s="431">
        <f t="shared" si="37"/>
        <v>143307.15599999999</v>
      </c>
      <c r="M906" s="431">
        <f t="shared" si="37"/>
        <v>143307.15599999999</v>
      </c>
      <c r="N906" s="431">
        <f t="shared" si="37"/>
        <v>143307.15599999999</v>
      </c>
    </row>
    <row r="907" spans="3:14">
      <c r="C907" s="2128"/>
      <c r="D907" s="2128"/>
      <c r="E907" s="2128"/>
      <c r="F907" s="2128"/>
      <c r="G907" s="2128"/>
      <c r="H907" s="2128"/>
      <c r="I907" s="2128"/>
      <c r="J907" s="2128"/>
      <c r="K907" s="2128"/>
      <c r="L907" s="2128"/>
      <c r="M907" s="2128"/>
      <c r="N907" s="2128"/>
    </row>
    <row r="908" spans="3:14">
      <c r="C908" s="2113" t="s">
        <v>729</v>
      </c>
      <c r="D908" s="2113"/>
      <c r="E908" s="2113"/>
      <c r="F908" s="2113"/>
      <c r="G908" s="2113"/>
      <c r="H908" s="2113"/>
      <c r="I908" s="2113"/>
      <c r="J908" s="2113"/>
      <c r="K908" s="2113"/>
      <c r="L908" s="2113"/>
      <c r="M908" s="2113"/>
      <c r="N908" s="2113"/>
    </row>
    <row r="909" spans="3:14">
      <c r="C909" s="429" t="s">
        <v>2</v>
      </c>
      <c r="D909" s="429" t="s">
        <v>65</v>
      </c>
      <c r="E909" s="429" t="s">
        <v>3</v>
      </c>
      <c r="F909" s="429" t="s">
        <v>4</v>
      </c>
      <c r="G909" s="429" t="s">
        <v>14</v>
      </c>
      <c r="H909" s="429" t="s">
        <v>23</v>
      </c>
      <c r="I909" s="429" t="s">
        <v>24</v>
      </c>
      <c r="J909" s="429" t="s">
        <v>25</v>
      </c>
      <c r="K909" s="429" t="s">
        <v>26</v>
      </c>
      <c r="L909" s="429" t="s">
        <v>27</v>
      </c>
      <c r="M909" s="429" t="s">
        <v>28</v>
      </c>
      <c r="N909" s="429" t="s">
        <v>5</v>
      </c>
    </row>
    <row r="910" spans="3:14" ht="56.25">
      <c r="C910" s="432" t="s">
        <v>706</v>
      </c>
      <c r="D910" s="433">
        <f>+F893</f>
        <v>362.40000000000003</v>
      </c>
      <c r="E910" s="433">
        <f>+D910</f>
        <v>362.40000000000003</v>
      </c>
      <c r="F910" s="433">
        <f t="shared" ref="F910:N910" si="38">+E910</f>
        <v>362.40000000000003</v>
      </c>
      <c r="G910" s="433">
        <f t="shared" si="38"/>
        <v>362.40000000000003</v>
      </c>
      <c r="H910" s="433">
        <f t="shared" si="38"/>
        <v>362.40000000000003</v>
      </c>
      <c r="I910" s="433">
        <f t="shared" si="38"/>
        <v>362.40000000000003</v>
      </c>
      <c r="J910" s="433">
        <f t="shared" si="38"/>
        <v>362.40000000000003</v>
      </c>
      <c r="K910" s="433">
        <f t="shared" si="38"/>
        <v>362.40000000000003</v>
      </c>
      <c r="L910" s="433">
        <f t="shared" si="38"/>
        <v>362.40000000000003</v>
      </c>
      <c r="M910" s="433">
        <f t="shared" si="38"/>
        <v>362.40000000000003</v>
      </c>
      <c r="N910" s="433">
        <f t="shared" si="38"/>
        <v>362.40000000000003</v>
      </c>
    </row>
    <row r="911" spans="3:14">
      <c r="C911" s="434" t="s">
        <v>730</v>
      </c>
      <c r="D911" s="435">
        <f>+E892</f>
        <v>0</v>
      </c>
      <c r="E911" s="433">
        <f>+D911</f>
        <v>0</v>
      </c>
      <c r="F911" s="433">
        <f t="shared" ref="F911:N911" si="39">+E911</f>
        <v>0</v>
      </c>
      <c r="G911" s="433">
        <f t="shared" si="39"/>
        <v>0</v>
      </c>
      <c r="H911" s="433">
        <f t="shared" si="39"/>
        <v>0</v>
      </c>
      <c r="I911" s="433">
        <f t="shared" si="39"/>
        <v>0</v>
      </c>
      <c r="J911" s="433">
        <f t="shared" si="39"/>
        <v>0</v>
      </c>
      <c r="K911" s="433">
        <f t="shared" si="39"/>
        <v>0</v>
      </c>
      <c r="L911" s="433">
        <f t="shared" si="39"/>
        <v>0</v>
      </c>
      <c r="M911" s="433">
        <f t="shared" si="39"/>
        <v>0</v>
      </c>
      <c r="N911" s="433">
        <f t="shared" si="39"/>
        <v>0</v>
      </c>
    </row>
    <row r="912" spans="3:14">
      <c r="C912" s="14" t="s">
        <v>76</v>
      </c>
      <c r="D912" s="436">
        <f>SUM(D910:D911)</f>
        <v>362.40000000000003</v>
      </c>
      <c r="E912" s="436">
        <f t="shared" ref="E912:N912" si="40">SUM(E910:E911)</f>
        <v>362.40000000000003</v>
      </c>
      <c r="F912" s="436">
        <f t="shared" si="40"/>
        <v>362.40000000000003</v>
      </c>
      <c r="G912" s="436">
        <f t="shared" si="40"/>
        <v>362.40000000000003</v>
      </c>
      <c r="H912" s="436">
        <f t="shared" si="40"/>
        <v>362.40000000000003</v>
      </c>
      <c r="I912" s="436">
        <f t="shared" si="40"/>
        <v>362.40000000000003</v>
      </c>
      <c r="J912" s="436">
        <f t="shared" si="40"/>
        <v>362.40000000000003</v>
      </c>
      <c r="K912" s="436">
        <f t="shared" si="40"/>
        <v>362.40000000000003</v>
      </c>
      <c r="L912" s="436">
        <f t="shared" si="40"/>
        <v>362.40000000000003</v>
      </c>
      <c r="M912" s="436">
        <f t="shared" si="40"/>
        <v>362.40000000000003</v>
      </c>
      <c r="N912" s="436">
        <f t="shared" si="40"/>
        <v>362.40000000000003</v>
      </c>
    </row>
    <row r="913" spans="3:14">
      <c r="C913" s="2129" t="s">
        <v>731</v>
      </c>
      <c r="D913" s="2129"/>
      <c r="E913" s="2129"/>
      <c r="F913" s="2129"/>
      <c r="G913" s="2129"/>
      <c r="H913" s="2129"/>
      <c r="I913" s="2129"/>
      <c r="J913" s="2129"/>
      <c r="K913" s="2129"/>
      <c r="L913" s="2129"/>
      <c r="M913" s="2129"/>
      <c r="N913" s="2129"/>
    </row>
    <row r="914" spans="3:14">
      <c r="C914" s="437"/>
      <c r="D914" s="438"/>
      <c r="E914" s="437"/>
      <c r="F914" s="437"/>
      <c r="G914" s="437"/>
      <c r="H914" s="437"/>
      <c r="I914" s="437"/>
      <c r="J914" s="437"/>
      <c r="K914" s="437"/>
      <c r="L914" s="437"/>
      <c r="M914" s="437"/>
      <c r="N914" s="437"/>
    </row>
    <row r="915" spans="3:14">
      <c r="C915" s="2130" t="s">
        <v>732</v>
      </c>
      <c r="D915" s="2130"/>
      <c r="E915" s="2130"/>
      <c r="F915" s="2130"/>
      <c r="G915" s="438"/>
      <c r="H915" s="438"/>
      <c r="I915" s="438"/>
      <c r="J915" s="438"/>
      <c r="K915" s="438"/>
      <c r="L915" s="438"/>
      <c r="M915" s="438"/>
      <c r="N915" s="438"/>
    </row>
    <row r="916" spans="3:14">
      <c r="C916" s="27" t="s">
        <v>115</v>
      </c>
      <c r="D916" s="27" t="s">
        <v>97</v>
      </c>
      <c r="E916" s="27" t="s">
        <v>100</v>
      </c>
      <c r="F916" s="27" t="s">
        <v>76</v>
      </c>
      <c r="G916" s="437"/>
      <c r="H916" s="437"/>
      <c r="I916" s="437"/>
      <c r="J916" s="437"/>
      <c r="K916" s="437"/>
      <c r="L916" s="437"/>
      <c r="M916" s="437"/>
      <c r="N916" s="437"/>
    </row>
    <row r="917" spans="3:14">
      <c r="C917" s="439">
        <v>1</v>
      </c>
      <c r="D917" s="440">
        <f>E906</f>
        <v>143307.15599999999</v>
      </c>
      <c r="E917" s="440">
        <f>E912</f>
        <v>362.40000000000003</v>
      </c>
      <c r="F917" s="440">
        <f t="shared" ref="F917:F926" si="41">D917+E917</f>
        <v>143669.55599999998</v>
      </c>
      <c r="G917" s="437"/>
      <c r="H917" s="437"/>
      <c r="I917" s="438"/>
      <c r="J917" s="437"/>
      <c r="K917" s="437"/>
      <c r="L917" s="437"/>
      <c r="M917" s="437"/>
      <c r="N917" s="437"/>
    </row>
    <row r="918" spans="3:14">
      <c r="C918" s="439">
        <v>2</v>
      </c>
      <c r="D918" s="440">
        <f>F906</f>
        <v>143307.15599999999</v>
      </c>
      <c r="E918" s="440">
        <f>F912</f>
        <v>362.40000000000003</v>
      </c>
      <c r="F918" s="440">
        <f t="shared" si="41"/>
        <v>143669.55599999998</v>
      </c>
      <c r="G918" s="437"/>
      <c r="H918" s="437"/>
      <c r="I918" s="437"/>
      <c r="J918" s="437"/>
      <c r="K918" s="437"/>
      <c r="L918" s="437"/>
      <c r="M918" s="437"/>
      <c r="N918" s="437"/>
    </row>
    <row r="919" spans="3:14">
      <c r="C919" s="439">
        <v>3</v>
      </c>
      <c r="D919" s="440">
        <f>G906</f>
        <v>143307.15599999999</v>
      </c>
      <c r="E919" s="440">
        <f>G912</f>
        <v>362.40000000000003</v>
      </c>
      <c r="F919" s="440">
        <f t="shared" si="41"/>
        <v>143669.55599999998</v>
      </c>
      <c r="G919" s="437"/>
      <c r="H919" s="437"/>
      <c r="I919" s="437"/>
      <c r="J919" s="437"/>
      <c r="K919" s="437"/>
      <c r="L919" s="437"/>
      <c r="M919" s="437"/>
      <c r="N919" s="437"/>
    </row>
    <row r="920" spans="3:14">
      <c r="C920" s="439">
        <v>4</v>
      </c>
      <c r="D920" s="440">
        <f>H906</f>
        <v>143307.15599999999</v>
      </c>
      <c r="E920" s="440">
        <f>H912</f>
        <v>362.40000000000003</v>
      </c>
      <c r="F920" s="440">
        <f t="shared" si="41"/>
        <v>143669.55599999998</v>
      </c>
      <c r="G920" s="437"/>
      <c r="H920" s="437"/>
      <c r="I920" s="437"/>
      <c r="J920" s="437"/>
      <c r="K920" s="437"/>
      <c r="L920" s="437"/>
      <c r="M920" s="437"/>
      <c r="N920" s="437"/>
    </row>
    <row r="921" spans="3:14">
      <c r="C921" s="439">
        <v>5</v>
      </c>
      <c r="D921" s="440">
        <f>I906</f>
        <v>143307.15599999999</v>
      </c>
      <c r="E921" s="440">
        <f>I912</f>
        <v>362.40000000000003</v>
      </c>
      <c r="F921" s="440">
        <f t="shared" si="41"/>
        <v>143669.55599999998</v>
      </c>
      <c r="G921" s="437"/>
      <c r="H921" s="437"/>
      <c r="I921" s="437"/>
      <c r="J921" s="437"/>
      <c r="K921" s="437"/>
      <c r="L921" s="437"/>
      <c r="M921" s="437"/>
      <c r="N921" s="437"/>
    </row>
    <row r="922" spans="3:14">
      <c r="C922" s="439">
        <v>6</v>
      </c>
      <c r="D922" s="440">
        <f>J906</f>
        <v>143307.15599999999</v>
      </c>
      <c r="E922" s="440">
        <f>J912</f>
        <v>362.40000000000003</v>
      </c>
      <c r="F922" s="440">
        <f t="shared" si="41"/>
        <v>143669.55599999998</v>
      </c>
      <c r="G922" s="437"/>
      <c r="H922" s="437"/>
      <c r="I922" s="437"/>
      <c r="J922" s="437"/>
      <c r="K922" s="437"/>
      <c r="L922" s="437"/>
      <c r="M922" s="437"/>
      <c r="N922" s="437"/>
    </row>
    <row r="923" spans="3:14">
      <c r="C923" s="439">
        <v>7</v>
      </c>
      <c r="D923" s="440">
        <f>K906</f>
        <v>143307.15599999999</v>
      </c>
      <c r="E923" s="440">
        <f>K912</f>
        <v>362.40000000000003</v>
      </c>
      <c r="F923" s="440">
        <f t="shared" si="41"/>
        <v>143669.55599999998</v>
      </c>
      <c r="G923" s="437"/>
      <c r="H923" s="437"/>
      <c r="I923" s="437"/>
      <c r="J923" s="437"/>
      <c r="K923" s="437"/>
      <c r="L923" s="437"/>
      <c r="M923" s="437"/>
      <c r="N923" s="437"/>
    </row>
    <row r="924" spans="3:14">
      <c r="C924" s="439">
        <v>8</v>
      </c>
      <c r="D924" s="440">
        <f>L906</f>
        <v>143307.15599999999</v>
      </c>
      <c r="E924" s="440">
        <f>L912</f>
        <v>362.40000000000003</v>
      </c>
      <c r="F924" s="440">
        <f t="shared" si="41"/>
        <v>143669.55599999998</v>
      </c>
      <c r="G924" s="437"/>
      <c r="H924" s="437"/>
      <c r="I924" s="437"/>
      <c r="J924" s="437"/>
      <c r="K924" s="437"/>
      <c r="L924" s="437"/>
      <c r="M924" s="437"/>
      <c r="N924" s="437"/>
    </row>
    <row r="925" spans="3:14">
      <c r="C925" s="439">
        <v>9</v>
      </c>
      <c r="D925" s="440">
        <f>M906</f>
        <v>143307.15599999999</v>
      </c>
      <c r="E925" s="440">
        <f>M912</f>
        <v>362.40000000000003</v>
      </c>
      <c r="F925" s="440">
        <f t="shared" si="41"/>
        <v>143669.55599999998</v>
      </c>
      <c r="G925" s="437"/>
      <c r="H925" s="437"/>
      <c r="I925" s="437"/>
      <c r="J925" s="437"/>
      <c r="K925" s="437"/>
      <c r="L925" s="437"/>
      <c r="M925" s="437"/>
      <c r="N925" s="437"/>
    </row>
    <row r="926" spans="3:14">
      <c r="C926" s="439">
        <v>10</v>
      </c>
      <c r="D926" s="440">
        <f>N906</f>
        <v>143307.15599999999</v>
      </c>
      <c r="E926" s="440">
        <f>N912</f>
        <v>362.40000000000003</v>
      </c>
      <c r="F926" s="440">
        <f t="shared" si="41"/>
        <v>143669.55599999998</v>
      </c>
      <c r="G926" s="437"/>
      <c r="H926" s="437"/>
      <c r="I926" s="437"/>
      <c r="J926" s="437"/>
      <c r="K926" s="437"/>
      <c r="L926" s="437"/>
      <c r="M926" s="437"/>
      <c r="N926" s="437"/>
    </row>
    <row r="927" spans="3:14">
      <c r="C927" s="441" t="s">
        <v>76</v>
      </c>
      <c r="D927" s="442">
        <f>SUM(D917:D926)</f>
        <v>1433071.5599999998</v>
      </c>
      <c r="E927" s="442">
        <f>SUM(E917:E926)</f>
        <v>3624.0000000000005</v>
      </c>
      <c r="F927" s="442">
        <f>SUM(F917:F926)</f>
        <v>1436695.5599999996</v>
      </c>
      <c r="G927" s="443"/>
      <c r="H927" s="437"/>
      <c r="I927" s="437"/>
      <c r="J927" s="437"/>
      <c r="K927" s="437"/>
      <c r="L927" s="437"/>
      <c r="M927" s="437"/>
      <c r="N927" s="437"/>
    </row>
    <row r="928" spans="3:14">
      <c r="C928" s="2112" t="s">
        <v>733</v>
      </c>
      <c r="D928" s="2112"/>
      <c r="E928" s="2112"/>
      <c r="F928" s="2112"/>
      <c r="G928" s="444"/>
      <c r="H928" s="437"/>
      <c r="I928" s="437"/>
      <c r="J928" s="437"/>
      <c r="K928" s="437"/>
      <c r="L928" s="437"/>
      <c r="M928" s="437"/>
      <c r="N928" s="437"/>
    </row>
    <row r="931" spans="3:14">
      <c r="C931" s="2113" t="s">
        <v>734</v>
      </c>
      <c r="D931" s="2113"/>
      <c r="E931" s="2113"/>
      <c r="F931" s="2113"/>
      <c r="G931" s="2113"/>
      <c r="H931" s="2113"/>
      <c r="I931" s="2113"/>
      <c r="J931" s="2113"/>
      <c r="K931" s="2113"/>
      <c r="L931" s="2113"/>
      <c r="M931" s="2113"/>
      <c r="N931" s="2113"/>
    </row>
    <row r="932" spans="3:14">
      <c r="C932" s="429" t="s">
        <v>2</v>
      </c>
      <c r="D932" s="429" t="s">
        <v>65</v>
      </c>
      <c r="E932" s="429" t="s">
        <v>3</v>
      </c>
      <c r="F932" s="429" t="s">
        <v>4</v>
      </c>
      <c r="G932" s="429" t="s">
        <v>14</v>
      </c>
      <c r="H932" s="429" t="s">
        <v>23</v>
      </c>
      <c r="I932" s="429" t="s">
        <v>24</v>
      </c>
      <c r="J932" s="429" t="s">
        <v>25</v>
      </c>
      <c r="K932" s="429" t="s">
        <v>26</v>
      </c>
      <c r="L932" s="429" t="s">
        <v>27</v>
      </c>
      <c r="M932" s="429" t="s">
        <v>28</v>
      </c>
      <c r="N932" s="429" t="s">
        <v>5</v>
      </c>
    </row>
    <row r="933" spans="3:14">
      <c r="C933" s="385" t="s">
        <v>98</v>
      </c>
      <c r="D933" s="386">
        <f>+H878</f>
        <v>142335.47999999998</v>
      </c>
      <c r="E933" s="386">
        <f>+D933</f>
        <v>142335.47999999998</v>
      </c>
      <c r="F933" s="386">
        <f t="shared" ref="F933:N933" si="42">+E933</f>
        <v>142335.47999999998</v>
      </c>
      <c r="G933" s="386">
        <f t="shared" si="42"/>
        <v>142335.47999999998</v>
      </c>
      <c r="H933" s="386">
        <f t="shared" si="42"/>
        <v>142335.47999999998</v>
      </c>
      <c r="I933" s="386">
        <f t="shared" si="42"/>
        <v>142335.47999999998</v>
      </c>
      <c r="J933" s="386">
        <f t="shared" si="42"/>
        <v>142335.47999999998</v>
      </c>
      <c r="K933" s="386">
        <f t="shared" si="42"/>
        <v>142335.47999999998</v>
      </c>
      <c r="L933" s="386">
        <f t="shared" si="42"/>
        <v>142335.47999999998</v>
      </c>
      <c r="M933" s="386">
        <f t="shared" si="42"/>
        <v>142335.47999999998</v>
      </c>
      <c r="N933" s="386">
        <f t="shared" si="42"/>
        <v>142335.47999999998</v>
      </c>
    </row>
    <row r="934" spans="3:14">
      <c r="C934" s="385" t="s">
        <v>728</v>
      </c>
      <c r="D934" s="386">
        <f>+H884</f>
        <v>823.45423728813557</v>
      </c>
      <c r="E934" s="386">
        <f>+D934</f>
        <v>823.45423728813557</v>
      </c>
      <c r="F934" s="386">
        <f t="shared" ref="F934:N934" si="43">+E934</f>
        <v>823.45423728813557</v>
      </c>
      <c r="G934" s="386">
        <f t="shared" si="43"/>
        <v>823.45423728813557</v>
      </c>
      <c r="H934" s="386">
        <f t="shared" si="43"/>
        <v>823.45423728813557</v>
      </c>
      <c r="I934" s="386">
        <f t="shared" si="43"/>
        <v>823.45423728813557</v>
      </c>
      <c r="J934" s="386">
        <f t="shared" si="43"/>
        <v>823.45423728813557</v>
      </c>
      <c r="K934" s="386">
        <f t="shared" si="43"/>
        <v>823.45423728813557</v>
      </c>
      <c r="L934" s="386">
        <f t="shared" si="43"/>
        <v>823.45423728813557</v>
      </c>
      <c r="M934" s="386">
        <f t="shared" si="43"/>
        <v>823.45423728813557</v>
      </c>
      <c r="N934" s="386">
        <f t="shared" si="43"/>
        <v>823.45423728813557</v>
      </c>
    </row>
    <row r="935" spans="3:14">
      <c r="C935" s="14" t="s">
        <v>76</v>
      </c>
      <c r="D935" s="396">
        <f t="shared" ref="D935:N935" si="44">SUM(D933:D934)</f>
        <v>143158.93423728811</v>
      </c>
      <c r="E935" s="396">
        <f t="shared" si="44"/>
        <v>143158.93423728811</v>
      </c>
      <c r="F935" s="396">
        <f t="shared" si="44"/>
        <v>143158.93423728811</v>
      </c>
      <c r="G935" s="396">
        <f t="shared" si="44"/>
        <v>143158.93423728811</v>
      </c>
      <c r="H935" s="396">
        <f t="shared" si="44"/>
        <v>143158.93423728811</v>
      </c>
      <c r="I935" s="396">
        <f t="shared" si="44"/>
        <v>143158.93423728811</v>
      </c>
      <c r="J935" s="396">
        <f t="shared" si="44"/>
        <v>143158.93423728811</v>
      </c>
      <c r="K935" s="396">
        <f t="shared" si="44"/>
        <v>143158.93423728811</v>
      </c>
      <c r="L935" s="396">
        <f t="shared" si="44"/>
        <v>143158.93423728811</v>
      </c>
      <c r="M935" s="396">
        <f t="shared" si="44"/>
        <v>143158.93423728811</v>
      </c>
      <c r="N935" s="396">
        <f t="shared" si="44"/>
        <v>143158.93423728811</v>
      </c>
    </row>
    <row r="936" spans="3:14">
      <c r="C936" s="445" t="s">
        <v>735</v>
      </c>
      <c r="D936" s="446"/>
      <c r="E936" s="446"/>
      <c r="F936" s="446"/>
      <c r="G936" s="446"/>
      <c r="H936" s="446"/>
      <c r="I936" s="446"/>
      <c r="J936" s="446"/>
      <c r="K936" s="446"/>
      <c r="L936" s="446"/>
      <c r="M936" s="446"/>
      <c r="N936" s="446"/>
    </row>
    <row r="937" spans="3:14">
      <c r="C937" s="2113" t="s">
        <v>736</v>
      </c>
      <c r="D937" s="2113"/>
      <c r="E937" s="2113"/>
      <c r="F937" s="2113"/>
      <c r="G937" s="2113"/>
      <c r="H937" s="2113"/>
      <c r="I937" s="2113"/>
      <c r="J937" s="2113"/>
      <c r="K937" s="2113"/>
      <c r="L937" s="2113"/>
      <c r="M937" s="2113"/>
      <c r="N937" s="2113"/>
    </row>
    <row r="938" spans="3:14">
      <c r="C938" s="429" t="s">
        <v>2</v>
      </c>
      <c r="D938" s="429" t="s">
        <v>65</v>
      </c>
      <c r="E938" s="429" t="s">
        <v>3</v>
      </c>
      <c r="F938" s="429" t="s">
        <v>4</v>
      </c>
      <c r="G938" s="429" t="s">
        <v>14</v>
      </c>
      <c r="H938" s="429" t="s">
        <v>23</v>
      </c>
      <c r="I938" s="429" t="s">
        <v>24</v>
      </c>
      <c r="J938" s="429" t="s">
        <v>25</v>
      </c>
      <c r="K938" s="429" t="s">
        <v>26</v>
      </c>
      <c r="L938" s="429" t="s">
        <v>27</v>
      </c>
      <c r="M938" s="429" t="s">
        <v>28</v>
      </c>
      <c r="N938" s="429" t="s">
        <v>5</v>
      </c>
    </row>
    <row r="939" spans="3:14" ht="60">
      <c r="C939" s="447" t="str">
        <f>+C910</f>
        <v>Mantenimiento de la infraestructura y mobiliario</v>
      </c>
      <c r="D939" s="448">
        <f>+G891</f>
        <v>307.11864406779665</v>
      </c>
      <c r="E939" s="448">
        <f>+E910/1.18</f>
        <v>307.11864406779665</v>
      </c>
      <c r="F939" s="448">
        <f t="shared" ref="F939:N940" si="45">+F910/1.18</f>
        <v>307.11864406779665</v>
      </c>
      <c r="G939" s="448">
        <f t="shared" si="45"/>
        <v>307.11864406779665</v>
      </c>
      <c r="H939" s="448">
        <f t="shared" si="45"/>
        <v>307.11864406779665</v>
      </c>
      <c r="I939" s="448">
        <f t="shared" si="45"/>
        <v>307.11864406779665</v>
      </c>
      <c r="J939" s="448">
        <f t="shared" si="45"/>
        <v>307.11864406779665</v>
      </c>
      <c r="K939" s="448">
        <f t="shared" si="45"/>
        <v>307.11864406779665</v>
      </c>
      <c r="L939" s="448">
        <f t="shared" si="45"/>
        <v>307.11864406779665</v>
      </c>
      <c r="M939" s="448">
        <f t="shared" si="45"/>
        <v>307.11864406779665</v>
      </c>
      <c r="N939" s="448">
        <f t="shared" si="45"/>
        <v>307.11864406779665</v>
      </c>
    </row>
    <row r="940" spans="3:14">
      <c r="C940" s="434" t="s">
        <v>730</v>
      </c>
      <c r="D940" s="448">
        <f>+G892</f>
        <v>0</v>
      </c>
      <c r="E940" s="448">
        <f>+E911/1.18</f>
        <v>0</v>
      </c>
      <c r="F940" s="448">
        <f t="shared" si="45"/>
        <v>0</v>
      </c>
      <c r="G940" s="448">
        <f t="shared" si="45"/>
        <v>0</v>
      </c>
      <c r="H940" s="448">
        <f t="shared" si="45"/>
        <v>0</v>
      </c>
      <c r="I940" s="448">
        <f t="shared" si="45"/>
        <v>0</v>
      </c>
      <c r="J940" s="448">
        <f t="shared" si="45"/>
        <v>0</v>
      </c>
      <c r="K940" s="448">
        <f t="shared" si="45"/>
        <v>0</v>
      </c>
      <c r="L940" s="448">
        <f t="shared" si="45"/>
        <v>0</v>
      </c>
      <c r="M940" s="448">
        <f t="shared" si="45"/>
        <v>0</v>
      </c>
      <c r="N940" s="448">
        <f t="shared" si="45"/>
        <v>0</v>
      </c>
    </row>
    <row r="941" spans="3:14">
      <c r="C941" s="14" t="s">
        <v>76</v>
      </c>
      <c r="D941" s="396">
        <f>SUM(D939:D940)</f>
        <v>307.11864406779665</v>
      </c>
      <c r="E941" s="396">
        <f>SUM(E939:E940)</f>
        <v>307.11864406779665</v>
      </c>
      <c r="F941" s="396">
        <f t="shared" ref="F941:N941" si="46">SUM(F939:F940)</f>
        <v>307.11864406779665</v>
      </c>
      <c r="G941" s="396">
        <f t="shared" si="46"/>
        <v>307.11864406779665</v>
      </c>
      <c r="H941" s="396">
        <f t="shared" si="46"/>
        <v>307.11864406779665</v>
      </c>
      <c r="I941" s="396">
        <f t="shared" si="46"/>
        <v>307.11864406779665</v>
      </c>
      <c r="J941" s="396">
        <f t="shared" si="46"/>
        <v>307.11864406779665</v>
      </c>
      <c r="K941" s="396">
        <f t="shared" si="46"/>
        <v>307.11864406779665</v>
      </c>
      <c r="L941" s="396">
        <f t="shared" si="46"/>
        <v>307.11864406779665</v>
      </c>
      <c r="M941" s="396">
        <f t="shared" si="46"/>
        <v>307.11864406779665</v>
      </c>
      <c r="N941" s="396">
        <f t="shared" si="46"/>
        <v>307.11864406779665</v>
      </c>
    </row>
    <row r="942" spans="3:14">
      <c r="C942" s="13" t="s">
        <v>735</v>
      </c>
      <c r="D942" s="449"/>
      <c r="E942" s="449"/>
      <c r="F942" s="449"/>
      <c r="G942" s="449"/>
      <c r="H942" s="449"/>
      <c r="I942" s="449"/>
      <c r="J942" s="387"/>
      <c r="K942" s="387"/>
      <c r="L942" s="387"/>
      <c r="M942" s="387"/>
      <c r="N942" s="387"/>
    </row>
    <row r="943" spans="3:14">
      <c r="C943" s="43"/>
      <c r="D943" s="43"/>
      <c r="E943" s="43"/>
      <c r="F943" s="43"/>
      <c r="G943" s="43"/>
      <c r="H943" s="43"/>
      <c r="I943" s="43"/>
      <c r="J943" s="43"/>
      <c r="K943" s="43"/>
      <c r="L943" s="43"/>
      <c r="M943" s="43"/>
      <c r="N943" s="43"/>
    </row>
    <row r="944" spans="3:14">
      <c r="C944" s="2114" t="s">
        <v>737</v>
      </c>
      <c r="D944" s="2114"/>
      <c r="E944" s="2114"/>
      <c r="F944" s="2114"/>
      <c r="G944" s="450"/>
      <c r="H944" s="450"/>
      <c r="I944" s="450"/>
      <c r="J944" s="450"/>
      <c r="K944" s="450"/>
      <c r="L944" s="450"/>
      <c r="M944" s="450"/>
      <c r="N944" s="450"/>
    </row>
    <row r="945" spans="3:14">
      <c r="C945" s="27" t="s">
        <v>115</v>
      </c>
      <c r="D945" s="27" t="s">
        <v>97</v>
      </c>
      <c r="E945" s="27" t="s">
        <v>100</v>
      </c>
      <c r="F945" s="27" t="s">
        <v>76</v>
      </c>
      <c r="G945" s="43"/>
      <c r="H945" s="43"/>
      <c r="I945" s="43"/>
      <c r="J945" s="43"/>
      <c r="K945" s="43"/>
      <c r="L945" s="43"/>
      <c r="M945" s="43"/>
      <c r="N945" s="43"/>
    </row>
    <row r="946" spans="3:14">
      <c r="C946" s="451">
        <v>1</v>
      </c>
      <c r="D946" s="452">
        <f>E935</f>
        <v>143158.93423728811</v>
      </c>
      <c r="E946" s="452">
        <f>E941</f>
        <v>307.11864406779665</v>
      </c>
      <c r="F946" s="452">
        <f t="shared" ref="F946:F955" si="47">D946+E946</f>
        <v>143466.05288135589</v>
      </c>
      <c r="G946" s="43"/>
      <c r="H946" s="43"/>
      <c r="I946" s="43"/>
      <c r="J946" s="43"/>
      <c r="K946" s="43"/>
      <c r="L946" s="43"/>
      <c r="M946" s="43"/>
      <c r="N946" s="43"/>
    </row>
    <row r="947" spans="3:14">
      <c r="C947" s="451">
        <v>2</v>
      </c>
      <c r="D947" s="452">
        <f>F935</f>
        <v>143158.93423728811</v>
      </c>
      <c r="E947" s="452">
        <f>F941</f>
        <v>307.11864406779665</v>
      </c>
      <c r="F947" s="452">
        <f t="shared" si="47"/>
        <v>143466.05288135589</v>
      </c>
      <c r="G947" s="43"/>
      <c r="H947" s="43"/>
      <c r="I947" s="43"/>
      <c r="J947" s="43"/>
      <c r="K947" s="43"/>
      <c r="L947" s="43"/>
      <c r="M947" s="43"/>
      <c r="N947" s="43"/>
    </row>
    <row r="948" spans="3:14">
      <c r="C948" s="451">
        <v>3</v>
      </c>
      <c r="D948" s="452">
        <f>G935</f>
        <v>143158.93423728811</v>
      </c>
      <c r="E948" s="452">
        <f>G941</f>
        <v>307.11864406779665</v>
      </c>
      <c r="F948" s="452">
        <f t="shared" si="47"/>
        <v>143466.05288135589</v>
      </c>
      <c r="G948" s="43"/>
      <c r="H948" s="43"/>
      <c r="I948" s="43"/>
      <c r="J948" s="43"/>
      <c r="K948" s="43"/>
      <c r="L948" s="43"/>
      <c r="M948" s="43"/>
      <c r="N948" s="43"/>
    </row>
    <row r="949" spans="3:14">
      <c r="C949" s="451">
        <v>4</v>
      </c>
      <c r="D949" s="452">
        <f>H935</f>
        <v>143158.93423728811</v>
      </c>
      <c r="E949" s="452">
        <f>H941</f>
        <v>307.11864406779665</v>
      </c>
      <c r="F949" s="452">
        <f t="shared" si="47"/>
        <v>143466.05288135589</v>
      </c>
      <c r="G949" s="43"/>
      <c r="H949" s="43"/>
      <c r="I949" s="43"/>
      <c r="J949" s="43"/>
      <c r="K949" s="43"/>
      <c r="L949" s="43"/>
      <c r="M949" s="43"/>
      <c r="N949" s="43"/>
    </row>
    <row r="950" spans="3:14">
      <c r="C950" s="451">
        <v>5</v>
      </c>
      <c r="D950" s="452">
        <f>I935</f>
        <v>143158.93423728811</v>
      </c>
      <c r="E950" s="452">
        <f>I941</f>
        <v>307.11864406779665</v>
      </c>
      <c r="F950" s="452">
        <f t="shared" si="47"/>
        <v>143466.05288135589</v>
      </c>
      <c r="G950" s="43"/>
      <c r="H950" s="43"/>
      <c r="I950" s="43"/>
      <c r="J950" s="43"/>
      <c r="K950" s="43"/>
      <c r="L950" s="43"/>
      <c r="M950" s="43"/>
      <c r="N950" s="43"/>
    </row>
    <row r="951" spans="3:14">
      <c r="C951" s="451">
        <v>6</v>
      </c>
      <c r="D951" s="452">
        <f>J935</f>
        <v>143158.93423728811</v>
      </c>
      <c r="E951" s="452">
        <f>J941</f>
        <v>307.11864406779665</v>
      </c>
      <c r="F951" s="452">
        <f t="shared" si="47"/>
        <v>143466.05288135589</v>
      </c>
      <c r="G951" s="43"/>
      <c r="H951" s="43"/>
      <c r="I951" s="43"/>
      <c r="J951" s="43"/>
      <c r="K951" s="43"/>
      <c r="L951" s="43"/>
      <c r="M951" s="43"/>
      <c r="N951" s="43"/>
    </row>
    <row r="952" spans="3:14">
      <c r="C952" s="451">
        <v>7</v>
      </c>
      <c r="D952" s="452">
        <f>K935</f>
        <v>143158.93423728811</v>
      </c>
      <c r="E952" s="452">
        <f>K941</f>
        <v>307.11864406779665</v>
      </c>
      <c r="F952" s="452">
        <f t="shared" si="47"/>
        <v>143466.05288135589</v>
      </c>
      <c r="G952" s="43"/>
      <c r="H952" s="43"/>
      <c r="I952" s="43"/>
      <c r="J952" s="43"/>
      <c r="K952" s="43"/>
      <c r="L952" s="43"/>
      <c r="M952" s="43"/>
      <c r="N952" s="43"/>
    </row>
    <row r="953" spans="3:14">
      <c r="C953" s="451">
        <v>8</v>
      </c>
      <c r="D953" s="452">
        <f>L935</f>
        <v>143158.93423728811</v>
      </c>
      <c r="E953" s="452">
        <f>L941</f>
        <v>307.11864406779665</v>
      </c>
      <c r="F953" s="452">
        <f t="shared" si="47"/>
        <v>143466.05288135589</v>
      </c>
      <c r="G953" s="43"/>
      <c r="H953" s="43"/>
      <c r="I953" s="43"/>
      <c r="J953" s="43"/>
      <c r="K953" s="43"/>
      <c r="L953" s="43"/>
      <c r="M953" s="43"/>
      <c r="N953" s="43"/>
    </row>
    <row r="954" spans="3:14">
      <c r="C954" s="451">
        <v>9</v>
      </c>
      <c r="D954" s="452">
        <f>M935</f>
        <v>143158.93423728811</v>
      </c>
      <c r="E954" s="452">
        <f>M941</f>
        <v>307.11864406779665</v>
      </c>
      <c r="F954" s="452">
        <f t="shared" si="47"/>
        <v>143466.05288135589</v>
      </c>
      <c r="G954" s="43"/>
      <c r="H954" s="43"/>
      <c r="I954" s="43"/>
      <c r="J954" s="43"/>
      <c r="K954" s="43"/>
      <c r="L954" s="43"/>
      <c r="M954" s="43"/>
      <c r="N954" s="43"/>
    </row>
    <row r="955" spans="3:14">
      <c r="C955" s="451">
        <v>10</v>
      </c>
      <c r="D955" s="452">
        <f>N935</f>
        <v>143158.93423728811</v>
      </c>
      <c r="E955" s="452">
        <f>N941</f>
        <v>307.11864406779665</v>
      </c>
      <c r="F955" s="452">
        <f t="shared" si="47"/>
        <v>143466.05288135589</v>
      </c>
      <c r="G955" s="43"/>
      <c r="H955" s="43"/>
      <c r="I955" s="43"/>
      <c r="J955" s="43"/>
      <c r="K955" s="43"/>
      <c r="L955" s="43"/>
      <c r="M955" s="43"/>
      <c r="N955" s="43"/>
    </row>
    <row r="956" spans="3:14">
      <c r="C956" s="441" t="s">
        <v>76</v>
      </c>
      <c r="D956" s="416">
        <f>SUM(D946:D955)</f>
        <v>1431589.342372881</v>
      </c>
      <c r="E956" s="416">
        <f>SUM(E946:E955)</f>
        <v>3071.1864406779664</v>
      </c>
      <c r="F956" s="416">
        <f>SUM(F946:F955)</f>
        <v>1434660.5288135589</v>
      </c>
      <c r="G956" s="389"/>
      <c r="H956" s="43"/>
      <c r="I956" s="43"/>
      <c r="J956" s="43"/>
      <c r="K956" s="43"/>
      <c r="L956" s="43"/>
      <c r="M956" s="43"/>
      <c r="N956" s="43"/>
    </row>
    <row r="957" spans="3:14">
      <c r="C957" s="453" t="s">
        <v>738</v>
      </c>
      <c r="D957" s="453"/>
      <c r="E957" s="453"/>
      <c r="F957" s="453"/>
      <c r="G957" s="453"/>
      <c r="H957" s="43"/>
      <c r="I957" s="43"/>
      <c r="J957" s="43"/>
      <c r="K957" s="43"/>
      <c r="L957" s="43"/>
      <c r="M957" s="43"/>
      <c r="N957" s="43"/>
    </row>
    <row r="958" spans="3:14">
      <c r="C958" s="43"/>
      <c r="D958" s="43"/>
      <c r="E958" s="43"/>
      <c r="F958" s="43"/>
      <c r="G958" s="389"/>
      <c r="H958" s="43"/>
      <c r="I958" s="43"/>
      <c r="J958" s="43"/>
      <c r="K958" s="43"/>
      <c r="L958" s="43"/>
      <c r="M958" s="43"/>
      <c r="N958" s="43"/>
    </row>
    <row r="959" spans="3:14">
      <c r="C959" s="43"/>
      <c r="D959" s="43"/>
      <c r="E959" s="43"/>
      <c r="F959" s="43"/>
      <c r="G959" s="43"/>
      <c r="H959" s="43"/>
      <c r="I959" s="43"/>
      <c r="J959" s="43"/>
      <c r="K959" s="43"/>
      <c r="L959" s="43"/>
      <c r="M959" s="43"/>
      <c r="N959" s="43"/>
    </row>
    <row r="963" spans="3:18">
      <c r="C963" s="2115" t="s">
        <v>739</v>
      </c>
      <c r="D963" s="2115"/>
      <c r="E963" s="2115"/>
      <c r="F963" s="2115"/>
      <c r="G963" s="2115"/>
      <c r="H963" s="2115"/>
      <c r="I963" s="2115"/>
      <c r="N963" s="30"/>
      <c r="O963" s="30"/>
    </row>
    <row r="964" spans="3:18" ht="40.5">
      <c r="C964" s="454" t="s">
        <v>2</v>
      </c>
      <c r="D964" s="454" t="s">
        <v>713</v>
      </c>
      <c r="E964" s="454" t="s">
        <v>73</v>
      </c>
      <c r="F964" s="454" t="s">
        <v>714</v>
      </c>
      <c r="G964" s="454" t="s">
        <v>740</v>
      </c>
      <c r="H964" s="454" t="s">
        <v>741</v>
      </c>
      <c r="I964" s="454" t="s">
        <v>725</v>
      </c>
      <c r="K964" s="30"/>
      <c r="L964" s="30"/>
      <c r="M964" s="30"/>
      <c r="N964" s="30"/>
      <c r="O964" s="30"/>
      <c r="P964" s="30"/>
      <c r="Q964" s="30"/>
    </row>
    <row r="965" spans="3:18">
      <c r="C965" s="2104" t="s">
        <v>718</v>
      </c>
      <c r="D965" s="2105"/>
      <c r="E965" s="2105"/>
      <c r="F965" s="2105"/>
      <c r="G965" s="2106"/>
      <c r="H965" s="455">
        <f>SUM(H966:H974)</f>
        <v>336239.88</v>
      </c>
      <c r="I965" s="455">
        <f t="shared" ref="I965:I974" si="48">H965/1</f>
        <v>336239.88</v>
      </c>
      <c r="K965" s="30"/>
      <c r="L965" s="30"/>
      <c r="M965" s="30"/>
      <c r="N965" s="30"/>
      <c r="O965" s="30"/>
      <c r="P965" s="30"/>
      <c r="Q965" s="30"/>
    </row>
    <row r="966" spans="3:18">
      <c r="C966" s="456" t="s">
        <v>742</v>
      </c>
      <c r="D966" s="457" t="s">
        <v>719</v>
      </c>
      <c r="E966" s="457">
        <v>1</v>
      </c>
      <c r="F966" s="458">
        <f>+D843</f>
        <v>1943.63</v>
      </c>
      <c r="G966" s="459">
        <f>E843</f>
        <v>600</v>
      </c>
      <c r="H966" s="460">
        <f t="shared" ref="H966:H974" si="49">(E966*F966*12)+G966</f>
        <v>23923.56</v>
      </c>
      <c r="I966" s="460">
        <f t="shared" si="48"/>
        <v>23923.56</v>
      </c>
      <c r="K966" s="461"/>
      <c r="L966" s="30"/>
      <c r="M966" s="30"/>
      <c r="N966" s="30"/>
      <c r="O966" s="30"/>
      <c r="P966" s="30"/>
      <c r="Q966" s="30"/>
    </row>
    <row r="967" spans="3:18">
      <c r="C967" s="462" t="s">
        <v>688</v>
      </c>
      <c r="D967" s="463" t="s">
        <v>719</v>
      </c>
      <c r="E967" s="463">
        <v>1</v>
      </c>
      <c r="F967" s="458">
        <f>+D844</f>
        <v>1396</v>
      </c>
      <c r="G967" s="459">
        <f>E844</f>
        <v>300</v>
      </c>
      <c r="H967" s="460">
        <f t="shared" si="49"/>
        <v>17052</v>
      </c>
      <c r="I967" s="460">
        <f t="shared" si="48"/>
        <v>17052</v>
      </c>
      <c r="K967" s="466"/>
      <c r="L967" s="30"/>
      <c r="M967" s="30"/>
      <c r="N967" s="30"/>
      <c r="O967" s="30"/>
      <c r="P967" s="30"/>
      <c r="Q967" s="30"/>
    </row>
    <row r="968" spans="3:18">
      <c r="C968" s="462" t="s">
        <v>688</v>
      </c>
      <c r="D968" s="463" t="s">
        <v>719</v>
      </c>
      <c r="E968" s="463">
        <v>1</v>
      </c>
      <c r="F968" s="458">
        <f>+D845</f>
        <v>1396</v>
      </c>
      <c r="G968" s="459">
        <f>E845</f>
        <v>300</v>
      </c>
      <c r="H968" s="460">
        <f t="shared" si="49"/>
        <v>17052</v>
      </c>
      <c r="I968" s="460">
        <f t="shared" si="48"/>
        <v>17052</v>
      </c>
      <c r="K968" s="30"/>
      <c r="L968" s="30"/>
      <c r="M968" s="30"/>
      <c r="N968" s="30"/>
      <c r="O968" s="30"/>
      <c r="P968" s="30"/>
      <c r="Q968" s="30"/>
    </row>
    <row r="969" spans="3:18">
      <c r="C969" s="462" t="s">
        <v>688</v>
      </c>
      <c r="D969" s="463" t="s">
        <v>719</v>
      </c>
      <c r="E969" s="463">
        <v>1</v>
      </c>
      <c r="F969" s="458">
        <f>+D846</f>
        <v>1943.63</v>
      </c>
      <c r="G969" s="459">
        <f>E846</f>
        <v>600</v>
      </c>
      <c r="H969" s="460">
        <f t="shared" si="49"/>
        <v>23923.56</v>
      </c>
      <c r="I969" s="460">
        <f t="shared" si="48"/>
        <v>23923.56</v>
      </c>
      <c r="K969" s="30"/>
      <c r="L969" s="30"/>
      <c r="M969" s="30"/>
      <c r="N969" s="30"/>
      <c r="O969" s="30"/>
      <c r="P969" s="30"/>
      <c r="Q969" s="30"/>
    </row>
    <row r="970" spans="3:18">
      <c r="C970" s="462" t="s">
        <v>688</v>
      </c>
      <c r="D970" s="463" t="s">
        <v>719</v>
      </c>
      <c r="E970" s="463">
        <v>1</v>
      </c>
      <c r="F970" s="458">
        <f>+D847</f>
        <v>1943.63</v>
      </c>
      <c r="G970" s="459">
        <f>E847</f>
        <v>300</v>
      </c>
      <c r="H970" s="460">
        <f t="shared" si="49"/>
        <v>23623.56</v>
      </c>
      <c r="I970" s="460">
        <f t="shared" si="48"/>
        <v>23623.56</v>
      </c>
      <c r="K970" s="30"/>
      <c r="L970" s="30"/>
      <c r="M970" s="30"/>
      <c r="N970" s="30"/>
      <c r="O970" s="30"/>
      <c r="P970" s="30"/>
      <c r="Q970" s="30"/>
    </row>
    <row r="971" spans="3:18">
      <c r="C971" s="462" t="s">
        <v>743</v>
      </c>
      <c r="D971" s="463" t="s">
        <v>719</v>
      </c>
      <c r="E971" s="467">
        <v>8</v>
      </c>
      <c r="F971" s="464">
        <f>+F967</f>
        <v>1396</v>
      </c>
      <c r="G971" s="465">
        <f>+G967</f>
        <v>300</v>
      </c>
      <c r="H971" s="460">
        <f t="shared" si="49"/>
        <v>134316</v>
      </c>
      <c r="I971" s="460">
        <f t="shared" si="48"/>
        <v>134316</v>
      </c>
      <c r="K971" s="30"/>
      <c r="L971" s="30"/>
      <c r="M971" s="30"/>
      <c r="N971" s="30"/>
      <c r="O971" s="30"/>
      <c r="P971" s="30"/>
      <c r="Q971" s="30"/>
    </row>
    <row r="972" spans="3:18">
      <c r="C972" s="462" t="s">
        <v>691</v>
      </c>
      <c r="D972" s="463" t="s">
        <v>719</v>
      </c>
      <c r="E972" s="463">
        <v>1</v>
      </c>
      <c r="F972" s="464">
        <f>+D848</f>
        <v>1292.4000000000001</v>
      </c>
      <c r="G972" s="465">
        <f>+E848</f>
        <v>600</v>
      </c>
      <c r="H972" s="460">
        <f t="shared" si="49"/>
        <v>16108.800000000001</v>
      </c>
      <c r="I972" s="460">
        <f t="shared" si="48"/>
        <v>16108.800000000001</v>
      </c>
      <c r="K972" s="30"/>
      <c r="L972" s="30"/>
      <c r="M972" s="30"/>
      <c r="N972" s="30"/>
      <c r="O972" s="30"/>
      <c r="P972" s="30"/>
      <c r="Q972" s="30"/>
    </row>
    <row r="973" spans="3:18">
      <c r="C973" s="462" t="s">
        <v>744</v>
      </c>
      <c r="D973" s="463" t="s">
        <v>719</v>
      </c>
      <c r="E973" s="467">
        <v>5</v>
      </c>
      <c r="F973" s="464">
        <v>988.14</v>
      </c>
      <c r="G973" s="465">
        <f>+G971</f>
        <v>300</v>
      </c>
      <c r="H973" s="460">
        <f t="shared" si="49"/>
        <v>59588.399999999994</v>
      </c>
      <c r="I973" s="460">
        <f t="shared" si="48"/>
        <v>59588.399999999994</v>
      </c>
      <c r="K973" s="30"/>
      <c r="L973" s="30"/>
      <c r="M973" s="30"/>
      <c r="N973" s="30"/>
      <c r="O973" s="30"/>
      <c r="P973" s="30"/>
      <c r="Q973" s="30"/>
    </row>
    <row r="974" spans="3:18">
      <c r="C974" s="462" t="s">
        <v>692</v>
      </c>
      <c r="D974" s="463" t="s">
        <v>719</v>
      </c>
      <c r="E974" s="463">
        <v>1</v>
      </c>
      <c r="F974" s="464">
        <f>+D849</f>
        <v>1696</v>
      </c>
      <c r="G974" s="465">
        <f>E849</f>
        <v>300</v>
      </c>
      <c r="H974" s="460">
        <f t="shared" si="49"/>
        <v>20652</v>
      </c>
      <c r="I974" s="460">
        <f t="shared" si="48"/>
        <v>20652</v>
      </c>
      <c r="K974" s="30"/>
      <c r="L974" s="30"/>
      <c r="M974" s="30"/>
      <c r="N974" s="30"/>
      <c r="O974" s="30"/>
      <c r="P974" s="30"/>
      <c r="Q974" s="30"/>
    </row>
    <row r="975" spans="3:18">
      <c r="C975" s="2104" t="s">
        <v>720</v>
      </c>
      <c r="D975" s="2105"/>
      <c r="E975" s="2105"/>
      <c r="F975" s="2105"/>
      <c r="G975" s="2106"/>
      <c r="H975" s="468">
        <f>SUM(H976:H978)</f>
        <v>5055.1027289719632</v>
      </c>
      <c r="I975" s="455">
        <f>H975/1.18</f>
        <v>4283.9853635355621</v>
      </c>
      <c r="K975" s="30"/>
      <c r="L975" s="30"/>
      <c r="M975" s="469" t="s">
        <v>704</v>
      </c>
      <c r="N975" s="30"/>
      <c r="O975" s="30"/>
      <c r="P975" s="30"/>
      <c r="Q975" s="469" t="s">
        <v>702</v>
      </c>
      <c r="R975" s="30"/>
    </row>
    <row r="976" spans="3:18">
      <c r="C976" s="462" t="s">
        <v>704</v>
      </c>
      <c r="D976" s="463" t="s">
        <v>405</v>
      </c>
      <c r="E976" s="463">
        <v>12</v>
      </c>
      <c r="F976" s="470">
        <f>+N978</f>
        <v>115.42056074766356</v>
      </c>
      <c r="G976" s="464"/>
      <c r="H976" s="460">
        <f>+E976*F976</f>
        <v>1385.0467289719627</v>
      </c>
      <c r="I976" s="464">
        <f>H976/1.18</f>
        <v>1173.7684143830193</v>
      </c>
      <c r="K976" s="30"/>
      <c r="L976" s="30"/>
      <c r="M976" s="471" t="s">
        <v>704</v>
      </c>
      <c r="N976" s="472"/>
      <c r="O976" s="30"/>
      <c r="P976" s="30"/>
      <c r="Q976" s="471" t="s">
        <v>702</v>
      </c>
      <c r="R976" s="472"/>
    </row>
    <row r="977" spans="3:18">
      <c r="C977" s="462" t="s">
        <v>702</v>
      </c>
      <c r="D977" s="463" t="s">
        <v>405</v>
      </c>
      <c r="E977" s="463">
        <v>12</v>
      </c>
      <c r="F977" s="470">
        <f>+R978</f>
        <v>185.83800000000002</v>
      </c>
      <c r="G977" s="464"/>
      <c r="H977" s="460">
        <f>+E977*F977</f>
        <v>2230.0560000000005</v>
      </c>
      <c r="I977" s="464">
        <f>H977/1.18</f>
        <v>1889.8779661016954</v>
      </c>
      <c r="K977" s="30"/>
      <c r="L977" s="30"/>
      <c r="M977" s="473" t="s">
        <v>745</v>
      </c>
      <c r="N977" s="473" t="s">
        <v>746</v>
      </c>
      <c r="O977" s="30"/>
      <c r="P977" s="30"/>
      <c r="Q977" s="473" t="s">
        <v>745</v>
      </c>
      <c r="R977" s="473" t="s">
        <v>746</v>
      </c>
    </row>
    <row r="978" spans="3:18" ht="162">
      <c r="C978" s="462" t="s">
        <v>747</v>
      </c>
      <c r="D978" s="463" t="s">
        <v>114</v>
      </c>
      <c r="E978" s="463">
        <v>12</v>
      </c>
      <c r="F978" s="470">
        <v>120</v>
      </c>
      <c r="G978" s="464"/>
      <c r="H978" s="460">
        <f>E978*F978</f>
        <v>1440</v>
      </c>
      <c r="I978" s="464">
        <f>H978/1.18</f>
        <v>1220.3389830508474</v>
      </c>
      <c r="K978" s="30"/>
      <c r="L978" s="474" t="s">
        <v>748</v>
      </c>
      <c r="M978" s="475">
        <f>K863/12</f>
        <v>50</v>
      </c>
      <c r="N978" s="476">
        <f>+(M978*N979)/M979</f>
        <v>115.42056074766356</v>
      </c>
      <c r="O978" s="30"/>
      <c r="P978" s="474" t="s">
        <v>748</v>
      </c>
      <c r="Q978" s="475">
        <f>K862/12</f>
        <v>30.973000000000003</v>
      </c>
      <c r="R978" s="476">
        <f>+(Q978*R979)/Q979</f>
        <v>185.83800000000002</v>
      </c>
    </row>
    <row r="979" spans="3:18" ht="135">
      <c r="C979" s="2107" t="s">
        <v>0</v>
      </c>
      <c r="D979" s="2108"/>
      <c r="E979" s="2108"/>
      <c r="F979" s="2108"/>
      <c r="G979" s="2109"/>
      <c r="H979" s="477">
        <f>H965+H975</f>
        <v>341294.98272897198</v>
      </c>
      <c r="I979" s="477">
        <f>I965+I975</f>
        <v>340523.86536353559</v>
      </c>
      <c r="K979" s="30"/>
      <c r="L979" s="478" t="s">
        <v>749</v>
      </c>
      <c r="M979" s="479">
        <v>107</v>
      </c>
      <c r="N979" s="479">
        <v>247</v>
      </c>
      <c r="O979" s="30"/>
      <c r="P979" s="478" t="s">
        <v>750</v>
      </c>
      <c r="Q979" s="480">
        <v>2</v>
      </c>
      <c r="R979" s="480">
        <v>12</v>
      </c>
    </row>
    <row r="980" spans="3:18" ht="216">
      <c r="C980" s="30" t="s">
        <v>751</v>
      </c>
      <c r="D980" s="481"/>
      <c r="E980" s="481"/>
      <c r="F980" s="481"/>
      <c r="G980" s="481"/>
      <c r="H980" s="481"/>
      <c r="I980" s="481"/>
      <c r="J980" s="30"/>
      <c r="K980" s="30"/>
      <c r="L980" s="478" t="s">
        <v>752</v>
      </c>
      <c r="M980" s="2110">
        <f>M978/M979</f>
        <v>0.46728971962616822</v>
      </c>
      <c r="N980" s="2111"/>
      <c r="O980" s="30"/>
      <c r="P980" s="478" t="s">
        <v>753</v>
      </c>
      <c r="Q980" s="2110">
        <f>Q978/Q979</f>
        <v>15.486500000000001</v>
      </c>
      <c r="R980" s="2111"/>
    </row>
    <row r="981" spans="3:18">
      <c r="C981" s="482" t="s">
        <v>754</v>
      </c>
      <c r="D981" s="30"/>
      <c r="E981" s="30"/>
      <c r="F981" s="30"/>
      <c r="G981" s="30"/>
      <c r="H981" s="30"/>
      <c r="I981" s="30"/>
      <c r="J981" s="30"/>
      <c r="K981" s="30"/>
      <c r="L981" s="30"/>
      <c r="M981" s="30"/>
      <c r="N981" s="30"/>
      <c r="O981" s="30"/>
      <c r="P981" s="30"/>
      <c r="Q981" s="30"/>
      <c r="R981" s="30"/>
    </row>
    <row r="982" spans="3:18">
      <c r="C982" s="30"/>
      <c r="D982" s="30"/>
      <c r="E982" s="30"/>
      <c r="F982" s="30"/>
      <c r="G982" s="30"/>
      <c r="H982" s="30"/>
      <c r="I982" s="30"/>
      <c r="J982" s="30"/>
      <c r="K982" s="30"/>
      <c r="L982" s="30"/>
      <c r="M982" s="30"/>
      <c r="N982" s="30"/>
      <c r="O982" s="30"/>
      <c r="P982" s="30"/>
      <c r="Q982" s="30"/>
      <c r="R982" s="30"/>
    </row>
    <row r="983" spans="3:18">
      <c r="C983" s="30"/>
      <c r="D983" s="30"/>
      <c r="E983" s="30"/>
      <c r="F983" s="30"/>
      <c r="G983" s="30"/>
      <c r="H983" s="30"/>
      <c r="I983" s="30"/>
      <c r="J983" s="30"/>
      <c r="K983" s="30"/>
      <c r="L983" s="30"/>
      <c r="M983" s="30"/>
      <c r="N983" s="30"/>
      <c r="O983" s="30"/>
      <c r="P983" s="30"/>
      <c r="Q983" s="30"/>
      <c r="R983" s="30"/>
    </row>
    <row r="984" spans="3:18">
      <c r="C984" s="30"/>
      <c r="D984" s="30"/>
      <c r="E984" s="30"/>
      <c r="F984" s="30"/>
      <c r="G984" s="30"/>
      <c r="H984" s="30"/>
      <c r="I984" s="30"/>
      <c r="J984" s="30"/>
      <c r="K984" s="30"/>
      <c r="L984" s="30"/>
      <c r="M984" s="30"/>
      <c r="N984" s="30"/>
      <c r="O984" s="30"/>
      <c r="P984" s="30"/>
      <c r="Q984" s="30"/>
      <c r="R984" s="30"/>
    </row>
    <row r="985" spans="3:18">
      <c r="C985" s="30"/>
      <c r="D985" s="30"/>
      <c r="E985" s="30"/>
      <c r="F985" s="30"/>
      <c r="G985" s="30"/>
      <c r="H985" s="30"/>
      <c r="I985" s="30"/>
      <c r="J985" s="30"/>
      <c r="K985" s="30"/>
      <c r="L985" s="30"/>
      <c r="M985" s="30"/>
      <c r="N985" s="30"/>
      <c r="O985" s="30"/>
      <c r="P985" s="30"/>
      <c r="Q985" s="30"/>
      <c r="R985" s="30"/>
    </row>
    <row r="986" spans="3:18">
      <c r="C986" s="30"/>
      <c r="D986" s="30"/>
      <c r="E986" s="30"/>
      <c r="F986" s="30"/>
      <c r="G986" s="30"/>
      <c r="H986" s="30"/>
      <c r="I986" s="30"/>
      <c r="J986" s="30"/>
      <c r="K986" s="30"/>
      <c r="L986" s="30"/>
      <c r="M986" s="30"/>
      <c r="N986" s="30"/>
      <c r="O986" s="30"/>
      <c r="P986" s="30"/>
      <c r="Q986" s="30"/>
      <c r="R986" s="30"/>
    </row>
    <row r="987" spans="3:18">
      <c r="C987" s="30"/>
      <c r="D987" s="30"/>
      <c r="E987" s="30"/>
      <c r="F987" s="30"/>
      <c r="G987" s="30"/>
      <c r="H987" s="30"/>
      <c r="I987" s="30"/>
      <c r="J987" s="30"/>
      <c r="K987" s="30"/>
      <c r="L987" s="30"/>
      <c r="M987" s="30"/>
      <c r="N987" s="30"/>
      <c r="O987" s="30"/>
      <c r="P987" s="30"/>
      <c r="Q987" s="30"/>
      <c r="R987" s="30"/>
    </row>
    <row r="988" spans="3:18">
      <c r="C988" s="30"/>
      <c r="D988" s="30"/>
      <c r="E988" s="30"/>
      <c r="F988" s="30"/>
      <c r="G988" s="30"/>
      <c r="H988" s="30"/>
      <c r="I988" s="30"/>
      <c r="J988" s="30"/>
      <c r="K988" s="30"/>
      <c r="L988" s="30"/>
      <c r="M988" s="30"/>
      <c r="N988" s="30"/>
      <c r="O988" s="30"/>
      <c r="P988" s="30"/>
      <c r="Q988" s="30"/>
      <c r="R988" s="30"/>
    </row>
    <row r="989" spans="3:18">
      <c r="C989" s="30"/>
      <c r="D989" s="30"/>
      <c r="E989" s="30"/>
      <c r="F989" s="30"/>
      <c r="G989" s="30"/>
      <c r="H989" s="30"/>
      <c r="I989" s="30"/>
      <c r="J989" s="30"/>
      <c r="K989" s="30"/>
      <c r="L989" s="30"/>
      <c r="M989" s="30"/>
      <c r="N989" s="30"/>
      <c r="O989" s="30"/>
      <c r="P989" s="30"/>
      <c r="Q989" s="30"/>
      <c r="R989" s="30"/>
    </row>
    <row r="990" spans="3:18" ht="40.5">
      <c r="C990" s="454" t="s">
        <v>723</v>
      </c>
      <c r="D990" s="454" t="s">
        <v>713</v>
      </c>
      <c r="E990" s="454" t="s">
        <v>73</v>
      </c>
      <c r="F990" s="454" t="s">
        <v>714</v>
      </c>
      <c r="G990" s="454" t="s">
        <v>755</v>
      </c>
      <c r="H990" s="454" t="s">
        <v>725</v>
      </c>
      <c r="I990" s="30"/>
      <c r="J990" s="30"/>
      <c r="K990" s="483"/>
      <c r="L990" s="473" t="s">
        <v>745</v>
      </c>
      <c r="M990" s="473" t="s">
        <v>746</v>
      </c>
    </row>
    <row r="991" spans="3:18" ht="108">
      <c r="C991" s="484" t="s">
        <v>756</v>
      </c>
      <c r="D991" s="463" t="s">
        <v>405</v>
      </c>
      <c r="E991" s="485"/>
      <c r="F991" s="486">
        <f>+G991/12</f>
        <v>166.10000000000002</v>
      </c>
      <c r="G991" s="486">
        <f>+M991</f>
        <v>1993.2000000000003</v>
      </c>
      <c r="H991" s="487">
        <f>G991/1.18</f>
        <v>1689.1525423728817</v>
      </c>
      <c r="I991" s="30"/>
      <c r="J991" s="30"/>
      <c r="K991" s="488" t="s">
        <v>757</v>
      </c>
      <c r="L991" s="489">
        <f>+K865</f>
        <v>362.40000000000003</v>
      </c>
      <c r="M991" s="489">
        <f>+(L991*M992)/L992</f>
        <v>1993.2000000000003</v>
      </c>
    </row>
    <row r="992" spans="3:18">
      <c r="C992" s="490" t="s">
        <v>726</v>
      </c>
      <c r="D992" s="491"/>
      <c r="E992" s="492"/>
      <c r="F992" s="492"/>
      <c r="G992" s="493">
        <f>SUM(G991:G991)</f>
        <v>1993.2000000000003</v>
      </c>
      <c r="H992" s="493">
        <f>SUM(H991:H991)</f>
        <v>1689.1525423728817</v>
      </c>
      <c r="I992" s="30"/>
      <c r="J992" s="30"/>
      <c r="K992" s="478" t="s">
        <v>758</v>
      </c>
      <c r="L992" s="463">
        <v>2</v>
      </c>
      <c r="M992" s="463">
        <v>11</v>
      </c>
    </row>
    <row r="993" spans="3:14">
      <c r="C993" s="482" t="s">
        <v>721</v>
      </c>
      <c r="D993" s="494"/>
      <c r="E993" s="494"/>
      <c r="F993" s="494"/>
      <c r="G993" s="494"/>
      <c r="H993" s="30"/>
      <c r="I993" s="30"/>
      <c r="J993" s="30"/>
      <c r="K993" s="478" t="s">
        <v>759</v>
      </c>
      <c r="L993" s="2120">
        <f>L991/L992</f>
        <v>181.20000000000002</v>
      </c>
      <c r="M993" s="2121"/>
    </row>
    <row r="994" spans="3:14">
      <c r="C994" s="30"/>
      <c r="D994" s="30"/>
      <c r="E994" s="30"/>
      <c r="F994" s="30"/>
      <c r="G994" s="30"/>
      <c r="H994" s="30"/>
      <c r="I994" s="30"/>
      <c r="J994" s="30"/>
      <c r="K994" s="30"/>
      <c r="L994" s="30"/>
      <c r="M994" s="30"/>
    </row>
    <row r="995" spans="3:14">
      <c r="C995" s="30"/>
      <c r="D995" s="30"/>
      <c r="E995" s="30"/>
      <c r="F995" s="30"/>
      <c r="G995" s="30"/>
      <c r="H995" s="30"/>
      <c r="I995" s="30"/>
      <c r="J995" s="30"/>
      <c r="K995" s="30"/>
      <c r="L995" s="30"/>
      <c r="M995" s="30"/>
    </row>
    <row r="996" spans="3:14">
      <c r="C996" s="2122" t="s">
        <v>760</v>
      </c>
      <c r="D996" s="2123"/>
      <c r="E996" s="2123"/>
      <c r="F996" s="2123"/>
      <c r="G996" s="2123"/>
      <c r="H996" s="2123"/>
      <c r="I996" s="2123"/>
      <c r="J996" s="2123"/>
      <c r="K996" s="2123"/>
      <c r="L996" s="2123"/>
      <c r="M996" s="2123"/>
      <c r="N996" s="2123"/>
    </row>
    <row r="997" spans="3:14">
      <c r="C997" s="473" t="s">
        <v>2</v>
      </c>
      <c r="D997" s="473" t="s">
        <v>65</v>
      </c>
      <c r="E997" s="473" t="s">
        <v>3</v>
      </c>
      <c r="F997" s="473" t="s">
        <v>4</v>
      </c>
      <c r="G997" s="473" t="s">
        <v>14</v>
      </c>
      <c r="H997" s="473" t="s">
        <v>23</v>
      </c>
      <c r="I997" s="473" t="s">
        <v>24</v>
      </c>
      <c r="J997" s="473" t="s">
        <v>25</v>
      </c>
      <c r="K997" s="473" t="s">
        <v>26</v>
      </c>
      <c r="L997" s="473" t="s">
        <v>27</v>
      </c>
      <c r="M997" s="473" t="s">
        <v>28</v>
      </c>
      <c r="N997" s="473" t="s">
        <v>5</v>
      </c>
    </row>
    <row r="998" spans="3:14">
      <c r="C998" s="462" t="s">
        <v>98</v>
      </c>
      <c r="D998" s="495" t="s">
        <v>761</v>
      </c>
      <c r="E998" s="496">
        <f>H965</f>
        <v>336239.88</v>
      </c>
      <c r="F998" s="496">
        <f t="shared" ref="F998:N999" si="50">E998</f>
        <v>336239.88</v>
      </c>
      <c r="G998" s="496">
        <f t="shared" si="50"/>
        <v>336239.88</v>
      </c>
      <c r="H998" s="496">
        <f t="shared" si="50"/>
        <v>336239.88</v>
      </c>
      <c r="I998" s="496">
        <f t="shared" si="50"/>
        <v>336239.88</v>
      </c>
      <c r="J998" s="496">
        <f>I998</f>
        <v>336239.88</v>
      </c>
      <c r="K998" s="496">
        <f t="shared" si="50"/>
        <v>336239.88</v>
      </c>
      <c r="L998" s="496">
        <f t="shared" si="50"/>
        <v>336239.88</v>
      </c>
      <c r="M998" s="496">
        <f t="shared" si="50"/>
        <v>336239.88</v>
      </c>
      <c r="N998" s="496">
        <f t="shared" si="50"/>
        <v>336239.88</v>
      </c>
    </row>
    <row r="999" spans="3:14">
      <c r="C999" s="462" t="s">
        <v>728</v>
      </c>
      <c r="D999" s="495" t="str">
        <f>D998</f>
        <v>-</v>
      </c>
      <c r="E999" s="496">
        <f>+H975</f>
        <v>5055.1027289719632</v>
      </c>
      <c r="F999" s="496">
        <f t="shared" si="50"/>
        <v>5055.1027289719632</v>
      </c>
      <c r="G999" s="496">
        <f t="shared" si="50"/>
        <v>5055.1027289719632</v>
      </c>
      <c r="H999" s="496">
        <f t="shared" si="50"/>
        <v>5055.1027289719632</v>
      </c>
      <c r="I999" s="496">
        <f t="shared" si="50"/>
        <v>5055.1027289719632</v>
      </c>
      <c r="J999" s="496">
        <f>I999</f>
        <v>5055.1027289719632</v>
      </c>
      <c r="K999" s="496">
        <f t="shared" si="50"/>
        <v>5055.1027289719632</v>
      </c>
      <c r="L999" s="496">
        <f t="shared" si="50"/>
        <v>5055.1027289719632</v>
      </c>
      <c r="M999" s="496">
        <f t="shared" si="50"/>
        <v>5055.1027289719632</v>
      </c>
      <c r="N999" s="496">
        <f t="shared" si="50"/>
        <v>5055.1027289719632</v>
      </c>
    </row>
    <row r="1000" spans="3:14">
      <c r="C1000" s="497" t="s">
        <v>76</v>
      </c>
      <c r="D1000" s="498">
        <f t="shared" ref="D1000:N1000" si="51">SUM(D998:D999)</f>
        <v>0</v>
      </c>
      <c r="E1000" s="499">
        <f t="shared" si="51"/>
        <v>341294.98272897198</v>
      </c>
      <c r="F1000" s="499">
        <f t="shared" si="51"/>
        <v>341294.98272897198</v>
      </c>
      <c r="G1000" s="499">
        <f t="shared" si="51"/>
        <v>341294.98272897198</v>
      </c>
      <c r="H1000" s="499">
        <f t="shared" si="51"/>
        <v>341294.98272897198</v>
      </c>
      <c r="I1000" s="499">
        <f t="shared" si="51"/>
        <v>341294.98272897198</v>
      </c>
      <c r="J1000" s="499">
        <f t="shared" si="51"/>
        <v>341294.98272897198</v>
      </c>
      <c r="K1000" s="499">
        <f t="shared" si="51"/>
        <v>341294.98272897198</v>
      </c>
      <c r="L1000" s="499">
        <f t="shared" si="51"/>
        <v>341294.98272897198</v>
      </c>
      <c r="M1000" s="499">
        <f t="shared" si="51"/>
        <v>341294.98272897198</v>
      </c>
      <c r="N1000" s="499">
        <f t="shared" si="51"/>
        <v>341294.98272897198</v>
      </c>
    </row>
    <row r="1001" spans="3:14">
      <c r="C1001" s="494"/>
      <c r="D1001" s="494"/>
      <c r="E1001" s="494"/>
      <c r="F1001" s="494"/>
      <c r="G1001" s="494"/>
      <c r="H1001" s="494"/>
      <c r="I1001" s="494"/>
      <c r="J1001" s="494"/>
      <c r="K1001" s="494"/>
      <c r="L1001" s="494"/>
      <c r="M1001" s="494"/>
      <c r="N1001" s="494"/>
    </row>
    <row r="1002" spans="3:14">
      <c r="C1002" s="2124" t="s">
        <v>762</v>
      </c>
      <c r="D1002" s="2125"/>
      <c r="E1002" s="2125"/>
      <c r="F1002" s="2125"/>
      <c r="G1002" s="2125"/>
      <c r="H1002" s="2125"/>
      <c r="I1002" s="2125"/>
      <c r="J1002" s="2125"/>
      <c r="K1002" s="2125"/>
      <c r="L1002" s="2125"/>
      <c r="M1002" s="2125"/>
      <c r="N1002" s="2126"/>
    </row>
    <row r="1003" spans="3:14">
      <c r="C1003" s="473" t="s">
        <v>2</v>
      </c>
      <c r="D1003" s="473" t="s">
        <v>65</v>
      </c>
      <c r="E1003" s="473" t="s">
        <v>3</v>
      </c>
      <c r="F1003" s="473" t="s">
        <v>4</v>
      </c>
      <c r="G1003" s="473" t="s">
        <v>14</v>
      </c>
      <c r="H1003" s="473" t="s">
        <v>23</v>
      </c>
      <c r="I1003" s="473" t="s">
        <v>24</v>
      </c>
      <c r="J1003" s="473" t="s">
        <v>25</v>
      </c>
      <c r="K1003" s="473" t="s">
        <v>26</v>
      </c>
      <c r="L1003" s="473" t="s">
        <v>27</v>
      </c>
      <c r="M1003" s="473" t="s">
        <v>28</v>
      </c>
      <c r="N1003" s="473" t="s">
        <v>5</v>
      </c>
    </row>
    <row r="1004" spans="3:14">
      <c r="C1004" s="500" t="s">
        <v>763</v>
      </c>
      <c r="D1004" s="501" t="s">
        <v>761</v>
      </c>
      <c r="E1004" s="502">
        <f>+G992</f>
        <v>1993.2000000000003</v>
      </c>
      <c r="F1004" s="502">
        <f t="shared" ref="F1004:N1004" si="52">E1004</f>
        <v>1993.2000000000003</v>
      </c>
      <c r="G1004" s="502">
        <f t="shared" si="52"/>
        <v>1993.2000000000003</v>
      </c>
      <c r="H1004" s="502">
        <f t="shared" si="52"/>
        <v>1993.2000000000003</v>
      </c>
      <c r="I1004" s="502">
        <f t="shared" si="52"/>
        <v>1993.2000000000003</v>
      </c>
      <c r="J1004" s="502">
        <f>I1004</f>
        <v>1993.2000000000003</v>
      </c>
      <c r="K1004" s="502">
        <f t="shared" si="52"/>
        <v>1993.2000000000003</v>
      </c>
      <c r="L1004" s="502">
        <f t="shared" si="52"/>
        <v>1993.2000000000003</v>
      </c>
      <c r="M1004" s="502">
        <f t="shared" si="52"/>
        <v>1993.2000000000003</v>
      </c>
      <c r="N1004" s="502">
        <f t="shared" si="52"/>
        <v>1993.2000000000003</v>
      </c>
    </row>
    <row r="1005" spans="3:14">
      <c r="C1005" s="497" t="s">
        <v>76</v>
      </c>
      <c r="D1005" s="503">
        <f t="shared" ref="D1005:N1005" si="53">SUM(D1004:D1004)</f>
        <v>0</v>
      </c>
      <c r="E1005" s="499">
        <f t="shared" si="53"/>
        <v>1993.2000000000003</v>
      </c>
      <c r="F1005" s="499">
        <f t="shared" si="53"/>
        <v>1993.2000000000003</v>
      </c>
      <c r="G1005" s="499">
        <f t="shared" si="53"/>
        <v>1993.2000000000003</v>
      </c>
      <c r="H1005" s="499">
        <f t="shared" si="53"/>
        <v>1993.2000000000003</v>
      </c>
      <c r="I1005" s="499">
        <f t="shared" si="53"/>
        <v>1993.2000000000003</v>
      </c>
      <c r="J1005" s="499">
        <f t="shared" si="53"/>
        <v>1993.2000000000003</v>
      </c>
      <c r="K1005" s="499">
        <f t="shared" si="53"/>
        <v>1993.2000000000003</v>
      </c>
      <c r="L1005" s="499">
        <f t="shared" si="53"/>
        <v>1993.2000000000003</v>
      </c>
      <c r="M1005" s="499">
        <f t="shared" si="53"/>
        <v>1993.2000000000003</v>
      </c>
      <c r="N1005" s="499">
        <f t="shared" si="53"/>
        <v>1993.2000000000003</v>
      </c>
    </row>
    <row r="1006" spans="3:14">
      <c r="C1006" s="13" t="s">
        <v>731</v>
      </c>
      <c r="D1006" s="13"/>
      <c r="E1006" s="13"/>
      <c r="F1006" s="13"/>
      <c r="G1006" s="13"/>
      <c r="H1006" s="13"/>
      <c r="I1006" s="13"/>
      <c r="J1006" s="13"/>
      <c r="K1006" s="13"/>
      <c r="L1006" s="13"/>
      <c r="M1006" s="13"/>
      <c r="N1006" s="13"/>
    </row>
    <row r="1007" spans="3:14">
      <c r="G1007" s="504"/>
    </row>
    <row r="1008" spans="3:14">
      <c r="C1008" s="505" t="s">
        <v>764</v>
      </c>
      <c r="D1008" s="505"/>
      <c r="E1008" s="506"/>
      <c r="F1008" s="506"/>
      <c r="G1008" s="29"/>
      <c r="H1008" s="29"/>
      <c r="I1008" s="29"/>
      <c r="J1008" s="29"/>
      <c r="K1008" s="29"/>
      <c r="L1008" s="29"/>
      <c r="M1008" s="29"/>
      <c r="N1008" s="29"/>
    </row>
    <row r="1009" spans="3:7">
      <c r="C1009" s="454" t="s">
        <v>115</v>
      </c>
      <c r="D1009" s="454" t="s">
        <v>97</v>
      </c>
      <c r="E1009" s="454" t="s">
        <v>100</v>
      </c>
      <c r="F1009" s="454" t="s">
        <v>76</v>
      </c>
    </row>
    <row r="1010" spans="3:7">
      <c r="C1010" s="507">
        <v>1</v>
      </c>
      <c r="D1010" s="508">
        <f>E1000</f>
        <v>341294.98272897198</v>
      </c>
      <c r="E1010" s="508">
        <f>E1005</f>
        <v>1993.2000000000003</v>
      </c>
      <c r="F1010" s="509">
        <f>D1010+E1010</f>
        <v>343288.18272897199</v>
      </c>
    </row>
    <row r="1011" spans="3:7">
      <c r="C1011" s="507">
        <v>2</v>
      </c>
      <c r="D1011" s="508">
        <f>F1000</f>
        <v>341294.98272897198</v>
      </c>
      <c r="E1011" s="508">
        <f>F1005</f>
        <v>1993.2000000000003</v>
      </c>
      <c r="F1011" s="509">
        <f t="shared" ref="F1011:F1019" si="54">D1011+E1011</f>
        <v>343288.18272897199</v>
      </c>
    </row>
    <row r="1012" spans="3:7">
      <c r="C1012" s="507">
        <v>3</v>
      </c>
      <c r="D1012" s="508">
        <f>G1000</f>
        <v>341294.98272897198</v>
      </c>
      <c r="E1012" s="508">
        <f>G1005</f>
        <v>1993.2000000000003</v>
      </c>
      <c r="F1012" s="509">
        <f t="shared" si="54"/>
        <v>343288.18272897199</v>
      </c>
    </row>
    <row r="1013" spans="3:7">
      <c r="C1013" s="507">
        <v>4</v>
      </c>
      <c r="D1013" s="508">
        <f>H1000</f>
        <v>341294.98272897198</v>
      </c>
      <c r="E1013" s="508">
        <f>H1005</f>
        <v>1993.2000000000003</v>
      </c>
      <c r="F1013" s="509">
        <f t="shared" si="54"/>
        <v>343288.18272897199</v>
      </c>
    </row>
    <row r="1014" spans="3:7">
      <c r="C1014" s="507">
        <v>5</v>
      </c>
      <c r="D1014" s="508">
        <f>I1000</f>
        <v>341294.98272897198</v>
      </c>
      <c r="E1014" s="508">
        <f>I1005</f>
        <v>1993.2000000000003</v>
      </c>
      <c r="F1014" s="509">
        <f t="shared" si="54"/>
        <v>343288.18272897199</v>
      </c>
    </row>
    <row r="1015" spans="3:7">
      <c r="C1015" s="507">
        <v>6</v>
      </c>
      <c r="D1015" s="508">
        <f>J1000</f>
        <v>341294.98272897198</v>
      </c>
      <c r="E1015" s="508">
        <f>J1005</f>
        <v>1993.2000000000003</v>
      </c>
      <c r="F1015" s="509">
        <f t="shared" si="54"/>
        <v>343288.18272897199</v>
      </c>
    </row>
    <row r="1016" spans="3:7">
      <c r="C1016" s="507">
        <v>7</v>
      </c>
      <c r="D1016" s="508">
        <f>K1000</f>
        <v>341294.98272897198</v>
      </c>
      <c r="E1016" s="508">
        <f>K1005</f>
        <v>1993.2000000000003</v>
      </c>
      <c r="F1016" s="509">
        <f t="shared" si="54"/>
        <v>343288.18272897199</v>
      </c>
    </row>
    <row r="1017" spans="3:7">
      <c r="C1017" s="507">
        <v>8</v>
      </c>
      <c r="D1017" s="508">
        <f>L1000</f>
        <v>341294.98272897198</v>
      </c>
      <c r="E1017" s="508">
        <f>L1005</f>
        <v>1993.2000000000003</v>
      </c>
      <c r="F1017" s="509">
        <f t="shared" si="54"/>
        <v>343288.18272897199</v>
      </c>
    </row>
    <row r="1018" spans="3:7">
      <c r="C1018" s="507">
        <v>9</v>
      </c>
      <c r="D1018" s="508">
        <f>M1000</f>
        <v>341294.98272897198</v>
      </c>
      <c r="E1018" s="508">
        <f>M1005</f>
        <v>1993.2000000000003</v>
      </c>
      <c r="F1018" s="509">
        <f t="shared" si="54"/>
        <v>343288.18272897199</v>
      </c>
    </row>
    <row r="1019" spans="3:7">
      <c r="C1019" s="507">
        <v>10</v>
      </c>
      <c r="D1019" s="508">
        <f>N1000</f>
        <v>341294.98272897198</v>
      </c>
      <c r="E1019" s="508">
        <f>N1005</f>
        <v>1993.2000000000003</v>
      </c>
      <c r="F1019" s="509">
        <f t="shared" si="54"/>
        <v>343288.18272897199</v>
      </c>
    </row>
    <row r="1020" spans="3:7">
      <c r="C1020" s="510" t="s">
        <v>76</v>
      </c>
      <c r="D1020" s="511">
        <f>SUM(D1010:D1019)</f>
        <v>3412949.8272897205</v>
      </c>
      <c r="E1020" s="511">
        <f>SUM(E1010:E1019)</f>
        <v>19932.000000000004</v>
      </c>
      <c r="F1020" s="512">
        <f>SUM(F1010:F1019)</f>
        <v>3432881.8272897196</v>
      </c>
      <c r="G1020" s="28"/>
    </row>
    <row r="1021" spans="3:7">
      <c r="C1021" s="2127" t="s">
        <v>731</v>
      </c>
      <c r="D1021" s="2127"/>
      <c r="E1021" s="2127"/>
      <c r="F1021" s="2127"/>
      <c r="G1021" s="513"/>
    </row>
    <row r="1023" spans="3:7">
      <c r="C1023" s="2103"/>
      <c r="D1023" s="2103"/>
    </row>
    <row r="1024" spans="3:7">
      <c r="C1024" s="454" t="s">
        <v>115</v>
      </c>
      <c r="D1024" s="454" t="s">
        <v>97</v>
      </c>
      <c r="E1024" s="454" t="s">
        <v>100</v>
      </c>
      <c r="F1024" s="454" t="s">
        <v>76</v>
      </c>
    </row>
    <row r="1025" spans="3:6">
      <c r="C1025" s="507">
        <v>1</v>
      </c>
      <c r="D1025" s="509">
        <f>I979</f>
        <v>340523.86536353559</v>
      </c>
      <c r="E1025" s="509">
        <f>H992</f>
        <v>1689.1525423728817</v>
      </c>
      <c r="F1025" s="509">
        <f>D1025+E1025</f>
        <v>342213.01790590846</v>
      </c>
    </row>
    <row r="1026" spans="3:6">
      <c r="C1026" s="507">
        <v>2</v>
      </c>
      <c r="D1026" s="509">
        <f>D1025</f>
        <v>340523.86536353559</v>
      </c>
      <c r="E1026" s="509">
        <f>E1025</f>
        <v>1689.1525423728817</v>
      </c>
      <c r="F1026" s="509">
        <f t="shared" ref="F1026:F1034" si="55">D1026+E1026</f>
        <v>342213.01790590846</v>
      </c>
    </row>
    <row r="1027" spans="3:6">
      <c r="C1027" s="507">
        <v>3</v>
      </c>
      <c r="D1027" s="509">
        <f t="shared" ref="D1027:E1034" si="56">D1026</f>
        <v>340523.86536353559</v>
      </c>
      <c r="E1027" s="509">
        <f t="shared" si="56"/>
        <v>1689.1525423728817</v>
      </c>
      <c r="F1027" s="509">
        <f t="shared" si="55"/>
        <v>342213.01790590846</v>
      </c>
    </row>
    <row r="1028" spans="3:6">
      <c r="C1028" s="507">
        <v>4</v>
      </c>
      <c r="D1028" s="509">
        <f t="shared" si="56"/>
        <v>340523.86536353559</v>
      </c>
      <c r="E1028" s="509">
        <f t="shared" si="56"/>
        <v>1689.1525423728817</v>
      </c>
      <c r="F1028" s="509">
        <f t="shared" si="55"/>
        <v>342213.01790590846</v>
      </c>
    </row>
    <row r="1029" spans="3:6">
      <c r="C1029" s="507">
        <v>5</v>
      </c>
      <c r="D1029" s="509">
        <f t="shared" si="56"/>
        <v>340523.86536353559</v>
      </c>
      <c r="E1029" s="509">
        <f t="shared" si="56"/>
        <v>1689.1525423728817</v>
      </c>
      <c r="F1029" s="509">
        <f t="shared" si="55"/>
        <v>342213.01790590846</v>
      </c>
    </row>
    <row r="1030" spans="3:6">
      <c r="C1030" s="507">
        <v>6</v>
      </c>
      <c r="D1030" s="509">
        <f t="shared" si="56"/>
        <v>340523.86536353559</v>
      </c>
      <c r="E1030" s="509">
        <f t="shared" si="56"/>
        <v>1689.1525423728817</v>
      </c>
      <c r="F1030" s="509">
        <f t="shared" si="55"/>
        <v>342213.01790590846</v>
      </c>
    </row>
    <row r="1031" spans="3:6">
      <c r="C1031" s="507">
        <v>7</v>
      </c>
      <c r="D1031" s="509">
        <f t="shared" si="56"/>
        <v>340523.86536353559</v>
      </c>
      <c r="E1031" s="509">
        <f t="shared" si="56"/>
        <v>1689.1525423728817</v>
      </c>
      <c r="F1031" s="509">
        <f t="shared" si="55"/>
        <v>342213.01790590846</v>
      </c>
    </row>
    <row r="1032" spans="3:6">
      <c r="C1032" s="507">
        <v>8</v>
      </c>
      <c r="D1032" s="509">
        <f t="shared" si="56"/>
        <v>340523.86536353559</v>
      </c>
      <c r="E1032" s="509">
        <f t="shared" si="56"/>
        <v>1689.1525423728817</v>
      </c>
      <c r="F1032" s="509">
        <f t="shared" si="55"/>
        <v>342213.01790590846</v>
      </c>
    </row>
    <row r="1033" spans="3:6">
      <c r="C1033" s="507">
        <v>9</v>
      </c>
      <c r="D1033" s="509">
        <f t="shared" si="56"/>
        <v>340523.86536353559</v>
      </c>
      <c r="E1033" s="509">
        <f t="shared" si="56"/>
        <v>1689.1525423728817</v>
      </c>
      <c r="F1033" s="509">
        <f t="shared" si="55"/>
        <v>342213.01790590846</v>
      </c>
    </row>
    <row r="1034" spans="3:6">
      <c r="C1034" s="507">
        <v>10</v>
      </c>
      <c r="D1034" s="509">
        <f t="shared" si="56"/>
        <v>340523.86536353559</v>
      </c>
      <c r="E1034" s="509">
        <f t="shared" si="56"/>
        <v>1689.1525423728817</v>
      </c>
      <c r="F1034" s="509">
        <f t="shared" si="55"/>
        <v>342213.01790590846</v>
      </c>
    </row>
    <row r="1035" spans="3:6">
      <c r="C1035" s="510" t="s">
        <v>76</v>
      </c>
      <c r="D1035" s="512">
        <f>SUM(D1025:D1034)</f>
        <v>3405238.6536353552</v>
      </c>
      <c r="E1035" s="512">
        <f>SUM(E1025:E1034)</f>
        <v>16891.525423728817</v>
      </c>
      <c r="F1035" s="512">
        <f>SUM(F1025:F1034)</f>
        <v>3422130.179059085</v>
      </c>
    </row>
    <row r="1036" spans="3:6">
      <c r="C1036" s="513" t="s">
        <v>765</v>
      </c>
      <c r="D1036" s="513"/>
      <c r="E1036" s="513"/>
      <c r="F1036" s="513"/>
    </row>
  </sheetData>
  <mergeCells count="179">
    <mergeCell ref="AE832:AE833"/>
    <mergeCell ref="O836:Y836"/>
    <mergeCell ref="O837:O838"/>
    <mergeCell ref="P837:Y837"/>
    <mergeCell ref="AE410:AI410"/>
    <mergeCell ref="AE412:AE413"/>
    <mergeCell ref="AE414:AE418"/>
    <mergeCell ref="AE419:AE422"/>
    <mergeCell ref="X823:X825"/>
    <mergeCell ref="Y823:Y825"/>
    <mergeCell ref="AB823:AC823"/>
    <mergeCell ref="AD823:AE823"/>
    <mergeCell ref="AB824:AB825"/>
    <mergeCell ref="AC824:AC825"/>
    <mergeCell ref="AD824:AD825"/>
    <mergeCell ref="AE824:AE825"/>
    <mergeCell ref="X831:X833"/>
    <mergeCell ref="Y831:Y833"/>
    <mergeCell ref="AB831:AC831"/>
    <mergeCell ref="AD831:AE831"/>
    <mergeCell ref="AB832:AB833"/>
    <mergeCell ref="AC832:AC833"/>
    <mergeCell ref="AD832:AD833"/>
    <mergeCell ref="Z831:AA831"/>
    <mergeCell ref="Z823:AA823"/>
    <mergeCell ref="Z832:Z833"/>
    <mergeCell ref="AA832:AA833"/>
    <mergeCell ref="Z824:Z825"/>
    <mergeCell ref="AA824:AA825"/>
    <mergeCell ref="L993:M993"/>
    <mergeCell ref="C996:N996"/>
    <mergeCell ref="C1002:N1002"/>
    <mergeCell ref="C1021:F1021"/>
    <mergeCell ref="C902:N902"/>
    <mergeCell ref="C907:N907"/>
    <mergeCell ref="C908:N908"/>
    <mergeCell ref="C913:N913"/>
    <mergeCell ref="C915:F915"/>
    <mergeCell ref="J865:J866"/>
    <mergeCell ref="K865:K866"/>
    <mergeCell ref="B869:C869"/>
    <mergeCell ref="B873:C873"/>
    <mergeCell ref="B874:C874"/>
    <mergeCell ref="C890:D890"/>
    <mergeCell ref="B891:B892"/>
    <mergeCell ref="C891:D891"/>
    <mergeCell ref="C892:D892"/>
    <mergeCell ref="B893:D893"/>
    <mergeCell ref="C1023:D1023"/>
    <mergeCell ref="C965:G965"/>
    <mergeCell ref="C975:G975"/>
    <mergeCell ref="C979:G979"/>
    <mergeCell ref="M980:N980"/>
    <mergeCell ref="Q980:R980"/>
    <mergeCell ref="C928:F928"/>
    <mergeCell ref="C931:N931"/>
    <mergeCell ref="C937:N937"/>
    <mergeCell ref="C944:F944"/>
    <mergeCell ref="C963:I963"/>
    <mergeCell ref="B841:G841"/>
    <mergeCell ref="B762:D762"/>
    <mergeCell ref="B776:C776"/>
    <mergeCell ref="B781:D781"/>
    <mergeCell ref="B782:F782"/>
    <mergeCell ref="A671:H671"/>
    <mergeCell ref="A729:G729"/>
    <mergeCell ref="A730:G730"/>
    <mergeCell ref="B737:F737"/>
    <mergeCell ref="B738:E738"/>
    <mergeCell ref="B757:E757"/>
    <mergeCell ref="F742:F743"/>
    <mergeCell ref="C744:E744"/>
    <mergeCell ref="C745:E745"/>
    <mergeCell ref="C754:E754"/>
    <mergeCell ref="C756:E756"/>
    <mergeCell ref="B739:E739"/>
    <mergeCell ref="B740:B745"/>
    <mergeCell ref="C740:E740"/>
    <mergeCell ref="C741:E741"/>
    <mergeCell ref="C742:E743"/>
    <mergeCell ref="A615:F615"/>
    <mergeCell ref="B616:C616"/>
    <mergeCell ref="B663:E663"/>
    <mergeCell ref="B665:E665"/>
    <mergeCell ref="B607:I607"/>
    <mergeCell ref="B608:I608"/>
    <mergeCell ref="B609:I609"/>
    <mergeCell ref="B610:I610"/>
    <mergeCell ref="B570:G570"/>
    <mergeCell ref="B603:G603"/>
    <mergeCell ref="B604:C604"/>
    <mergeCell ref="B605:G605"/>
    <mergeCell ref="B606:G606"/>
    <mergeCell ref="B567:I567"/>
    <mergeCell ref="B568:B569"/>
    <mergeCell ref="C568:C569"/>
    <mergeCell ref="D568:D569"/>
    <mergeCell ref="E568:E569"/>
    <mergeCell ref="H568:I568"/>
    <mergeCell ref="S517:Y517"/>
    <mergeCell ref="B534:G534"/>
    <mergeCell ref="B535:H535"/>
    <mergeCell ref="A540:H540"/>
    <mergeCell ref="A560:G560"/>
    <mergeCell ref="S494:S516"/>
    <mergeCell ref="T494:T505"/>
    <mergeCell ref="T506:T509"/>
    <mergeCell ref="T510:T512"/>
    <mergeCell ref="T513:T516"/>
    <mergeCell ref="S401:AA401"/>
    <mergeCell ref="S403:S457"/>
    <mergeCell ref="T403:T440"/>
    <mergeCell ref="T441:T457"/>
    <mergeCell ref="S458:S493"/>
    <mergeCell ref="T458:T465"/>
    <mergeCell ref="T466:T474"/>
    <mergeCell ref="T475:T480"/>
    <mergeCell ref="T481:T490"/>
    <mergeCell ref="T491:T493"/>
    <mergeCell ref="B3:N3"/>
    <mergeCell ref="B4:E4"/>
    <mergeCell ref="F4:H5"/>
    <mergeCell ref="I4:J4"/>
    <mergeCell ref="K4:L4"/>
    <mergeCell ref="M4:M5"/>
    <mergeCell ref="N4:N5"/>
    <mergeCell ref="B6:B38"/>
    <mergeCell ref="C6:C38"/>
    <mergeCell ref="D6:D38"/>
    <mergeCell ref="E6:E38"/>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B45:E48"/>
    <mergeCell ref="F45:M45"/>
    <mergeCell ref="F46:M46"/>
    <mergeCell ref="F47:M47"/>
    <mergeCell ref="F48:M48"/>
    <mergeCell ref="B52:N52"/>
    <mergeCell ref="F37:H37"/>
    <mergeCell ref="F38:H38"/>
    <mergeCell ref="B39:B44"/>
    <mergeCell ref="C39:C44"/>
    <mergeCell ref="D39:D44"/>
    <mergeCell ref="E39:E44"/>
    <mergeCell ref="F39:H39"/>
    <mergeCell ref="F40:H40"/>
    <mergeCell ref="F41:H41"/>
    <mergeCell ref="F42:H42"/>
    <mergeCell ref="F43:H43"/>
    <mergeCell ref="F44:H44"/>
  </mergeCell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1" id="{30BFC728-FE89-44C6-9CFF-19E1E59B61A3}">
            <xm:f>'C:\Users\ASISTENTEUP0\AppData\Roaming\Microsoft\Excel\[FICHA_TECNICA_SIMPLIFICADA (version 1).xlsb]FICHA_SIMPLIFICADA'!#REF!="No"</xm:f>
            <x14:dxf>
              <font>
                <color theme="0"/>
              </font>
              <fill>
                <patternFill>
                  <bgColor theme="0"/>
                </patternFill>
              </fill>
              <border>
                <left/>
                <right/>
                <top/>
                <bottom/>
                <vertical/>
                <horizontal/>
              </border>
            </x14:dxf>
          </x14:cfRule>
          <xm:sqref>J14:N14 F25:J26 J24 S25:S26 M24:N24 K24:L26 F32:H34 M39:N39 M41:N41 S40 S42:S44 J39:L44 I15:J15 F16:J16 F19:M23 F7:L12 K15:L17 F13 I13:L13 I17:J17 S7:T13 S15:S17 J18:M18 R18 J28:L34 S28:S34 F36:L36 S36 F38:L38 S38 B2:L2 B39:E44 B3:N6 B45:N52</xm:sqref>
        </x14:conditionalFormatting>
        <x14:conditionalFormatting xmlns:xm="http://schemas.microsoft.com/office/excel/2006/main">
          <x14:cfRule type="expression" priority="80" id="{7773E04F-DAFA-45C4-A365-6DFBFCD03DB4}">
            <xm:f>'C:\Users\ASISTENTEUP0\AppData\Roaming\Microsoft\Excel\[FICHA_TECNICA_SIMPLIFICADA (version 1).xlsb]FICHA_SIMPLIFICADA'!#REF!="No"</xm:f>
            <x14:dxf>
              <font>
                <color theme="0"/>
              </font>
              <fill>
                <patternFill>
                  <bgColor theme="0"/>
                </patternFill>
              </fill>
              <border>
                <left/>
                <right/>
                <top/>
                <bottom/>
                <vertical/>
                <horizontal/>
              </border>
            </x14:dxf>
          </x14:cfRule>
          <xm:sqref>F14:H14</xm:sqref>
        </x14:conditionalFormatting>
        <x14:conditionalFormatting xmlns:xm="http://schemas.microsoft.com/office/excel/2006/main">
          <x14:cfRule type="expression" priority="79" id="{86A2FCDE-EB2C-4D78-A859-A1F5175C36CA}">
            <xm:f>'C:\Users\ASISTENTEUP0\AppData\Roaming\Microsoft\Excel\[FICHA_TECNICA_SIMPLIFICADA (version 1).xlsb]FICHA_SIMPLIFICADA'!#REF!="No"</xm:f>
            <x14:dxf>
              <font>
                <color theme="0"/>
              </font>
              <fill>
                <patternFill>
                  <bgColor theme="0"/>
                </patternFill>
              </fill>
              <border>
                <left/>
                <right/>
                <top/>
                <bottom/>
                <vertical/>
                <horizontal/>
              </border>
            </x14:dxf>
          </x14:cfRule>
          <xm:sqref>I14</xm:sqref>
        </x14:conditionalFormatting>
        <x14:conditionalFormatting xmlns:xm="http://schemas.microsoft.com/office/excel/2006/main">
          <x14:cfRule type="expression" priority="78" id="{9AD7C18C-5148-44A3-801E-8BDC6F4382B1}">
            <xm:f>'C:\Users\ASISTENTEUP0\AppData\Roaming\Microsoft\Excel\[FICHA_TECNICA_SIMPLIFICADA (version 1).xlsb]FICHA_SIMPLIFICADA'!#REF!="No"</xm:f>
            <x14:dxf>
              <font>
                <color theme="0"/>
              </font>
              <fill>
                <patternFill>
                  <bgColor theme="0"/>
                </patternFill>
              </fill>
              <border>
                <left/>
                <right/>
                <top/>
                <bottom/>
                <vertical/>
                <horizontal/>
              </border>
            </x14:dxf>
          </x14:cfRule>
          <xm:sqref>F24:H24</xm:sqref>
        </x14:conditionalFormatting>
        <x14:conditionalFormatting xmlns:xm="http://schemas.microsoft.com/office/excel/2006/main">
          <x14:cfRule type="expression" priority="77" id="{6B9D2AC9-0665-48EE-AE51-329AFE030EA5}">
            <xm:f>'C:\Users\ASISTENTEUP0\AppData\Roaming\Microsoft\Excel\[FICHA_TECNICA_SIMPLIFICADA (version 1).xlsb]FICHA_SIMPLIFICADA'!#REF!="No"</xm:f>
            <x14:dxf>
              <font>
                <color theme="0"/>
              </font>
              <fill>
                <patternFill>
                  <bgColor theme="0"/>
                </patternFill>
              </fill>
              <border>
                <left/>
                <right/>
                <top/>
                <bottom/>
                <vertical/>
                <horizontal/>
              </border>
            </x14:dxf>
          </x14:cfRule>
          <xm:sqref>I24</xm:sqref>
        </x14:conditionalFormatting>
        <x14:conditionalFormatting xmlns:xm="http://schemas.microsoft.com/office/excel/2006/main">
          <x14:cfRule type="expression" priority="75" id="{F2059005-841E-4B75-8ACE-369A92609B38}">
            <xm:f>'C:\Users\ASISTENTEUP0\AppData\Roaming\Microsoft\Excel\[FICHA_TECNICA_SIMPLIFICADA (version 1).xlsb]FICHA_SIMPLIFICADA'!#REF!="No"</xm:f>
            <x14:dxf>
              <font>
                <color theme="0"/>
              </font>
              <fill>
                <patternFill>
                  <bgColor theme="0"/>
                </patternFill>
              </fill>
              <border>
                <left/>
                <right/>
                <top/>
                <bottom/>
                <vertical/>
                <horizontal/>
              </border>
            </x14:dxf>
          </x14:cfRule>
          <xm:sqref>I18</xm:sqref>
        </x14:conditionalFormatting>
        <x14:conditionalFormatting xmlns:xm="http://schemas.microsoft.com/office/excel/2006/main">
          <x14:cfRule type="expression" priority="76" id="{BE7A48F9-FA0D-481C-9628-E671C7DDCAD2}">
            <xm:f>'C:\Users\ASISTENTEUP0\AppData\Roaming\Microsoft\Excel\[FICHA_TECNICA_SIMPLIFICADA (version 1).xlsb]FICHA_SIMPLIFICADA'!#REF!="No"</xm:f>
            <x14:dxf>
              <font>
                <color theme="0"/>
              </font>
              <fill>
                <patternFill>
                  <bgColor theme="0"/>
                </patternFill>
              </fill>
              <border>
                <left/>
                <right/>
                <top/>
                <bottom/>
                <vertical/>
                <horizontal/>
              </border>
            </x14:dxf>
          </x14:cfRule>
          <xm:sqref>F18:H18</xm:sqref>
        </x14:conditionalFormatting>
        <x14:conditionalFormatting xmlns:xm="http://schemas.microsoft.com/office/excel/2006/main">
          <x14:cfRule type="expression" priority="74" id="{E32C4B5F-9AD1-469F-95D0-9908CD85C2B4}">
            <xm:f>'C:\Users\ASISTENTEUP0\AppData\Roaming\Microsoft\Excel\[FICHA_TECNICA_SIMPLIFICADA (version 1).xlsb]FICHA_SIMPLIFICADA'!#REF!="No"</xm:f>
            <x14:dxf>
              <font>
                <color theme="0"/>
              </font>
              <fill>
                <patternFill>
                  <bgColor theme="0"/>
                </patternFill>
              </fill>
              <border>
                <left/>
                <right/>
                <top/>
                <bottom/>
                <vertical/>
                <horizontal/>
              </border>
            </x14:dxf>
          </x14:cfRule>
          <xm:sqref>F15</xm:sqref>
        </x14:conditionalFormatting>
        <x14:conditionalFormatting xmlns:xm="http://schemas.microsoft.com/office/excel/2006/main">
          <x14:cfRule type="expression" priority="67" id="{C0604BC9-BC8C-4272-B11A-7412E495100B}">
            <xm:f>'C:\Users\ASISTENTEUP0\AppData\Roaming\Microsoft\Excel\[FICHA_TECNICA_SIMPLIFICADA (version 1).xlsb]FICHA_SIMPLIFICADA'!#REF!="No"</xm:f>
            <x14:dxf>
              <font>
                <color theme="0"/>
              </font>
              <fill>
                <patternFill>
                  <bgColor theme="0"/>
                </patternFill>
              </fill>
              <border>
                <left/>
                <right/>
                <top/>
                <bottom/>
                <vertical/>
                <horizontal/>
              </border>
            </x14:dxf>
          </x14:cfRule>
          <xm:sqref>I41</xm:sqref>
        </x14:conditionalFormatting>
        <x14:conditionalFormatting xmlns:xm="http://schemas.microsoft.com/office/excel/2006/main">
          <x14:cfRule type="expression" priority="73" id="{6F20CA45-49BA-4AA5-B08E-54A792AE9CBD}">
            <xm:f>'C:\Users\ASISTENTEUP0\AppData\Roaming\Microsoft\Excel\[FICHA_TECNICA_SIMPLIFICADA (version 1).xlsb]FICHA_SIMPLIFICADA'!#REF!="No"</xm:f>
            <x14:dxf>
              <font>
                <color theme="0"/>
              </font>
              <fill>
                <patternFill>
                  <bgColor theme="0"/>
                </patternFill>
              </fill>
              <border>
                <left/>
                <right/>
                <top/>
                <bottom/>
                <vertical/>
                <horizontal/>
              </border>
            </x14:dxf>
          </x14:cfRule>
          <xm:sqref>F27:H27</xm:sqref>
        </x14:conditionalFormatting>
        <x14:conditionalFormatting xmlns:xm="http://schemas.microsoft.com/office/excel/2006/main">
          <x14:cfRule type="expression" priority="71" id="{E618FCA7-331B-4A28-9B59-CCEF738203CD}">
            <xm:f>'C:\Users\ASISTENTEUP0\AppData\Roaming\Microsoft\Excel\[FICHA_TECNICA_SIMPLIFICADA (version 1).xlsb]FICHA_SIMPLIFICADA'!#REF!="No"</xm:f>
            <x14:dxf>
              <font>
                <color theme="0"/>
              </font>
              <fill>
                <patternFill>
                  <bgColor theme="0"/>
                </patternFill>
              </fill>
              <border>
                <left/>
                <right/>
                <top/>
                <bottom/>
                <vertical/>
                <horizontal/>
              </border>
            </x14:dxf>
          </x14:cfRule>
          <xm:sqref>I27</xm:sqref>
        </x14:conditionalFormatting>
        <x14:conditionalFormatting xmlns:xm="http://schemas.microsoft.com/office/excel/2006/main">
          <x14:cfRule type="expression" priority="72" id="{0CB76236-8CBA-4EFA-AB69-D816F8FC70D2}">
            <xm:f>'C:\Users\ASISTENTEUP0\AppData\Roaming\Microsoft\Excel\[FICHA_TECNICA_SIMPLIFICADA (version 1).xlsb]FICHA_SIMPLIFICADA'!#REF!="No"</xm:f>
            <x14:dxf>
              <font>
                <color theme="0"/>
              </font>
              <fill>
                <patternFill>
                  <bgColor theme="0"/>
                </patternFill>
              </fill>
              <border>
                <left/>
                <right/>
                <top/>
                <bottom/>
                <vertical/>
                <horizontal/>
              </border>
            </x14:dxf>
          </x14:cfRule>
          <xm:sqref>K27:N27</xm:sqref>
        </x14:conditionalFormatting>
        <x14:conditionalFormatting xmlns:xm="http://schemas.microsoft.com/office/excel/2006/main">
          <x14:cfRule type="expression" priority="70" id="{D03378D4-09C1-449A-ADAB-273704C04062}">
            <xm:f>'C:\Users\ASISTENTEUP0\AppData\Roaming\Microsoft\Excel\[FICHA_TECNICA_SIMPLIFICADA (version 1).xlsb]FICHA_SIMPLIFICADA'!#REF!="No"</xm:f>
            <x14:dxf>
              <font>
                <color theme="0"/>
              </font>
              <fill>
                <patternFill>
                  <bgColor theme="0"/>
                </patternFill>
              </fill>
              <border>
                <left/>
                <right/>
                <top/>
                <bottom/>
                <vertical/>
                <horizontal/>
              </border>
            </x14:dxf>
          </x14:cfRule>
          <xm:sqref>F39:H39</xm:sqref>
        </x14:conditionalFormatting>
        <x14:conditionalFormatting xmlns:xm="http://schemas.microsoft.com/office/excel/2006/main">
          <x14:cfRule type="expression" priority="69" id="{70106C8F-40E1-4A9C-BE5E-3B4822D1F26A}">
            <xm:f>'C:\Users\ASISTENTEUP0\AppData\Roaming\Microsoft\Excel\[FICHA_TECNICA_SIMPLIFICADA (version 1).xlsb]FICHA_SIMPLIFICADA'!#REF!="No"</xm:f>
            <x14:dxf>
              <font>
                <color theme="0"/>
              </font>
              <fill>
                <patternFill>
                  <bgColor theme="0"/>
                </patternFill>
              </fill>
              <border>
                <left/>
                <right/>
                <top/>
                <bottom/>
                <vertical/>
                <horizontal/>
              </border>
            </x14:dxf>
          </x14:cfRule>
          <xm:sqref>I39</xm:sqref>
        </x14:conditionalFormatting>
        <x14:conditionalFormatting xmlns:xm="http://schemas.microsoft.com/office/excel/2006/main">
          <x14:cfRule type="expression" priority="68" id="{D90F52F0-5C62-40C4-974E-114A3AA41932}">
            <xm:f>'C:\Users\ASISTENTEUP0\AppData\Roaming\Microsoft\Excel\[FICHA_TECNICA_SIMPLIFICADA (version 1).xlsb]FICHA_SIMPLIFICADA'!#REF!="No"</xm:f>
            <x14:dxf>
              <font>
                <color theme="0"/>
              </font>
              <fill>
                <patternFill>
                  <bgColor theme="0"/>
                </patternFill>
              </fill>
              <border>
                <left/>
                <right/>
                <top/>
                <bottom/>
                <vertical/>
                <horizontal/>
              </border>
            </x14:dxf>
          </x14:cfRule>
          <xm:sqref>F41:H41</xm:sqref>
        </x14:conditionalFormatting>
        <x14:conditionalFormatting xmlns:xm="http://schemas.microsoft.com/office/excel/2006/main">
          <x14:cfRule type="expression" priority="60" id="{5F8571DB-C509-4C80-878F-4439A5EA6D2F}">
            <xm:f>'C:\Users\ASISTENTEUP0\AppData\Roaming\Microsoft\Excel\[FICHA_TECNICA_SIMPLIFICADA (version 1).xlsb]FICHA_SIMPLIFICADA'!#REF!="No"</xm:f>
            <x14:dxf>
              <font>
                <color theme="0"/>
              </font>
              <fill>
                <patternFill>
                  <bgColor theme="0"/>
                </patternFill>
              </fill>
              <border>
                <left/>
                <right/>
                <top/>
                <bottom/>
                <vertical/>
                <horizontal/>
              </border>
            </x14:dxf>
          </x14:cfRule>
          <xm:sqref>I42</xm:sqref>
        </x14:conditionalFormatting>
        <x14:conditionalFormatting xmlns:xm="http://schemas.microsoft.com/office/excel/2006/main">
          <x14:cfRule type="expression" priority="66" id="{AAD1557C-3B2C-40B7-8786-67A54F889BFD}">
            <xm:f>'C:\Users\ASISTENTEUP0\AppData\Roaming\Microsoft\Excel\[FICHA_TECNICA_SIMPLIFICADA (version 1).xlsb]FICHA_SIMPLIFICADA'!#REF!="No"</xm:f>
            <x14:dxf>
              <font>
                <color theme="0"/>
              </font>
              <fill>
                <patternFill>
                  <bgColor theme="0"/>
                </patternFill>
              </fill>
              <border>
                <left/>
                <right/>
                <top/>
                <bottom/>
                <vertical/>
                <horizontal/>
              </border>
            </x14:dxf>
          </x14:cfRule>
          <xm:sqref>F28:H31</xm:sqref>
        </x14:conditionalFormatting>
        <x14:conditionalFormatting xmlns:xm="http://schemas.microsoft.com/office/excel/2006/main">
          <x14:cfRule type="expression" priority="65" id="{CE6F2E40-8DA6-4C12-B8A2-6A019A0F09E0}">
            <xm:f>'C:\Users\ASISTENTEUP0\AppData\Roaming\Microsoft\Excel\[FICHA_TECNICA_SIMPLIFICADA (version 1).xlsb]FICHA_SIMPLIFICADA'!#REF!="No"</xm:f>
            <x14:dxf>
              <font>
                <color theme="0"/>
              </font>
              <fill>
                <patternFill>
                  <bgColor theme="0"/>
                </patternFill>
              </fill>
              <border>
                <left/>
                <right/>
                <top/>
                <bottom/>
                <vertical/>
                <horizontal/>
              </border>
            </x14:dxf>
          </x14:cfRule>
          <xm:sqref>I28:I34</xm:sqref>
        </x14:conditionalFormatting>
        <x14:conditionalFormatting xmlns:xm="http://schemas.microsoft.com/office/excel/2006/main">
          <x14:cfRule type="expression" priority="62" id="{282C48AB-AEAA-4360-BCB7-F1639EB1F42F}">
            <xm:f>'C:\Users\ASISTENTEUP0\AppData\Roaming\Microsoft\Excel\[FICHA_TECNICA_SIMPLIFICADA (version 1).xlsb]FICHA_SIMPLIFICADA'!#REF!="No"</xm:f>
            <x14:dxf>
              <font>
                <color theme="0"/>
              </font>
              <fill>
                <patternFill>
                  <bgColor theme="0"/>
                </patternFill>
              </fill>
              <border>
                <left/>
                <right/>
                <top/>
                <bottom/>
                <vertical/>
                <horizontal/>
              </border>
            </x14:dxf>
          </x14:cfRule>
          <xm:sqref>I40</xm:sqref>
        </x14:conditionalFormatting>
        <x14:conditionalFormatting xmlns:xm="http://schemas.microsoft.com/office/excel/2006/main">
          <x14:cfRule type="expression" priority="64" id="{6E0EAD73-8539-42F7-A51E-DD6124EEF634}">
            <xm:f>'C:\Users\ASISTENTEUP0\AppData\Roaming\Microsoft\Excel\[FICHA_TECNICA_SIMPLIFICADA (version 1).xlsb]FICHA_SIMPLIFICADA'!#REF!="No"</xm:f>
            <x14:dxf>
              <font>
                <color theme="0"/>
              </font>
              <fill>
                <patternFill>
                  <bgColor theme="0"/>
                </patternFill>
              </fill>
              <border>
                <left/>
                <right/>
                <top/>
                <bottom/>
                <vertical/>
                <horizontal/>
              </border>
            </x14:dxf>
          </x14:cfRule>
          <xm:sqref>J27</xm:sqref>
        </x14:conditionalFormatting>
        <x14:conditionalFormatting xmlns:xm="http://schemas.microsoft.com/office/excel/2006/main">
          <x14:cfRule type="expression" priority="63" id="{B5DFC991-1FBF-42F7-A220-F299517BF6BE}">
            <xm:f>'C:\Users\ASISTENTEUP0\AppData\Roaming\Microsoft\Excel\[FICHA_TECNICA_SIMPLIFICADA (version 1).xlsb]FICHA_SIMPLIFICADA'!#REF!="No"</xm:f>
            <x14:dxf>
              <font>
                <color theme="0"/>
              </font>
              <fill>
                <patternFill>
                  <bgColor theme="0"/>
                </patternFill>
              </fill>
              <border>
                <left/>
                <right/>
                <top/>
                <bottom/>
                <vertical/>
                <horizontal/>
              </border>
            </x14:dxf>
          </x14:cfRule>
          <xm:sqref>F40:H40</xm:sqref>
        </x14:conditionalFormatting>
        <x14:conditionalFormatting xmlns:xm="http://schemas.microsoft.com/office/excel/2006/main">
          <x14:cfRule type="expression" priority="58" id="{6284333F-BEAF-40E2-96BC-DA440A3E2E46}">
            <xm:f>'C:\Users\ASISTENTEUP0\AppData\Roaming\Microsoft\Excel\[FICHA_TECNICA_SIMPLIFICADA (version 1).xlsb]FICHA_SIMPLIFICADA'!#REF!="No"</xm:f>
            <x14:dxf>
              <font>
                <color theme="0"/>
              </font>
              <fill>
                <patternFill>
                  <bgColor theme="0"/>
                </patternFill>
              </fill>
              <border>
                <left/>
                <right/>
                <top/>
                <bottom/>
                <vertical/>
                <horizontal/>
              </border>
            </x14:dxf>
          </x14:cfRule>
          <xm:sqref>U7:Y13</xm:sqref>
        </x14:conditionalFormatting>
        <x14:conditionalFormatting xmlns:xm="http://schemas.microsoft.com/office/excel/2006/main">
          <x14:cfRule type="expression" priority="61" id="{F5847BF4-50FC-47A1-9EAF-A9A4D88B6F91}">
            <xm:f>'C:\Users\ASISTENTEUP0\AppData\Roaming\Microsoft\Excel\[FICHA_TECNICA_SIMPLIFICADA (version 1).xlsb]FICHA_SIMPLIFICADA'!#REF!="No"</xm:f>
            <x14:dxf>
              <font>
                <color theme="0"/>
              </font>
              <fill>
                <patternFill>
                  <bgColor theme="0"/>
                </patternFill>
              </fill>
              <border>
                <left/>
                <right/>
                <top/>
                <bottom/>
                <vertical/>
                <horizontal/>
              </border>
            </x14:dxf>
          </x14:cfRule>
          <xm:sqref>F42:H42</xm:sqref>
        </x14:conditionalFormatting>
        <x14:conditionalFormatting xmlns:xm="http://schemas.microsoft.com/office/excel/2006/main">
          <x14:cfRule type="expression" priority="56" id="{91F568A6-CB4F-4374-BADC-7E762BE34F1A}">
            <xm:f>'C:\Users\ASISTENTEUP0\AppData\Roaming\Microsoft\Excel\[FICHA_TECNICA_SIMPLIFICADA (version 1).xlsb]FICHA_SIMPLIFICADA'!#REF!="No"</xm:f>
            <x14:dxf>
              <font>
                <color theme="0"/>
              </font>
              <fill>
                <patternFill>
                  <bgColor theme="0"/>
                </patternFill>
              </fill>
              <border>
                <left/>
                <right/>
                <top/>
                <bottom/>
                <vertical/>
                <horizontal/>
              </border>
            </x14:dxf>
          </x14:cfRule>
          <xm:sqref>T15:T17</xm:sqref>
        </x14:conditionalFormatting>
        <x14:conditionalFormatting xmlns:xm="http://schemas.microsoft.com/office/excel/2006/main">
          <x14:cfRule type="expression" priority="54" id="{C485C452-0DD1-4967-B0B0-FEBCDA983BB8}">
            <xm:f>'C:\Users\ASISTENTEUP0\AppData\Roaming\Microsoft\Excel\[FICHA_TECNICA_SIMPLIFICADA (version 1).xlsb]FICHA_SIMPLIFICADA'!#REF!="No"</xm:f>
            <x14:dxf>
              <font>
                <color theme="0"/>
              </font>
              <fill>
                <patternFill>
                  <bgColor theme="0"/>
                </patternFill>
              </fill>
              <border>
                <left/>
                <right/>
                <top/>
                <bottom/>
                <vertical/>
                <horizontal/>
              </border>
            </x14:dxf>
          </x14:cfRule>
          <xm:sqref>N16</xm:sqref>
        </x14:conditionalFormatting>
        <x14:conditionalFormatting xmlns:xm="http://schemas.microsoft.com/office/excel/2006/main">
          <x14:cfRule type="expression" priority="34" id="{0201CC73-709C-4245-A386-4F5C6484B411}">
            <xm:f>'C:\Users\ASISTENTEUP0\AppData\Roaming\Microsoft\Excel\[FICHA_TECNICA_SIMPLIFICADA (version 1).xlsb]FICHA_SIMPLIFICADA'!#REF!="No"</xm:f>
            <x14:dxf>
              <font>
                <color theme="0"/>
              </font>
              <fill>
                <patternFill>
                  <bgColor theme="0"/>
                </patternFill>
              </fill>
              <border>
                <left/>
                <right/>
                <top/>
                <bottom/>
                <vertical/>
                <horizontal/>
              </border>
            </x14:dxf>
          </x14:cfRule>
          <xm:sqref>U37:Y38</xm:sqref>
        </x14:conditionalFormatting>
        <x14:conditionalFormatting xmlns:xm="http://schemas.microsoft.com/office/excel/2006/main">
          <x14:cfRule type="expression" priority="59" id="{0EDD5754-C47B-4CEB-BEDB-8C0E01F66BE7}">
            <xm:f>'C:\Users\ASISTENTEUP0\AppData\Roaming\Microsoft\Excel\[FICHA_TECNICA_SIMPLIFICADA (version 1).xlsb]FICHA_SIMPLIFICADA'!#REF!="No"</xm:f>
            <x14:dxf>
              <font>
                <color theme="0"/>
              </font>
              <fill>
                <patternFill>
                  <bgColor theme="0"/>
                </patternFill>
              </fill>
              <border>
                <left/>
                <right/>
                <top/>
                <bottom/>
                <vertical/>
                <horizontal/>
              </border>
            </x14:dxf>
          </x14:cfRule>
          <xm:sqref>N7:N13</xm:sqref>
        </x14:conditionalFormatting>
        <x14:conditionalFormatting xmlns:xm="http://schemas.microsoft.com/office/excel/2006/main">
          <x14:cfRule type="expression" priority="52" id="{7FF14413-B510-46CC-85FF-57D3A867DB90}">
            <xm:f>'C:\Users\ASISTENTEUP0\AppData\Roaming\Microsoft\Excel\[FICHA_TECNICA_SIMPLIFICADA (version 1).xlsb]FICHA_SIMPLIFICADA'!#REF!="No"</xm:f>
            <x14:dxf>
              <font>
                <color theme="0"/>
              </font>
              <fill>
                <patternFill>
                  <bgColor theme="0"/>
                </patternFill>
              </fill>
              <border>
                <left/>
                <right/>
                <top/>
                <bottom/>
                <vertical/>
                <horizontal/>
              </border>
            </x14:dxf>
          </x14:cfRule>
          <xm:sqref>U25:Y26</xm:sqref>
        </x14:conditionalFormatting>
        <x14:conditionalFormatting xmlns:xm="http://schemas.microsoft.com/office/excel/2006/main">
          <x14:cfRule type="expression" priority="57" id="{4FB25C09-D8D2-4EF6-8AED-90BDBB27861D}">
            <xm:f>'C:\Users\ASISTENTEUP0\AppData\Roaming\Microsoft\Excel\[FICHA_TECNICA_SIMPLIFICADA (version 1).xlsb]FICHA_SIMPLIFICADA'!#REF!="No"</xm:f>
            <x14:dxf>
              <font>
                <color theme="0"/>
              </font>
              <fill>
                <patternFill>
                  <bgColor theme="0"/>
                </patternFill>
              </fill>
              <border>
                <left/>
                <right/>
                <top/>
                <bottom/>
                <vertical/>
                <horizontal/>
              </border>
            </x14:dxf>
          </x14:cfRule>
          <xm:sqref>U15:Y17</xm:sqref>
        </x14:conditionalFormatting>
        <x14:conditionalFormatting xmlns:xm="http://schemas.microsoft.com/office/excel/2006/main">
          <x14:cfRule type="expression" priority="30" id="{97855A96-0602-42D5-AD53-C7285388B88E}">
            <xm:f>'C:\Users\ASISTENTEUP0\AppData\Roaming\Microsoft\Excel\[FICHA_TECNICA_SIMPLIFICADA (version 1).xlsb]FICHA_SIMPLIFICADA'!#REF!="No"</xm:f>
            <x14:dxf>
              <font>
                <color theme="0"/>
              </font>
              <fill>
                <patternFill>
                  <bgColor theme="0"/>
                </patternFill>
              </fill>
              <border>
                <left/>
                <right/>
                <top/>
                <bottom/>
                <vertical/>
                <horizontal/>
              </border>
            </x14:dxf>
          </x14:cfRule>
          <xm:sqref>K37:M37</xm:sqref>
        </x14:conditionalFormatting>
        <x14:conditionalFormatting xmlns:xm="http://schemas.microsoft.com/office/excel/2006/main">
          <x14:cfRule type="expression" priority="55" id="{45C4AEC5-942D-4BCF-BBFB-7AEF3EAB4694}">
            <xm:f>'C:\Users\ASISTENTEUP0\AppData\Roaming\Microsoft\Excel\[FICHA_TECNICA_SIMPLIFICADA (version 1).xlsb]FICHA_SIMPLIFICADA'!#REF!="No"</xm:f>
            <x14:dxf>
              <font>
                <color theme="0"/>
              </font>
              <fill>
                <patternFill>
                  <bgColor theme="0"/>
                </patternFill>
              </fill>
              <border>
                <left/>
                <right/>
                <top/>
                <bottom/>
                <vertical/>
                <horizontal/>
              </border>
            </x14:dxf>
          </x14:cfRule>
          <xm:sqref>N15</xm:sqref>
        </x14:conditionalFormatting>
        <x14:conditionalFormatting xmlns:xm="http://schemas.microsoft.com/office/excel/2006/main">
          <x14:cfRule type="expression" priority="48" id="{DBB3F136-C56A-4718-95D2-299196658F26}">
            <xm:f>'C:\Users\ASISTENTEUP0\AppData\Roaming\Microsoft\Excel\[FICHA_TECNICA_SIMPLIFICADA (version 1).xlsb]FICHA_SIMPLIFICADA'!#REF!="No"</xm:f>
            <x14:dxf>
              <font>
                <color theme="0"/>
              </font>
              <fill>
                <patternFill>
                  <bgColor theme="0"/>
                </patternFill>
              </fill>
              <border>
                <left/>
                <right/>
                <top/>
                <bottom/>
                <vertical/>
                <horizontal/>
              </border>
            </x14:dxf>
          </x14:cfRule>
          <xm:sqref>N25</xm:sqref>
        </x14:conditionalFormatting>
        <x14:conditionalFormatting xmlns:xm="http://schemas.microsoft.com/office/excel/2006/main">
          <x14:cfRule type="expression" priority="53" id="{226E9BC5-F03C-4551-B4B4-597147398AF7}">
            <xm:f>'C:\Users\ASISTENTEUP0\AppData\Roaming\Microsoft\Excel\[FICHA_TECNICA_SIMPLIFICADA (version 1).xlsb]FICHA_SIMPLIFICADA'!#REF!="No"</xm:f>
            <x14:dxf>
              <font>
                <color theme="0"/>
              </font>
              <fill>
                <patternFill>
                  <bgColor theme="0"/>
                </patternFill>
              </fill>
              <border>
                <left/>
                <right/>
                <top/>
                <bottom/>
                <vertical/>
                <horizontal/>
              </border>
            </x14:dxf>
          </x14:cfRule>
          <xm:sqref>U19:Y23</xm:sqref>
        </x14:conditionalFormatting>
        <x14:conditionalFormatting xmlns:xm="http://schemas.microsoft.com/office/excel/2006/main">
          <x14:cfRule type="expression" priority="50" id="{586DFA08-39B3-4293-85EE-DD068A282A59}">
            <xm:f>'C:\Users\ASISTENTEUP0\AppData\Roaming\Microsoft\Excel\[FICHA_TECNICA_SIMPLIFICADA (version 1).xlsb]FICHA_SIMPLIFICADA'!#REF!="No"</xm:f>
            <x14:dxf>
              <font>
                <color theme="0"/>
              </font>
              <fill>
                <patternFill>
                  <bgColor theme="0"/>
                </patternFill>
              </fill>
              <border>
                <left/>
                <right/>
                <top/>
                <bottom/>
                <vertical/>
                <horizontal/>
              </border>
            </x14:dxf>
          </x14:cfRule>
          <xm:sqref>T25:T26</xm:sqref>
        </x14:conditionalFormatting>
        <x14:conditionalFormatting xmlns:xm="http://schemas.microsoft.com/office/excel/2006/main">
          <x14:cfRule type="expression" priority="51" id="{D2CE4A05-9D99-4171-8857-E871A9C40ED4}">
            <xm:f>'C:\Users\ASISTENTEUP0\AppData\Roaming\Microsoft\Excel\[FICHA_TECNICA_SIMPLIFICADA (version 1).xlsb]FICHA_SIMPLIFICADA'!#REF!="No"</xm:f>
            <x14:dxf>
              <font>
                <color theme="0"/>
              </font>
              <fill>
                <patternFill>
                  <bgColor theme="0"/>
                </patternFill>
              </fill>
              <border>
                <left/>
                <right/>
                <top/>
                <bottom/>
                <vertical/>
                <horizontal/>
              </border>
            </x14:dxf>
          </x14:cfRule>
          <xm:sqref>T19:T23</xm:sqref>
        </x14:conditionalFormatting>
        <x14:conditionalFormatting xmlns:xm="http://schemas.microsoft.com/office/excel/2006/main">
          <x14:cfRule type="expression" priority="46" id="{AF79145F-7BE6-4AC8-AB1E-25B63FF6488D}">
            <xm:f>'C:\Users\ASISTENTEUP0\AppData\Roaming\Microsoft\Excel\[FICHA_TECNICA_SIMPLIFICADA (version 1).xlsb]FICHA_SIMPLIFICADA'!#REF!="No"</xm:f>
            <x14:dxf>
              <font>
                <color theme="0"/>
              </font>
              <fill>
                <patternFill>
                  <bgColor theme="0"/>
                </patternFill>
              </fill>
              <border>
                <left/>
                <right/>
                <top/>
                <bottom/>
                <vertical/>
                <horizontal/>
              </border>
            </x14:dxf>
          </x14:cfRule>
          <xm:sqref>U28:Y36</xm:sqref>
        </x14:conditionalFormatting>
        <x14:conditionalFormatting xmlns:xm="http://schemas.microsoft.com/office/excel/2006/main">
          <x14:cfRule type="expression" priority="49" id="{C6219A8D-657F-4AEE-83C7-C0BF0737DF3E}">
            <xm:f>'C:\Users\ASISTENTEUP0\AppData\Roaming\Microsoft\Excel\[FICHA_TECNICA_SIMPLIFICADA (version 1).xlsb]FICHA_SIMPLIFICADA'!#REF!="No"</xm:f>
            <x14:dxf>
              <font>
                <color theme="0"/>
              </font>
              <fill>
                <patternFill>
                  <bgColor theme="0"/>
                </patternFill>
              </fill>
              <border>
                <left/>
                <right/>
                <top/>
                <bottom/>
                <vertical/>
                <horizontal/>
              </border>
            </x14:dxf>
          </x14:cfRule>
          <xm:sqref>R19:R23</xm:sqref>
        </x14:conditionalFormatting>
        <x14:conditionalFormatting xmlns:xm="http://schemas.microsoft.com/office/excel/2006/main">
          <x14:cfRule type="expression" priority="47" id="{139D6CE4-163F-4A54-A476-90EB62A8D559}">
            <xm:f>'C:\Users\ASISTENTEUP0\AppData\Roaming\Microsoft\Excel\[FICHA_TECNICA_SIMPLIFICADA (version 1).xlsb]FICHA_SIMPLIFICADA'!#REF!="No"</xm:f>
            <x14:dxf>
              <font>
                <color theme="0"/>
              </font>
              <fill>
                <patternFill>
                  <bgColor theme="0"/>
                </patternFill>
              </fill>
              <border>
                <left/>
                <right/>
                <top/>
                <bottom/>
                <vertical/>
                <horizontal/>
              </border>
            </x14:dxf>
          </x14:cfRule>
          <xm:sqref>N26</xm:sqref>
        </x14:conditionalFormatting>
        <x14:conditionalFormatting xmlns:xm="http://schemas.microsoft.com/office/excel/2006/main">
          <x14:cfRule type="expression" priority="24" id="{E3AACA83-AE9C-4EF2-9956-18D37B75A008}">
            <xm:f>'C:\Users\ASISTENTEUP0\AppData\Roaming\Microsoft\Excel\[FICHA_TECNICA_SIMPLIFICADA (version 1).xlsb]FICHA_SIMPLIFICADA'!#REF!="No"</xm:f>
            <x14:dxf>
              <font>
                <color theme="0"/>
              </font>
              <fill>
                <patternFill>
                  <bgColor theme="0"/>
                </patternFill>
              </fill>
              <border>
                <left/>
                <right/>
                <top/>
                <bottom/>
                <vertical/>
                <horizontal/>
              </border>
            </x14:dxf>
          </x14:cfRule>
          <xm:sqref>I43</xm:sqref>
        </x14:conditionalFormatting>
        <x14:conditionalFormatting xmlns:xm="http://schemas.microsoft.com/office/excel/2006/main">
          <x14:cfRule type="expression" priority="45" id="{659955CD-334E-4FE4-B312-B7AB7483644A}">
            <xm:f>'C:\Users\ASISTENTEUP0\AppData\Roaming\Microsoft\Excel\[FICHA_TECNICA_SIMPLIFICADA (version 1).xlsb]FICHA_SIMPLIFICADA'!#REF!="No"</xm:f>
            <x14:dxf>
              <font>
                <color theme="0"/>
              </font>
              <fill>
                <patternFill>
                  <bgColor theme="0"/>
                </patternFill>
              </fill>
              <border>
                <left/>
                <right/>
                <top/>
                <bottom/>
                <vertical/>
                <horizontal/>
              </border>
            </x14:dxf>
          </x14:cfRule>
          <xm:sqref>T28:T36</xm:sqref>
        </x14:conditionalFormatting>
        <x14:conditionalFormatting xmlns:xm="http://schemas.microsoft.com/office/excel/2006/main">
          <x14:cfRule type="expression" priority="44" id="{B6A4E435-EBB0-4D63-B11D-4A8A44F195C3}">
            <xm:f>'C:\Users\ASISTENTEUP0\AppData\Roaming\Microsoft\Excel\[FICHA_TECNICA_SIMPLIFICADA (version 1).xlsb]FICHA_SIMPLIFICADA'!#REF!="No"</xm:f>
            <x14:dxf>
              <font>
                <color theme="0"/>
              </font>
              <fill>
                <patternFill>
                  <bgColor theme="0"/>
                </patternFill>
              </fill>
              <border>
                <left/>
                <right/>
                <top/>
                <bottom/>
                <vertical/>
                <horizontal/>
              </border>
            </x14:dxf>
          </x14:cfRule>
          <xm:sqref>N36 N28:N34</xm:sqref>
        </x14:conditionalFormatting>
        <x14:conditionalFormatting xmlns:xm="http://schemas.microsoft.com/office/excel/2006/main">
          <x14:cfRule type="expression" priority="43" id="{8302BE51-E06F-4356-97A6-C96C7EA62C23}">
            <xm:f>'C:\Users\ASISTENTEUP0\AppData\Roaming\Microsoft\Excel\[FICHA_TECNICA_SIMPLIFICADA (version 1).xlsb]FICHA_SIMPLIFICADA'!#REF!="No"</xm:f>
            <x14:dxf>
              <font>
                <color theme="0"/>
              </font>
              <fill>
                <patternFill>
                  <bgColor theme="0"/>
                </patternFill>
              </fill>
              <border>
                <left/>
                <right/>
                <top/>
                <bottom/>
                <vertical/>
                <horizontal/>
              </border>
            </x14:dxf>
          </x14:cfRule>
          <xm:sqref>U40:Y40</xm:sqref>
        </x14:conditionalFormatting>
        <x14:conditionalFormatting xmlns:xm="http://schemas.microsoft.com/office/excel/2006/main">
          <x14:cfRule type="expression" priority="42" id="{BB173EB7-BDAF-45FB-9453-835D34C9414E}">
            <xm:f>'C:\Users\ASISTENTEUP0\AppData\Roaming\Microsoft\Excel\[FICHA_TECNICA_SIMPLIFICADA (version 1).xlsb]FICHA_SIMPLIFICADA'!#REF!="No"</xm:f>
            <x14:dxf>
              <font>
                <color theme="0"/>
              </font>
              <fill>
                <patternFill>
                  <bgColor theme="0"/>
                </patternFill>
              </fill>
              <border>
                <left/>
                <right/>
                <top/>
                <bottom/>
                <vertical/>
                <horizontal/>
              </border>
            </x14:dxf>
          </x14:cfRule>
          <xm:sqref>U42:X44</xm:sqref>
        </x14:conditionalFormatting>
        <x14:conditionalFormatting xmlns:xm="http://schemas.microsoft.com/office/excel/2006/main">
          <x14:cfRule type="expression" priority="41" id="{92FF4C9F-09ED-4CBD-920F-DA1071125B6B}">
            <xm:f>'C:\Users\ASISTENTEUP0\AppData\Roaming\Microsoft\Excel\[FICHA_TECNICA_SIMPLIFICADA (version 1).xlsb]FICHA_SIMPLIFICADA'!#REF!="No"</xm:f>
            <x14:dxf>
              <font>
                <color theme="0"/>
              </font>
              <fill>
                <patternFill>
                  <bgColor theme="0"/>
                </patternFill>
              </fill>
              <border>
                <left/>
                <right/>
                <top/>
                <bottom/>
                <vertical/>
                <horizontal/>
              </border>
            </x14:dxf>
          </x14:cfRule>
          <xm:sqref>T40</xm:sqref>
        </x14:conditionalFormatting>
        <x14:conditionalFormatting xmlns:xm="http://schemas.microsoft.com/office/excel/2006/main">
          <x14:cfRule type="expression" priority="40" id="{DDB06481-D136-46B4-98DA-7D1F1A991BF1}">
            <xm:f>'C:\Users\ASISTENTEUP0\AppData\Roaming\Microsoft\Excel\[FICHA_TECNICA_SIMPLIFICADA (version 1).xlsb]FICHA_SIMPLIFICADA'!#REF!="No"</xm:f>
            <x14:dxf>
              <font>
                <color theme="0"/>
              </font>
              <fill>
                <patternFill>
                  <bgColor theme="0"/>
                </patternFill>
              </fill>
              <border>
                <left/>
                <right/>
                <top/>
                <bottom/>
                <vertical/>
                <horizontal/>
              </border>
            </x14:dxf>
          </x14:cfRule>
          <xm:sqref>T42:T44</xm:sqref>
        </x14:conditionalFormatting>
        <x14:conditionalFormatting xmlns:xm="http://schemas.microsoft.com/office/excel/2006/main">
          <x14:cfRule type="expression" priority="39" id="{C415A188-ED9D-410B-9FED-C8442E9A286A}">
            <xm:f>'C:\Users\ASISTENTEUP0\AppData\Roaming\Microsoft\Excel\[FICHA_TECNICA_SIMPLIFICADA (version 1).xlsb]FICHA_SIMPLIFICADA'!#REF!="No"</xm:f>
            <x14:dxf>
              <font>
                <color theme="0"/>
              </font>
              <fill>
                <patternFill>
                  <bgColor theme="0"/>
                </patternFill>
              </fill>
              <border>
                <left/>
                <right/>
                <top/>
                <bottom/>
                <vertical/>
                <horizontal/>
              </border>
            </x14:dxf>
          </x14:cfRule>
          <xm:sqref>N42:N44</xm:sqref>
        </x14:conditionalFormatting>
        <x14:conditionalFormatting xmlns:xm="http://schemas.microsoft.com/office/excel/2006/main">
          <x14:cfRule type="expression" priority="37" id="{FCD8D163-36AC-49A0-8008-1367B4F058FB}">
            <xm:f>'C:\Users\ASISTENTEUP0\AppData\Roaming\Microsoft\Excel\[FICHA_TECNICA_SIMPLIFICADA (version 1).xlsb]FICHA_SIMPLIFICADA'!#REF!="No"</xm:f>
            <x14:dxf>
              <font>
                <color theme="0"/>
              </font>
              <fill>
                <patternFill>
                  <bgColor theme="0"/>
                </patternFill>
              </fill>
              <border>
                <left/>
                <right/>
                <top/>
                <bottom/>
                <vertical/>
                <horizontal/>
              </border>
            </x14:dxf>
          </x14:cfRule>
          <xm:sqref>K35:M35</xm:sqref>
        </x14:conditionalFormatting>
        <x14:conditionalFormatting xmlns:xm="http://schemas.microsoft.com/office/excel/2006/main">
          <x14:cfRule type="expression" priority="35" id="{BFCC7058-FE69-4BC5-9899-2414A14A6C79}">
            <xm:f>'C:\Users\ASISTENTEUP0\AppData\Roaming\Microsoft\Excel\[FICHA_TECNICA_SIMPLIFICADA (version 1).xlsb]FICHA_SIMPLIFICADA'!#REF!="No"</xm:f>
            <x14:dxf>
              <font>
                <color theme="0"/>
              </font>
              <fill>
                <patternFill>
                  <bgColor theme="0"/>
                </patternFill>
              </fill>
              <border>
                <left/>
                <right/>
                <top/>
                <bottom/>
                <vertical/>
                <horizontal/>
              </border>
            </x14:dxf>
          </x14:cfRule>
          <xm:sqref>J35</xm:sqref>
        </x14:conditionalFormatting>
        <x14:conditionalFormatting xmlns:xm="http://schemas.microsoft.com/office/excel/2006/main">
          <x14:cfRule type="expression" priority="38" id="{B5B902AF-7B71-4DEE-A85F-9170CF29207D}">
            <xm:f>'C:\Users\ASISTENTEUP0\AppData\Roaming\Microsoft\Excel\[FICHA_TECNICA_SIMPLIFICADA (version 1).xlsb]FICHA_SIMPLIFICADA'!#REF!="No"</xm:f>
            <x14:dxf>
              <font>
                <color theme="0"/>
              </font>
              <fill>
                <patternFill>
                  <bgColor theme="0"/>
                </patternFill>
              </fill>
              <border>
                <left/>
                <right/>
                <top/>
                <bottom/>
                <vertical/>
                <horizontal/>
              </border>
            </x14:dxf>
          </x14:cfRule>
          <xm:sqref>F35:H35</xm:sqref>
        </x14:conditionalFormatting>
        <x14:conditionalFormatting xmlns:xm="http://schemas.microsoft.com/office/excel/2006/main">
          <x14:cfRule type="expression" priority="36" id="{83ECEBF0-0F1E-465A-991B-5286E4507723}">
            <xm:f>'C:\Users\ASISTENTEUP0\AppData\Roaming\Microsoft\Excel\[FICHA_TECNICA_SIMPLIFICADA (version 1).xlsb]FICHA_SIMPLIFICADA'!#REF!="No"</xm:f>
            <x14:dxf>
              <font>
                <color theme="0"/>
              </font>
              <fill>
                <patternFill>
                  <bgColor theme="0"/>
                </patternFill>
              </fill>
              <border>
                <left/>
                <right/>
                <top/>
                <bottom/>
                <vertical/>
                <horizontal/>
              </border>
            </x14:dxf>
          </x14:cfRule>
          <xm:sqref>I35</xm:sqref>
        </x14:conditionalFormatting>
        <x14:conditionalFormatting xmlns:xm="http://schemas.microsoft.com/office/excel/2006/main">
          <x14:cfRule type="expression" priority="33" id="{1D5B87AD-4A78-4C49-B0A1-117E2BD6B794}">
            <xm:f>'C:\Users\ASISTENTEUP0\AppData\Roaming\Microsoft\Excel\[FICHA_TECNICA_SIMPLIFICADA (version 1).xlsb]FICHA_SIMPLIFICADA'!#REF!="No"</xm:f>
            <x14:dxf>
              <font>
                <color theme="0"/>
              </font>
              <fill>
                <patternFill>
                  <bgColor theme="0"/>
                </patternFill>
              </fill>
              <border>
                <left/>
                <right/>
                <top/>
                <bottom/>
                <vertical/>
                <horizontal/>
              </border>
            </x14:dxf>
          </x14:cfRule>
          <xm:sqref>T37:T38</xm:sqref>
        </x14:conditionalFormatting>
        <x14:conditionalFormatting xmlns:xm="http://schemas.microsoft.com/office/excel/2006/main">
          <x14:cfRule type="expression" priority="32" id="{D22236AC-E1E9-458F-BC34-A538E7BB2121}">
            <xm:f>'C:\Users\ASISTENTEUP0\AppData\Roaming\Microsoft\Excel\[FICHA_TECNICA_SIMPLIFICADA (version 1).xlsb]FICHA_SIMPLIFICADA'!#REF!="No"</xm:f>
            <x14:dxf>
              <font>
                <color theme="0"/>
              </font>
              <fill>
                <patternFill>
                  <bgColor theme="0"/>
                </patternFill>
              </fill>
              <border>
                <left/>
                <right/>
                <top/>
                <bottom/>
                <vertical/>
                <horizontal/>
              </border>
            </x14:dxf>
          </x14:cfRule>
          <xm:sqref>N38</xm:sqref>
        </x14:conditionalFormatting>
        <x14:conditionalFormatting xmlns:xm="http://schemas.microsoft.com/office/excel/2006/main">
          <x14:cfRule type="expression" priority="18" id="{3400534E-3A77-4F58-A1DD-494FA725970F}">
            <xm:f>'C:\Users\ASISTENTEUP0\AppData\Roaming\Microsoft\Excel\[FICHA_TECNICA_SIMPLIFICADA (version 1).xlsb]FICHA_SIMPLIFICADA'!#REF!="No"</xm:f>
            <x14:dxf>
              <font>
                <color theme="0"/>
              </font>
              <fill>
                <patternFill>
                  <bgColor theme="0"/>
                </patternFill>
              </fill>
              <border>
                <left/>
                <right/>
                <top/>
                <bottom/>
                <vertical/>
                <horizontal/>
              </border>
            </x14:dxf>
          </x14:cfRule>
          <xm:sqref>T14</xm:sqref>
        </x14:conditionalFormatting>
        <x14:conditionalFormatting xmlns:xm="http://schemas.microsoft.com/office/excel/2006/main">
          <x14:cfRule type="expression" priority="28" id="{1700485A-54A0-4E3E-8187-F47790508F45}">
            <xm:f>'C:\Users\ASISTENTEUP0\AppData\Roaming\Microsoft\Excel\[FICHA_TECNICA_SIMPLIFICADA (version 1).xlsb]FICHA_SIMPLIFICADA'!#REF!="No"</xm:f>
            <x14:dxf>
              <font>
                <color theme="0"/>
              </font>
              <fill>
                <patternFill>
                  <bgColor theme="0"/>
                </patternFill>
              </fill>
              <border>
                <left/>
                <right/>
                <top/>
                <bottom/>
                <vertical/>
                <horizontal/>
              </border>
            </x14:dxf>
          </x14:cfRule>
          <xm:sqref>J37</xm:sqref>
        </x14:conditionalFormatting>
        <x14:conditionalFormatting xmlns:xm="http://schemas.microsoft.com/office/excel/2006/main">
          <x14:cfRule type="expression" priority="31" id="{44B9344F-4A1B-4D54-96CA-E6FA8213CAA5}">
            <xm:f>'C:\Users\ASISTENTEUP0\AppData\Roaming\Microsoft\Excel\[FICHA_TECNICA_SIMPLIFICADA (version 1).xlsb]FICHA_SIMPLIFICADA'!#REF!="No"</xm:f>
            <x14:dxf>
              <font>
                <color theme="0"/>
              </font>
              <fill>
                <patternFill>
                  <bgColor theme="0"/>
                </patternFill>
              </fill>
              <border>
                <left/>
                <right/>
                <top/>
                <bottom/>
                <vertical/>
                <horizontal/>
              </border>
            </x14:dxf>
          </x14:cfRule>
          <xm:sqref>F37:H37</xm:sqref>
        </x14:conditionalFormatting>
        <x14:conditionalFormatting xmlns:xm="http://schemas.microsoft.com/office/excel/2006/main">
          <x14:cfRule type="expression" priority="29" id="{4DDE72FA-70DA-4BA0-822A-9CB73E3B0C94}">
            <xm:f>'C:\Users\ASISTENTEUP0\AppData\Roaming\Microsoft\Excel\[FICHA_TECNICA_SIMPLIFICADA (version 1).xlsb]FICHA_SIMPLIFICADA'!#REF!="No"</xm:f>
            <x14:dxf>
              <font>
                <color theme="0"/>
              </font>
              <fill>
                <patternFill>
                  <bgColor theme="0"/>
                </patternFill>
              </fill>
              <border>
                <left/>
                <right/>
                <top/>
                <bottom/>
                <vertical/>
                <horizontal/>
              </border>
            </x14:dxf>
          </x14:cfRule>
          <xm:sqref>I37</xm:sqref>
        </x14:conditionalFormatting>
        <x14:conditionalFormatting xmlns:xm="http://schemas.microsoft.com/office/excel/2006/main">
          <x14:cfRule type="expression" priority="27" id="{9C0450C0-FC06-47C4-91D2-9BC8F2FC34ED}">
            <xm:f>'C:\Users\ASISTENTEUP0\AppData\Roaming\Microsoft\Excel\[FICHA_TECNICA_SIMPLIFICADA (version 1).xlsb]FICHA_SIMPLIFICADA'!#REF!="No"</xm:f>
            <x14:dxf>
              <font>
                <color theme="0"/>
              </font>
              <fill>
                <patternFill>
                  <bgColor theme="0"/>
                </patternFill>
              </fill>
              <border>
                <left/>
                <right/>
                <top/>
                <bottom/>
                <vertical/>
                <horizontal/>
              </border>
            </x14:dxf>
          </x14:cfRule>
          <xm:sqref>N35</xm:sqref>
        </x14:conditionalFormatting>
        <x14:conditionalFormatting xmlns:xm="http://schemas.microsoft.com/office/excel/2006/main">
          <x14:cfRule type="expression" priority="26" id="{E64A6DD8-2F9F-4F81-85DE-3D6796E5C59F}">
            <xm:f>'C:\Users\ASISTENTEUP0\AppData\Roaming\Microsoft\Excel\[FICHA_TECNICA_SIMPLIFICADA (version 1).xlsb]FICHA_SIMPLIFICADA'!#REF!="No"</xm:f>
            <x14:dxf>
              <font>
                <color theme="0"/>
              </font>
              <fill>
                <patternFill>
                  <bgColor theme="0"/>
                </patternFill>
              </fill>
              <border>
                <left/>
                <right/>
                <top/>
                <bottom/>
                <vertical/>
                <horizontal/>
              </border>
            </x14:dxf>
          </x14:cfRule>
          <xm:sqref>N37</xm:sqref>
        </x14:conditionalFormatting>
        <x14:conditionalFormatting xmlns:xm="http://schemas.microsoft.com/office/excel/2006/main">
          <x14:cfRule type="expression" priority="25" id="{10AE646D-3304-4D87-BCE6-D766F94F1D11}">
            <xm:f>'C:\Users\ASISTENTEUP0\AppData\Roaming\Microsoft\Excel\[FICHA_TECNICA_SIMPLIFICADA (version 1).xlsb]FICHA_SIMPLIFICADA'!#REF!="No"</xm:f>
            <x14:dxf>
              <font>
                <color theme="0"/>
              </font>
              <fill>
                <patternFill>
                  <bgColor theme="0"/>
                </patternFill>
              </fill>
              <border>
                <left/>
                <right/>
                <top/>
                <bottom/>
                <vertical/>
                <horizontal/>
              </border>
            </x14:dxf>
          </x14:cfRule>
          <xm:sqref>F43:H43</xm:sqref>
        </x14:conditionalFormatting>
        <x14:conditionalFormatting xmlns:xm="http://schemas.microsoft.com/office/excel/2006/main">
          <x14:cfRule type="expression" priority="17" id="{7AC1C257-868E-48E6-9EF3-DF5190D564FA}">
            <xm:f>'C:\Users\ASISTENTEUP0\AppData\Roaming\Microsoft\Excel\[FICHA_TECNICA_SIMPLIFICADA (version 1).xlsb]FICHA_SIMPLIFICADA'!#REF!="No"</xm:f>
            <x14:dxf>
              <font>
                <color theme="0"/>
              </font>
              <fill>
                <patternFill>
                  <bgColor theme="0"/>
                </patternFill>
              </fill>
              <border>
                <left/>
                <right/>
                <top/>
                <bottom/>
                <vertical/>
                <horizontal/>
              </border>
            </x14:dxf>
          </x14:cfRule>
          <xm:sqref>T18</xm:sqref>
        </x14:conditionalFormatting>
        <x14:conditionalFormatting xmlns:xm="http://schemas.microsoft.com/office/excel/2006/main">
          <x14:cfRule type="expression" priority="23" id="{5997BAD8-9089-4DAE-8FDD-FAF6115DB90E}">
            <xm:f>'C:\Users\ASISTENTEUP0\AppData\Roaming\Microsoft\Excel\[FICHA_TECNICA_SIMPLIFICADA (version 1).xlsb]FICHA_SIMPLIFICADA'!#REF!="No"</xm:f>
            <x14:dxf>
              <font>
                <color theme="0"/>
              </font>
              <fill>
                <patternFill>
                  <bgColor theme="0"/>
                </patternFill>
              </fill>
              <border>
                <left/>
                <right/>
                <top/>
                <bottom/>
                <vertical/>
                <horizontal/>
              </border>
            </x14:dxf>
          </x14:cfRule>
          <xm:sqref>F44:H44</xm:sqref>
        </x14:conditionalFormatting>
        <x14:conditionalFormatting xmlns:xm="http://schemas.microsoft.com/office/excel/2006/main">
          <x14:cfRule type="expression" priority="22" id="{2FBEA0F4-DFBA-46ED-94EE-1C30E65EE0E6}">
            <xm:f>'C:\Users\ASISTENTEUP0\AppData\Roaming\Microsoft\Excel\[FICHA_TECNICA_SIMPLIFICADA (version 1).xlsb]FICHA_SIMPLIFICADA'!#REF!="No"</xm:f>
            <x14:dxf>
              <font>
                <color theme="0"/>
              </font>
              <fill>
                <patternFill>
                  <bgColor theme="0"/>
                </patternFill>
              </fill>
              <border>
                <left/>
                <right/>
                <top/>
                <bottom/>
                <vertical/>
                <horizontal/>
              </border>
            </x14:dxf>
          </x14:cfRule>
          <xm:sqref>I44</xm:sqref>
        </x14:conditionalFormatting>
        <x14:conditionalFormatting xmlns:xm="http://schemas.microsoft.com/office/excel/2006/main">
          <x14:cfRule type="expression" priority="21" id="{EAC8667F-4ED4-43FD-8DED-53296E8EE0CC}">
            <xm:f>'C:\Users\ASISTENTEUP0\AppData\Roaming\Microsoft\Excel\[FICHA_TECNICA_SIMPLIFICADA (version 1).xlsb]FICHA_SIMPLIFICADA'!#REF!="No"</xm:f>
            <x14:dxf>
              <font>
                <color theme="0"/>
              </font>
              <fill>
                <patternFill>
                  <bgColor theme="0"/>
                </patternFill>
              </fill>
              <border>
                <left/>
                <right/>
                <top/>
                <bottom/>
                <vertical/>
                <horizontal/>
              </border>
            </x14:dxf>
          </x14:cfRule>
          <xm:sqref>N40</xm:sqref>
        </x14:conditionalFormatting>
        <x14:conditionalFormatting xmlns:xm="http://schemas.microsoft.com/office/excel/2006/main">
          <x14:cfRule type="expression" priority="20" id="{C54D7695-DC49-43AE-B5C3-C80EB409F339}">
            <xm:f>'C:\Users\ASISTENTEUP0\AppData\Roaming\Microsoft\Excel\[FICHA_TECNICA_SIMPLIFICADA (version 1).xlsb]FICHA_SIMPLIFICADA'!#REF!="No"</xm:f>
            <x14:dxf>
              <font>
                <color theme="0"/>
              </font>
              <fill>
                <patternFill>
                  <bgColor theme="0"/>
                </patternFill>
              </fill>
              <border>
                <left/>
                <right/>
                <top/>
                <bottom/>
                <vertical/>
                <horizontal/>
              </border>
            </x14:dxf>
          </x14:cfRule>
          <xm:sqref>Y42:Y44</xm:sqref>
        </x14:conditionalFormatting>
        <x14:conditionalFormatting xmlns:xm="http://schemas.microsoft.com/office/excel/2006/main">
          <x14:cfRule type="expression" priority="19" id="{A24A7001-612B-451F-ADB9-3E274C7F003A}">
            <xm:f>'C:\Users\ASISTENTEUP0\AppData\Roaming\Microsoft\Excel\[FICHA_TECNICA_SIMPLIFICADA (version 1).xlsb]FICHA_SIMPLIFICADA'!#REF!="No"</xm:f>
            <x14:dxf>
              <font>
                <color theme="0"/>
              </font>
              <fill>
                <patternFill>
                  <bgColor theme="0"/>
                </patternFill>
              </fill>
              <border>
                <left/>
                <right/>
                <top/>
                <bottom/>
                <vertical/>
                <horizontal/>
              </border>
            </x14:dxf>
          </x14:cfRule>
          <xm:sqref>T6</xm:sqref>
        </x14:conditionalFormatting>
        <x14:conditionalFormatting xmlns:xm="http://schemas.microsoft.com/office/excel/2006/main">
          <x14:cfRule type="expression" priority="16" id="{E4042554-7004-45DC-BC4D-75BEFEF2F4D2}">
            <xm:f>'C:\Users\ASISTENTEUP0\AppData\Roaming\Microsoft\Excel\[FICHA_TECNICA_SIMPLIFICADA (version 1).xlsb]FICHA_SIMPLIFICADA'!#REF!="No"</xm:f>
            <x14:dxf>
              <font>
                <color theme="0"/>
              </font>
              <fill>
                <patternFill>
                  <bgColor theme="0"/>
                </patternFill>
              </fill>
              <border>
                <left/>
                <right/>
                <top/>
                <bottom/>
                <vertical/>
                <horizontal/>
              </border>
            </x14:dxf>
          </x14:cfRule>
          <xm:sqref>T24</xm:sqref>
        </x14:conditionalFormatting>
        <x14:conditionalFormatting xmlns:xm="http://schemas.microsoft.com/office/excel/2006/main">
          <x14:cfRule type="expression" priority="15" id="{12293C6D-3110-4D99-BCDC-A5FD61B5FE61}">
            <xm:f>'C:\Users\ASISTENTEUP0\AppData\Roaming\Microsoft\Excel\[FICHA_TECNICA_SIMPLIFICADA (version 1).xlsb]FICHA_SIMPLIFICADA'!#REF!="No"</xm:f>
            <x14:dxf>
              <font>
                <color theme="0"/>
              </font>
              <fill>
                <patternFill>
                  <bgColor theme="0"/>
                </patternFill>
              </fill>
              <border>
                <left/>
                <right/>
                <top/>
                <bottom/>
                <vertical/>
                <horizontal/>
              </border>
            </x14:dxf>
          </x14:cfRule>
          <xm:sqref>T27</xm:sqref>
        </x14:conditionalFormatting>
        <x14:conditionalFormatting xmlns:xm="http://schemas.microsoft.com/office/excel/2006/main">
          <x14:cfRule type="expression" priority="14" id="{D8AC2A9E-8DCD-4988-A804-9A4FFB15BD0C}">
            <xm:f>'C:\Users\ASISTENTEUP0\AppData\Roaming\Microsoft\Excel\[FICHA_TECNICA_SIMPLIFICADA (version 1).xlsb]FICHA_SIMPLIFICADA'!#REF!="No"</xm:f>
            <x14:dxf>
              <font>
                <color theme="0"/>
              </font>
              <fill>
                <patternFill>
                  <bgColor theme="0"/>
                </patternFill>
              </fill>
              <border>
                <left/>
                <right/>
                <top/>
                <bottom/>
                <vertical/>
                <horizontal/>
              </border>
            </x14:dxf>
          </x14:cfRule>
          <xm:sqref>S5:S6</xm:sqref>
        </x14:conditionalFormatting>
        <x14:conditionalFormatting xmlns:xm="http://schemas.microsoft.com/office/excel/2006/main">
          <x14:cfRule type="expression" priority="13" id="{C85F2611-8B62-4000-A4FE-F7DCC3211440}">
            <xm:f>'C:\Users\ASISTENTEUP0\AppData\Roaming\Microsoft\Excel\[FICHA_TECNICA_SIMPLIFICADA (version 1).xlsb]FICHA_SIMPLIFICADA'!#REF!="No"</xm:f>
            <x14:dxf>
              <font>
                <color theme="0"/>
              </font>
              <fill>
                <patternFill>
                  <bgColor theme="0"/>
                </patternFill>
              </fill>
              <border>
                <left/>
                <right/>
                <top/>
                <bottom/>
                <vertical/>
                <horizontal/>
              </border>
            </x14:dxf>
          </x14:cfRule>
          <xm:sqref>M7:M13</xm:sqref>
        </x14:conditionalFormatting>
        <x14:conditionalFormatting xmlns:xm="http://schemas.microsoft.com/office/excel/2006/main">
          <x14:cfRule type="expression" priority="12" id="{C8608807-A49E-49D5-9740-AA38087E4070}">
            <xm:f>'C:\Users\ASISTENTEUP0\AppData\Roaming\Microsoft\Excel\[FICHA_TECNICA_SIMPLIFICADA (version 1).xlsb]FICHA_SIMPLIFICADA'!#REF!="No"</xm:f>
            <x14:dxf>
              <font>
                <color theme="0"/>
              </font>
              <fill>
                <patternFill>
                  <bgColor theme="0"/>
                </patternFill>
              </fill>
              <border>
                <left/>
                <right/>
                <top/>
                <bottom/>
                <vertical/>
                <horizontal/>
              </border>
            </x14:dxf>
          </x14:cfRule>
          <xm:sqref>F17</xm:sqref>
        </x14:conditionalFormatting>
        <x14:conditionalFormatting xmlns:xm="http://schemas.microsoft.com/office/excel/2006/main">
          <x14:cfRule type="expression" priority="11" id="{475AC3E1-9F25-4204-B40E-1CED88FD8F88}">
            <xm:f>'C:\Users\ASISTENTEUP0\AppData\Roaming\Microsoft\Excel\[FICHA_TECNICA_SIMPLIFICADA (version 1).xlsb]FICHA_SIMPLIFICADA'!#REF!="No"</xm:f>
            <x14:dxf>
              <font>
                <color theme="0"/>
              </font>
              <fill>
                <patternFill>
                  <bgColor theme="0"/>
                </patternFill>
              </fill>
              <border>
                <left/>
                <right/>
                <top/>
                <bottom/>
                <vertical/>
                <horizontal/>
              </border>
            </x14:dxf>
          </x14:cfRule>
          <xm:sqref>M15:M16</xm:sqref>
        </x14:conditionalFormatting>
        <x14:conditionalFormatting xmlns:xm="http://schemas.microsoft.com/office/excel/2006/main">
          <x14:cfRule type="expression" priority="10" id="{542A9832-36EC-422B-BF92-C0E342BA053A}">
            <xm:f>'C:\Users\ASISTENTEUP0\AppData\Roaming\Microsoft\Excel\[FICHA_TECNICA_SIMPLIFICADA (version 1).xlsb]FICHA_SIMPLIFICADA'!#REF!="No"</xm:f>
            <x14:dxf>
              <font>
                <color theme="0"/>
              </font>
              <fill>
                <patternFill>
                  <bgColor theme="0"/>
                </patternFill>
              </fill>
              <border>
                <left/>
                <right/>
                <top/>
                <bottom/>
                <vertical/>
                <horizontal/>
              </border>
            </x14:dxf>
          </x14:cfRule>
          <xm:sqref>N17</xm:sqref>
        </x14:conditionalFormatting>
        <x14:conditionalFormatting xmlns:xm="http://schemas.microsoft.com/office/excel/2006/main">
          <x14:cfRule type="expression" priority="9" id="{E172CF19-9767-4852-B56D-082F37B7D730}">
            <xm:f>'C:\Users\ASISTENTEUP0\AppData\Roaming\Microsoft\Excel\[FICHA_TECNICA_SIMPLIFICADA (version 1).xlsb]FICHA_SIMPLIFICADA'!#REF!="No"</xm:f>
            <x14:dxf>
              <font>
                <color theme="0"/>
              </font>
              <fill>
                <patternFill>
                  <bgColor theme="0"/>
                </patternFill>
              </fill>
              <border>
                <left/>
                <right/>
                <top/>
                <bottom/>
                <vertical/>
                <horizontal/>
              </border>
            </x14:dxf>
          </x14:cfRule>
          <xm:sqref>M17</xm:sqref>
        </x14:conditionalFormatting>
        <x14:conditionalFormatting xmlns:xm="http://schemas.microsoft.com/office/excel/2006/main">
          <x14:cfRule type="expression" priority="8" id="{3D672740-E5A0-48C5-8FAF-C1706DD2DD89}">
            <xm:f>'C:\Users\ASISTENTEUP0\AppData\Roaming\Microsoft\Excel\[FICHA_TECNICA_SIMPLIFICADA (version 1).xlsb]FICHA_SIMPLIFICADA'!#REF!="No"</xm:f>
            <x14:dxf>
              <font>
                <color theme="0"/>
              </font>
              <fill>
                <patternFill>
                  <bgColor theme="0"/>
                </patternFill>
              </fill>
              <border>
                <left/>
                <right/>
                <top/>
                <bottom/>
                <vertical/>
                <horizontal/>
              </border>
            </x14:dxf>
          </x14:cfRule>
          <xm:sqref>M25:M26</xm:sqref>
        </x14:conditionalFormatting>
        <x14:conditionalFormatting xmlns:xm="http://schemas.microsoft.com/office/excel/2006/main">
          <x14:cfRule type="expression" priority="7" id="{ACF9DDEF-5458-4568-A7C6-FF153BF105C3}">
            <xm:f>'C:\Users\ASISTENTEUP0\AppData\Roaming\Microsoft\Excel\[FICHA_TECNICA_SIMPLIFICADA (version 1).xlsb]FICHA_SIMPLIFICADA'!#REF!="No"</xm:f>
            <x14:dxf>
              <font>
                <color theme="0"/>
              </font>
              <fill>
                <patternFill>
                  <bgColor theme="0"/>
                </patternFill>
              </fill>
              <border>
                <left/>
                <right/>
                <top/>
                <bottom/>
                <vertical/>
                <horizontal/>
              </border>
            </x14:dxf>
          </x14:cfRule>
          <xm:sqref>M28:M34</xm:sqref>
        </x14:conditionalFormatting>
        <x14:conditionalFormatting xmlns:xm="http://schemas.microsoft.com/office/excel/2006/main">
          <x14:cfRule type="expression" priority="6" id="{53C3AF14-A22C-4FB7-AE49-5493DF63C5DC}">
            <xm:f>'C:\Users\ASISTENTEUP0\AppData\Roaming\Microsoft\Excel\[FICHA_TECNICA_SIMPLIFICADA (version 1).xlsb]FICHA_SIMPLIFICADA'!#REF!="No"</xm:f>
            <x14:dxf>
              <font>
                <color theme="0"/>
              </font>
              <fill>
                <patternFill>
                  <bgColor theme="0"/>
                </patternFill>
              </fill>
              <border>
                <left/>
                <right/>
                <top/>
                <bottom/>
                <vertical/>
                <horizontal/>
              </border>
            </x14:dxf>
          </x14:cfRule>
          <xm:sqref>M36</xm:sqref>
        </x14:conditionalFormatting>
        <x14:conditionalFormatting xmlns:xm="http://schemas.microsoft.com/office/excel/2006/main">
          <x14:cfRule type="expression" priority="5" id="{6C3C0699-905B-4E75-8B95-A400277B9717}">
            <xm:f>'C:\Users\ASISTENTEUP0\AppData\Roaming\Microsoft\Excel\[FICHA_TECNICA_SIMPLIFICADA (version 1).xlsb]FICHA_SIMPLIFICADA'!#REF!="No"</xm:f>
            <x14:dxf>
              <font>
                <color theme="0"/>
              </font>
              <fill>
                <patternFill>
                  <bgColor theme="0"/>
                </patternFill>
              </fill>
              <border>
                <left/>
                <right/>
                <top/>
                <bottom/>
                <vertical/>
                <horizontal/>
              </border>
            </x14:dxf>
          </x14:cfRule>
          <xm:sqref>M38</xm:sqref>
        </x14:conditionalFormatting>
        <x14:conditionalFormatting xmlns:xm="http://schemas.microsoft.com/office/excel/2006/main">
          <x14:cfRule type="expression" priority="4" id="{82BF6CAF-63C9-4114-BD91-483806CA08EF}">
            <xm:f>'C:\Users\ASISTENTEUP0\AppData\Roaming\Microsoft\Excel\[FICHA_TECNICA_SIMPLIFICADA (version 1).xlsb]FICHA_SIMPLIFICADA'!#REF!="No"</xm:f>
            <x14:dxf>
              <font>
                <color theme="0"/>
              </font>
              <fill>
                <patternFill>
                  <bgColor theme="0"/>
                </patternFill>
              </fill>
              <border>
                <left/>
                <right/>
                <top/>
                <bottom/>
                <vertical/>
                <horizontal/>
              </border>
            </x14:dxf>
          </x14:cfRule>
          <xm:sqref>M40</xm:sqref>
        </x14:conditionalFormatting>
        <x14:conditionalFormatting xmlns:xm="http://schemas.microsoft.com/office/excel/2006/main">
          <x14:cfRule type="expression" priority="3" id="{1A009348-A628-4283-91B0-0C52ACFB8F22}">
            <xm:f>'C:\Users\ASISTENTEUP0\AppData\Roaming\Microsoft\Excel\[FICHA_TECNICA_SIMPLIFICADA (version 1).xlsb]FICHA_SIMPLIFICADA'!#REF!="No"</xm:f>
            <x14:dxf>
              <font>
                <color theme="0"/>
              </font>
              <fill>
                <patternFill>
                  <bgColor theme="0"/>
                </patternFill>
              </fill>
              <border>
                <left/>
                <right/>
                <top/>
                <bottom/>
                <vertical/>
                <horizontal/>
              </border>
            </x14:dxf>
          </x14:cfRule>
          <xm:sqref>M42</xm:sqref>
        </x14:conditionalFormatting>
        <x14:conditionalFormatting xmlns:xm="http://schemas.microsoft.com/office/excel/2006/main">
          <x14:cfRule type="expression" priority="2" id="{7AF9CE9B-12D4-4D6F-8C8A-AFFA910D02ED}">
            <xm:f>'C:\Users\ASISTENTEUP0\AppData\Roaming\Microsoft\Excel\[FICHA_TECNICA_SIMPLIFICADA (version 1).xlsb]FICHA_SIMPLIFICADA'!#REF!="No"</xm:f>
            <x14:dxf>
              <font>
                <color theme="0"/>
              </font>
              <fill>
                <patternFill>
                  <bgColor theme="0"/>
                </patternFill>
              </fill>
              <border>
                <left/>
                <right/>
                <top/>
                <bottom/>
                <vertical/>
                <horizontal/>
              </border>
            </x14:dxf>
          </x14:cfRule>
          <xm:sqref>M43</xm:sqref>
        </x14:conditionalFormatting>
        <x14:conditionalFormatting xmlns:xm="http://schemas.microsoft.com/office/excel/2006/main">
          <x14:cfRule type="expression" priority="1" id="{CE479C6F-BFF2-42FB-8832-6B1C951F7076}">
            <xm:f>'C:\Users\ASISTENTEUP0\AppData\Roaming\Microsoft\Excel\[FICHA_TECNICA_SIMPLIFICADA (version 1).xlsb]FICHA_SIMPLIFICADA'!#REF!="No"</xm:f>
            <x14:dxf>
              <font>
                <color theme="0"/>
              </font>
              <fill>
                <patternFill>
                  <bgColor theme="0"/>
                </patternFill>
              </fill>
              <border>
                <left/>
                <right/>
                <top/>
                <bottom/>
                <vertical/>
                <horizontal/>
              </border>
            </x14:dxf>
          </x14:cfRule>
          <xm:sqref>M44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5" tint="-0.249977111117893"/>
  </sheetPr>
  <dimension ref="A1:T84"/>
  <sheetViews>
    <sheetView showGridLines="0" topLeftCell="A31" workbookViewId="0">
      <selection activeCell="R29" sqref="R29"/>
    </sheetView>
  </sheetViews>
  <sheetFormatPr baseColWidth="10" defaultColWidth="9.140625" defaultRowHeight="12.75"/>
  <cols>
    <col min="1" max="1" width="2.7109375" style="573" customWidth="1"/>
    <col min="2" max="2" width="2.85546875" style="573" customWidth="1"/>
    <col min="3" max="3" width="28.42578125" style="573" customWidth="1"/>
    <col min="4" max="4" width="3.28515625" style="574" customWidth="1"/>
    <col min="5" max="5" width="8" style="575" customWidth="1"/>
    <col min="6" max="6" width="9" style="575" customWidth="1"/>
    <col min="7" max="7" width="7" style="575" customWidth="1"/>
    <col min="8" max="8" width="6.42578125" style="575" customWidth="1"/>
    <col min="9" max="9" width="6.28515625" style="575" customWidth="1"/>
    <col min="10" max="10" width="6.140625" style="575" customWidth="1"/>
    <col min="11" max="11" width="5.42578125" style="575" customWidth="1"/>
    <col min="12" max="13" width="6" style="575" customWidth="1"/>
    <col min="14" max="14" width="5.7109375" style="575" customWidth="1"/>
    <col min="15" max="15" width="10" style="575" customWidth="1"/>
    <col min="16" max="16" width="5.42578125" style="575" customWidth="1"/>
    <col min="17" max="17" width="8.42578125" style="575" customWidth="1"/>
    <col min="18" max="18" width="16" style="576" customWidth="1"/>
    <col min="19" max="16384" width="9.140625" style="573"/>
  </cols>
  <sheetData>
    <row r="1" spans="1:20" ht="20.25">
      <c r="A1" s="929" t="s">
        <v>1286</v>
      </c>
    </row>
    <row r="2" spans="1:20">
      <c r="C2" s="577"/>
      <c r="D2" s="578"/>
      <c r="F2" s="579"/>
    </row>
    <row r="3" spans="1:20">
      <c r="C3" s="2176" t="s">
        <v>805</v>
      </c>
      <c r="D3" s="2176"/>
      <c r="E3" s="2176"/>
      <c r="F3" s="2176"/>
      <c r="G3" s="2176"/>
      <c r="H3" s="2176"/>
      <c r="I3" s="2176"/>
      <c r="J3" s="2176"/>
      <c r="K3" s="2176"/>
      <c r="L3" s="2176"/>
      <c r="M3" s="2176"/>
      <c r="N3" s="2176"/>
      <c r="O3" s="2176"/>
      <c r="P3" s="2176"/>
      <c r="Q3" s="573"/>
      <c r="R3" s="573"/>
    </row>
    <row r="4" spans="1:20" ht="12.75" customHeight="1">
      <c r="C4" s="2176" t="s">
        <v>806</v>
      </c>
      <c r="D4" s="2176"/>
      <c r="E4" s="2176"/>
      <c r="F4" s="2176"/>
      <c r="G4" s="2176"/>
      <c r="H4" s="2176"/>
      <c r="I4" s="2176"/>
      <c r="J4" s="2176"/>
      <c r="K4" s="2176"/>
      <c r="L4" s="2176"/>
      <c r="M4" s="2176"/>
      <c r="N4" s="2176"/>
      <c r="O4" s="2176"/>
      <c r="P4" s="2176"/>
      <c r="Q4" s="573"/>
      <c r="R4" s="573"/>
    </row>
    <row r="5" spans="1:20">
      <c r="B5" s="2158"/>
      <c r="C5" s="2158"/>
      <c r="D5" s="2158"/>
      <c r="E5" s="585" t="s">
        <v>807</v>
      </c>
      <c r="F5" s="585">
        <v>0</v>
      </c>
      <c r="G5" s="585">
        <f t="shared" ref="G5:P5" si="0">F5+1</f>
        <v>1</v>
      </c>
      <c r="H5" s="585">
        <f t="shared" si="0"/>
        <v>2</v>
      </c>
      <c r="I5" s="585">
        <f t="shared" si="0"/>
        <v>3</v>
      </c>
      <c r="J5" s="585">
        <f t="shared" si="0"/>
        <v>4</v>
      </c>
      <c r="K5" s="585">
        <f t="shared" si="0"/>
        <v>5</v>
      </c>
      <c r="L5" s="585">
        <f t="shared" si="0"/>
        <v>6</v>
      </c>
      <c r="M5" s="585">
        <f t="shared" si="0"/>
        <v>7</v>
      </c>
      <c r="N5" s="585">
        <f t="shared" si="0"/>
        <v>8</v>
      </c>
      <c r="O5" s="585">
        <f t="shared" si="0"/>
        <v>9</v>
      </c>
      <c r="P5" s="585">
        <f t="shared" si="0"/>
        <v>10</v>
      </c>
      <c r="Q5" s="585" t="s">
        <v>808</v>
      </c>
    </row>
    <row r="6" spans="1:20" s="580" customFormat="1">
      <c r="B6" s="2164" t="s">
        <v>809</v>
      </c>
      <c r="C6" s="2165"/>
      <c r="D6" s="2166"/>
      <c r="E6" s="586" t="e">
        <f t="shared" ref="E6:E23" si="1">($F6*$F$24)+($G6*$G$24)+($H6*$H$24)+($I6*$I$24)+($J6*$J$24)+($K6*$K$24)+($L6*$L$24)+($M6*$M$24)+($N6*$N$24)+($O6*$O$24)+($P6*$P$24)</f>
        <v>#REF!</v>
      </c>
      <c r="F6" s="586" t="e">
        <f>F7</f>
        <v>#REF!</v>
      </c>
      <c r="G6" s="586">
        <f t="shared" ref="G6:P6" si="2">G7</f>
        <v>0</v>
      </c>
      <c r="H6" s="586">
        <f t="shared" si="2"/>
        <v>0</v>
      </c>
      <c r="I6" s="586">
        <f t="shared" si="2"/>
        <v>0</v>
      </c>
      <c r="J6" s="586">
        <f t="shared" si="2"/>
        <v>0</v>
      </c>
      <c r="K6" s="586">
        <f t="shared" si="2"/>
        <v>0</v>
      </c>
      <c r="L6" s="586">
        <f t="shared" si="2"/>
        <v>0</v>
      </c>
      <c r="M6" s="586">
        <f t="shared" si="2"/>
        <v>0</v>
      </c>
      <c r="N6" s="586">
        <f t="shared" si="2"/>
        <v>0</v>
      </c>
      <c r="O6" s="586">
        <f t="shared" si="2"/>
        <v>0</v>
      </c>
      <c r="P6" s="586">
        <f t="shared" si="2"/>
        <v>0</v>
      </c>
      <c r="Q6" s="586" t="e">
        <f>SUM(F6:P6)</f>
        <v>#REF!</v>
      </c>
      <c r="R6" s="584"/>
    </row>
    <row r="7" spans="1:20">
      <c r="B7" s="2167" t="s">
        <v>810</v>
      </c>
      <c r="C7" s="2167"/>
      <c r="D7" s="2167"/>
      <c r="E7" s="587" t="e">
        <f t="shared" si="1"/>
        <v>#REF!</v>
      </c>
      <c r="F7" s="588" t="e">
        <f>SUM(F8:F14)</f>
        <v>#REF!</v>
      </c>
      <c r="G7" s="588">
        <f t="shared" ref="G7:P7" si="3">SUM(G8:G12)</f>
        <v>0</v>
      </c>
      <c r="H7" s="588">
        <f t="shared" si="3"/>
        <v>0</v>
      </c>
      <c r="I7" s="588">
        <f t="shared" si="3"/>
        <v>0</v>
      </c>
      <c r="J7" s="588">
        <f t="shared" si="3"/>
        <v>0</v>
      </c>
      <c r="K7" s="588">
        <f t="shared" si="3"/>
        <v>0</v>
      </c>
      <c r="L7" s="588">
        <f t="shared" si="3"/>
        <v>0</v>
      </c>
      <c r="M7" s="588">
        <f t="shared" si="3"/>
        <v>0</v>
      </c>
      <c r="N7" s="588">
        <f t="shared" si="3"/>
        <v>0</v>
      </c>
      <c r="O7" s="588">
        <f t="shared" si="3"/>
        <v>0</v>
      </c>
      <c r="P7" s="588">
        <f t="shared" si="3"/>
        <v>0</v>
      </c>
      <c r="Q7" s="587" t="e">
        <f>SUM(F7:P7)</f>
        <v>#REF!</v>
      </c>
      <c r="R7" s="589"/>
    </row>
    <row r="8" spans="1:20">
      <c r="B8" s="590" t="s">
        <v>811</v>
      </c>
      <c r="C8" s="2169" t="s">
        <v>812</v>
      </c>
      <c r="D8" s="2169"/>
      <c r="E8" s="591" t="e">
        <f t="shared" si="1"/>
        <v>#REF!</v>
      </c>
      <c r="F8" s="592" t="e">
        <f>+'Anexo 4_Ppto'!#REF!</f>
        <v>#REF!</v>
      </c>
      <c r="G8" s="591"/>
      <c r="H8" s="591"/>
      <c r="I8" s="591"/>
      <c r="J8" s="591"/>
      <c r="K8" s="591"/>
      <c r="L8" s="591"/>
      <c r="M8" s="591"/>
      <c r="N8" s="591"/>
      <c r="O8" s="591"/>
      <c r="P8" s="591"/>
      <c r="Q8" s="591" t="e">
        <f>SUM(F8:P8)</f>
        <v>#REF!</v>
      </c>
      <c r="R8" s="589"/>
    </row>
    <row r="9" spans="1:20">
      <c r="B9" s="590" t="s">
        <v>813</v>
      </c>
      <c r="C9" s="2169" t="s">
        <v>814</v>
      </c>
      <c r="D9" s="2169"/>
      <c r="E9" s="591" t="e">
        <f t="shared" si="1"/>
        <v>#REF!</v>
      </c>
      <c r="F9" s="593" t="e">
        <f>'Anexo 4_Ppto'!#REF!*1.18</f>
        <v>#REF!</v>
      </c>
      <c r="G9" s="591"/>
      <c r="H9" s="591"/>
      <c r="I9" s="591"/>
      <c r="J9" s="591"/>
      <c r="K9" s="591"/>
      <c r="L9" s="591"/>
      <c r="M9" s="591"/>
      <c r="N9" s="591"/>
      <c r="O9" s="591"/>
      <c r="P9" s="591"/>
      <c r="Q9" s="591" t="e">
        <f>SUM(F9:P9)</f>
        <v>#REF!</v>
      </c>
      <c r="R9" s="589"/>
    </row>
    <row r="10" spans="1:20">
      <c r="B10" s="590" t="s">
        <v>815</v>
      </c>
      <c r="C10" s="2169" t="s">
        <v>816</v>
      </c>
      <c r="D10" s="2169"/>
      <c r="E10" s="591" t="e">
        <f t="shared" si="1"/>
        <v>#REF!</v>
      </c>
      <c r="F10" s="592" t="e">
        <f>+'Anexo 4_Ppto'!#REF!</f>
        <v>#REF!</v>
      </c>
      <c r="G10" s="591"/>
      <c r="H10" s="591"/>
      <c r="I10" s="591"/>
      <c r="J10" s="591"/>
      <c r="K10" s="591"/>
      <c r="L10" s="591"/>
      <c r="M10" s="591"/>
      <c r="N10" s="591"/>
      <c r="O10" s="591"/>
      <c r="P10" s="591"/>
      <c r="Q10" s="591" t="e">
        <f t="shared" ref="Q10:Q22" si="4">SUM(F10:P10)</f>
        <v>#REF!</v>
      </c>
      <c r="R10" s="589"/>
    </row>
    <row r="11" spans="1:20">
      <c r="B11" s="590" t="s">
        <v>817</v>
      </c>
      <c r="C11" s="2174" t="s">
        <v>7</v>
      </c>
      <c r="D11" s="2175"/>
      <c r="E11" s="591" t="e">
        <f t="shared" si="1"/>
        <v>#REF!</v>
      </c>
      <c r="F11" s="592" t="e">
        <f>'Anexo 4_Ppto'!#REF!*1.18</f>
        <v>#REF!</v>
      </c>
      <c r="G11" s="591"/>
      <c r="H11" s="591"/>
      <c r="I11" s="591"/>
      <c r="J11" s="591"/>
      <c r="K11" s="591"/>
      <c r="L11" s="591"/>
      <c r="M11" s="591"/>
      <c r="N11" s="591"/>
      <c r="O11" s="591"/>
      <c r="P11" s="591"/>
      <c r="Q11" s="591" t="e">
        <f t="shared" si="4"/>
        <v>#REF!</v>
      </c>
      <c r="R11" s="589"/>
    </row>
    <row r="12" spans="1:20" ht="12.75" customHeight="1">
      <c r="B12" s="590" t="s">
        <v>818</v>
      </c>
      <c r="C12" s="2169" t="s">
        <v>478</v>
      </c>
      <c r="D12" s="2169"/>
      <c r="E12" s="591" t="e">
        <f t="shared" si="1"/>
        <v>#REF!</v>
      </c>
      <c r="F12" s="592" t="e">
        <f>+'Anexo 4_Ppto'!#REF!</f>
        <v>#REF!</v>
      </c>
      <c r="G12" s="591"/>
      <c r="H12" s="591"/>
      <c r="I12" s="591"/>
      <c r="J12" s="591"/>
      <c r="K12" s="591"/>
      <c r="L12" s="591"/>
      <c r="M12" s="591"/>
      <c r="N12" s="591"/>
      <c r="O12" s="591"/>
      <c r="P12" s="591"/>
      <c r="Q12" s="591" t="e">
        <f t="shared" si="4"/>
        <v>#REF!</v>
      </c>
      <c r="R12" s="589"/>
      <c r="S12" s="580"/>
      <c r="T12" s="573">
        <f>25*8</f>
        <v>200</v>
      </c>
    </row>
    <row r="13" spans="1:20">
      <c r="B13" s="590" t="s">
        <v>819</v>
      </c>
      <c r="C13" s="2171" t="s">
        <v>12</v>
      </c>
      <c r="D13" s="2172"/>
      <c r="E13" s="591" t="e">
        <f t="shared" si="1"/>
        <v>#REF!</v>
      </c>
      <c r="F13" s="592" t="e">
        <f>'Anexo 4_Ppto'!#REF!*1.18</f>
        <v>#REF!</v>
      </c>
      <c r="G13" s="591"/>
      <c r="H13" s="591"/>
      <c r="I13" s="591"/>
      <c r="J13" s="591"/>
      <c r="K13" s="591"/>
      <c r="L13" s="591"/>
      <c r="M13" s="591"/>
      <c r="N13" s="591"/>
      <c r="O13" s="591"/>
      <c r="P13" s="591"/>
      <c r="Q13" s="591" t="e">
        <f t="shared" si="4"/>
        <v>#REF!</v>
      </c>
      <c r="R13" s="589"/>
      <c r="S13" s="580"/>
    </row>
    <row r="14" spans="1:20" ht="12.75" customHeight="1">
      <c r="B14" s="590" t="s">
        <v>820</v>
      </c>
      <c r="C14" s="2173" t="s">
        <v>821</v>
      </c>
      <c r="D14" s="2173"/>
      <c r="E14" s="591" t="e">
        <f t="shared" si="1"/>
        <v>#REF!</v>
      </c>
      <c r="F14" s="592" t="e">
        <f>+'Anexo 4_Ppto'!#REF!</f>
        <v>#REF!</v>
      </c>
      <c r="G14" s="591"/>
      <c r="H14" s="591"/>
      <c r="I14" s="591"/>
      <c r="J14" s="591"/>
      <c r="K14" s="591"/>
      <c r="L14" s="591"/>
      <c r="M14" s="591"/>
      <c r="N14" s="591"/>
      <c r="O14" s="591"/>
      <c r="P14" s="591"/>
      <c r="Q14" s="591" t="e">
        <f t="shared" si="4"/>
        <v>#REF!</v>
      </c>
      <c r="R14" s="589"/>
      <c r="S14" s="580"/>
    </row>
    <row r="15" spans="1:20">
      <c r="B15" s="2164" t="s">
        <v>822</v>
      </c>
      <c r="C15" s="2165"/>
      <c r="D15" s="2166"/>
      <c r="E15" s="586">
        <f t="shared" si="1"/>
        <v>2248855.0679573626</v>
      </c>
      <c r="F15" s="586">
        <f>SUM(F16:F17)</f>
        <v>0</v>
      </c>
      <c r="G15" s="586">
        <f>SUM(G16:G18)</f>
        <v>343288.18272897199</v>
      </c>
      <c r="H15" s="586">
        <f t="shared" ref="H15:P15" si="5">SUM(H16:H18)</f>
        <v>343288.18272897199</v>
      </c>
      <c r="I15" s="586">
        <f t="shared" si="5"/>
        <v>343288.18272897199</v>
      </c>
      <c r="J15" s="586">
        <f t="shared" si="5"/>
        <v>381088.18272897199</v>
      </c>
      <c r="K15" s="586">
        <f t="shared" si="5"/>
        <v>343288.18272897199</v>
      </c>
      <c r="L15" s="586">
        <f t="shared" si="5"/>
        <v>343288.18272897199</v>
      </c>
      <c r="M15" s="586">
        <f t="shared" si="5"/>
        <v>343288.18272897199</v>
      </c>
      <c r="N15" s="586">
        <f t="shared" si="5"/>
        <v>381088.18272897199</v>
      </c>
      <c r="O15" s="586">
        <f t="shared" si="5"/>
        <v>343288.18272897199</v>
      </c>
      <c r="P15" s="586">
        <f t="shared" si="5"/>
        <v>343288.18272897199</v>
      </c>
      <c r="Q15" s="586">
        <f>SUM(F15:P15)</f>
        <v>3508481.8272897191</v>
      </c>
      <c r="S15" s="580"/>
    </row>
    <row r="16" spans="1:20">
      <c r="B16" s="590" t="s">
        <v>823</v>
      </c>
      <c r="C16" s="2170" t="s">
        <v>97</v>
      </c>
      <c r="D16" s="2170"/>
      <c r="E16" s="591">
        <f t="shared" si="1"/>
        <v>2190314.3742775177</v>
      </c>
      <c r="F16" s="594">
        <v>0</v>
      </c>
      <c r="G16" s="595">
        <f>+'Anexo 4_Ppto'!E1000</f>
        <v>341294.98272897198</v>
      </c>
      <c r="H16" s="594">
        <f>$G$16</f>
        <v>341294.98272897198</v>
      </c>
      <c r="I16" s="594">
        <f t="shared" ref="I16:P16" si="6">$G$16</f>
        <v>341294.98272897198</v>
      </c>
      <c r="J16" s="594">
        <f t="shared" si="6"/>
        <v>341294.98272897198</v>
      </c>
      <c r="K16" s="594">
        <f t="shared" si="6"/>
        <v>341294.98272897198</v>
      </c>
      <c r="L16" s="594">
        <f t="shared" si="6"/>
        <v>341294.98272897198</v>
      </c>
      <c r="M16" s="594">
        <f t="shared" si="6"/>
        <v>341294.98272897198</v>
      </c>
      <c r="N16" s="594">
        <f t="shared" si="6"/>
        <v>341294.98272897198</v>
      </c>
      <c r="O16" s="594">
        <f t="shared" si="6"/>
        <v>341294.98272897198</v>
      </c>
      <c r="P16" s="591">
        <f t="shared" si="6"/>
        <v>341294.98272897198</v>
      </c>
      <c r="Q16" s="591">
        <f t="shared" si="4"/>
        <v>3412949.8272897205</v>
      </c>
      <c r="R16" s="584"/>
      <c r="S16" s="580"/>
    </row>
    <row r="17" spans="2:18" s="580" customFormat="1">
      <c r="B17" s="590" t="s">
        <v>824</v>
      </c>
      <c r="C17" s="2171" t="s">
        <v>726</v>
      </c>
      <c r="D17" s="2172"/>
      <c r="E17" s="591">
        <f t="shared" si="1"/>
        <v>12791.675329950134</v>
      </c>
      <c r="F17" s="594">
        <v>0</v>
      </c>
      <c r="G17" s="594">
        <f>'Anexo 4_Ppto'!E1005</f>
        <v>1993.2000000000003</v>
      </c>
      <c r="H17" s="594">
        <f t="shared" ref="H17:P17" si="7">$G$17</f>
        <v>1993.2000000000003</v>
      </c>
      <c r="I17" s="594">
        <f t="shared" si="7"/>
        <v>1993.2000000000003</v>
      </c>
      <c r="J17" s="594">
        <f t="shared" si="7"/>
        <v>1993.2000000000003</v>
      </c>
      <c r="K17" s="594">
        <f t="shared" si="7"/>
        <v>1993.2000000000003</v>
      </c>
      <c r="L17" s="594">
        <f t="shared" si="7"/>
        <v>1993.2000000000003</v>
      </c>
      <c r="M17" s="594">
        <f t="shared" si="7"/>
        <v>1993.2000000000003</v>
      </c>
      <c r="N17" s="594">
        <f t="shared" si="7"/>
        <v>1993.2000000000003</v>
      </c>
      <c r="O17" s="594">
        <f t="shared" si="7"/>
        <v>1993.2000000000003</v>
      </c>
      <c r="P17" s="591">
        <f t="shared" si="7"/>
        <v>1993.2000000000003</v>
      </c>
      <c r="Q17" s="591">
        <f t="shared" si="4"/>
        <v>19932.000000000004</v>
      </c>
    </row>
    <row r="18" spans="2:18" s="580" customFormat="1">
      <c r="B18" s="590" t="s">
        <v>825</v>
      </c>
      <c r="C18" s="2169" t="s">
        <v>826</v>
      </c>
      <c r="D18" s="2169"/>
      <c r="E18" s="591">
        <f t="shared" si="1"/>
        <v>45749.018349895057</v>
      </c>
      <c r="F18" s="594">
        <f>D33</f>
        <v>0</v>
      </c>
      <c r="G18" s="594">
        <f>E33</f>
        <v>0</v>
      </c>
      <c r="H18" s="594">
        <f t="shared" ref="H18:P18" si="8">F33</f>
        <v>0</v>
      </c>
      <c r="I18" s="594">
        <f t="shared" si="8"/>
        <v>0</v>
      </c>
      <c r="J18" s="594">
        <f>H33</f>
        <v>37800</v>
      </c>
      <c r="K18" s="594">
        <f>I33</f>
        <v>0</v>
      </c>
      <c r="L18" s="594">
        <f t="shared" si="8"/>
        <v>0</v>
      </c>
      <c r="M18" s="594">
        <f t="shared" si="8"/>
        <v>0</v>
      </c>
      <c r="N18" s="594">
        <f t="shared" si="8"/>
        <v>37800</v>
      </c>
      <c r="O18" s="594">
        <f t="shared" si="8"/>
        <v>0</v>
      </c>
      <c r="P18" s="591">
        <f t="shared" si="8"/>
        <v>0</v>
      </c>
      <c r="Q18" s="591">
        <f>SUM(F18:P18)</f>
        <v>75600</v>
      </c>
    </row>
    <row r="19" spans="2:18" s="580" customFormat="1">
      <c r="B19" s="2164" t="s">
        <v>827</v>
      </c>
      <c r="C19" s="2165"/>
      <c r="D19" s="2166"/>
      <c r="E19" s="586" t="e">
        <f t="shared" si="1"/>
        <v>#REF!</v>
      </c>
      <c r="F19" s="586" t="e">
        <f t="shared" ref="F19:P19" si="9">F6+F15</f>
        <v>#REF!</v>
      </c>
      <c r="G19" s="586">
        <f t="shared" si="9"/>
        <v>343288.18272897199</v>
      </c>
      <c r="H19" s="586">
        <f t="shared" si="9"/>
        <v>343288.18272897199</v>
      </c>
      <c r="I19" s="586">
        <f t="shared" si="9"/>
        <v>343288.18272897199</v>
      </c>
      <c r="J19" s="586">
        <f t="shared" si="9"/>
        <v>381088.18272897199</v>
      </c>
      <c r="K19" s="586">
        <f t="shared" si="9"/>
        <v>343288.18272897199</v>
      </c>
      <c r="L19" s="586">
        <f t="shared" si="9"/>
        <v>343288.18272897199</v>
      </c>
      <c r="M19" s="586">
        <f t="shared" si="9"/>
        <v>343288.18272897199</v>
      </c>
      <c r="N19" s="586">
        <f t="shared" si="9"/>
        <v>381088.18272897199</v>
      </c>
      <c r="O19" s="586">
        <f t="shared" si="9"/>
        <v>343288.18272897199</v>
      </c>
      <c r="P19" s="586">
        <f t="shared" si="9"/>
        <v>343288.18272897199</v>
      </c>
      <c r="Q19" s="586" t="e">
        <f t="shared" si="4"/>
        <v>#REF!</v>
      </c>
      <c r="R19" s="584"/>
    </row>
    <row r="20" spans="2:18">
      <c r="B20" s="2164" t="s">
        <v>828</v>
      </c>
      <c r="C20" s="2165"/>
      <c r="D20" s="2166"/>
      <c r="E20" s="586">
        <f t="shared" si="1"/>
        <v>922022.03248549521</v>
      </c>
      <c r="F20" s="586">
        <f>SUM(F21:F22)</f>
        <v>0</v>
      </c>
      <c r="G20" s="586">
        <f t="shared" ref="G20:P20" si="10">SUM(G21:G22)</f>
        <v>143669.55599999998</v>
      </c>
      <c r="H20" s="586">
        <f t="shared" si="10"/>
        <v>143669.55599999998</v>
      </c>
      <c r="I20" s="586">
        <f t="shared" si="10"/>
        <v>143669.55599999998</v>
      </c>
      <c r="J20" s="586">
        <f t="shared" si="10"/>
        <v>143669.55599999998</v>
      </c>
      <c r="K20" s="586">
        <f t="shared" si="10"/>
        <v>143669.55599999998</v>
      </c>
      <c r="L20" s="586">
        <f t="shared" si="10"/>
        <v>143669.55599999998</v>
      </c>
      <c r="M20" s="586">
        <f t="shared" si="10"/>
        <v>143669.55599999998</v>
      </c>
      <c r="N20" s="586">
        <f t="shared" si="10"/>
        <v>143669.55599999998</v>
      </c>
      <c r="O20" s="586">
        <f t="shared" si="10"/>
        <v>143669.55599999998</v>
      </c>
      <c r="P20" s="586">
        <f t="shared" si="10"/>
        <v>143669.55599999998</v>
      </c>
      <c r="Q20" s="596">
        <f t="shared" si="4"/>
        <v>1436695.5599999996</v>
      </c>
      <c r="R20" s="589"/>
    </row>
    <row r="21" spans="2:18" s="580" customFormat="1" ht="12.75" customHeight="1">
      <c r="B21" s="590" t="s">
        <v>829</v>
      </c>
      <c r="C21" s="2170" t="s">
        <v>97</v>
      </c>
      <c r="D21" s="2170"/>
      <c r="E21" s="591">
        <f t="shared" si="1"/>
        <v>919696.27333459514</v>
      </c>
      <c r="F21" s="597">
        <v>0</v>
      </c>
      <c r="G21" s="592">
        <f>'Anexo 4_Ppto'!E906</f>
        <v>143307.15599999999</v>
      </c>
      <c r="H21" s="591">
        <f t="shared" ref="H21:P21" si="11">G$21</f>
        <v>143307.15599999999</v>
      </c>
      <c r="I21" s="591">
        <f t="shared" si="11"/>
        <v>143307.15599999999</v>
      </c>
      <c r="J21" s="591">
        <f t="shared" si="11"/>
        <v>143307.15599999999</v>
      </c>
      <c r="K21" s="591">
        <f t="shared" si="11"/>
        <v>143307.15599999999</v>
      </c>
      <c r="L21" s="591">
        <f t="shared" si="11"/>
        <v>143307.15599999999</v>
      </c>
      <c r="M21" s="591">
        <f t="shared" si="11"/>
        <v>143307.15599999999</v>
      </c>
      <c r="N21" s="591">
        <f t="shared" si="11"/>
        <v>143307.15599999999</v>
      </c>
      <c r="O21" s="591">
        <f t="shared" si="11"/>
        <v>143307.15599999999</v>
      </c>
      <c r="P21" s="591">
        <f t="shared" si="11"/>
        <v>143307.15599999999</v>
      </c>
      <c r="Q21" s="591">
        <f>SUM(F21:P21)</f>
        <v>1433071.5599999998</v>
      </c>
      <c r="R21" s="584"/>
    </row>
    <row r="22" spans="2:18" s="580" customFormat="1" ht="12.75" customHeight="1">
      <c r="B22" s="598" t="s">
        <v>830</v>
      </c>
      <c r="C22" s="2163" t="s">
        <v>726</v>
      </c>
      <c r="D22" s="2163"/>
      <c r="E22" s="591">
        <f t="shared" si="1"/>
        <v>2325.7591509000245</v>
      </c>
      <c r="F22" s="591">
        <v>0</v>
      </c>
      <c r="G22" s="592">
        <f>'Anexo 4_Ppto'!E912</f>
        <v>362.40000000000003</v>
      </c>
      <c r="H22" s="591">
        <f t="shared" ref="H22:P22" si="12">G$22</f>
        <v>362.40000000000003</v>
      </c>
      <c r="I22" s="591">
        <f t="shared" si="12"/>
        <v>362.40000000000003</v>
      </c>
      <c r="J22" s="591">
        <f t="shared" si="12"/>
        <v>362.40000000000003</v>
      </c>
      <c r="K22" s="591">
        <f t="shared" si="12"/>
        <v>362.40000000000003</v>
      </c>
      <c r="L22" s="591">
        <f t="shared" si="12"/>
        <v>362.40000000000003</v>
      </c>
      <c r="M22" s="591">
        <f t="shared" si="12"/>
        <v>362.40000000000003</v>
      </c>
      <c r="N22" s="591">
        <f t="shared" si="12"/>
        <v>362.40000000000003</v>
      </c>
      <c r="O22" s="591">
        <f t="shared" si="12"/>
        <v>362.40000000000003</v>
      </c>
      <c r="P22" s="591">
        <f t="shared" si="12"/>
        <v>362.40000000000003</v>
      </c>
      <c r="Q22" s="591">
        <f t="shared" si="4"/>
        <v>3624.0000000000005</v>
      </c>
      <c r="R22" s="584"/>
    </row>
    <row r="23" spans="2:18" s="580" customFormat="1">
      <c r="B23" s="2164" t="s">
        <v>831</v>
      </c>
      <c r="C23" s="2165"/>
      <c r="D23" s="2166"/>
      <c r="E23" s="599" t="e">
        <f t="shared" si="1"/>
        <v>#REF!</v>
      </c>
      <c r="F23" s="586" t="e">
        <f t="shared" ref="F23:P23" si="13">F19-F20</f>
        <v>#REF!</v>
      </c>
      <c r="G23" s="586">
        <f t="shared" si="13"/>
        <v>199618.62672897201</v>
      </c>
      <c r="H23" s="586">
        <f t="shared" si="13"/>
        <v>199618.62672897201</v>
      </c>
      <c r="I23" s="586">
        <f t="shared" si="13"/>
        <v>199618.62672897201</v>
      </c>
      <c r="J23" s="586">
        <f t="shared" si="13"/>
        <v>237418.62672897201</v>
      </c>
      <c r="K23" s="586">
        <f t="shared" si="13"/>
        <v>199618.62672897201</v>
      </c>
      <c r="L23" s="586">
        <f t="shared" si="13"/>
        <v>199618.62672897201</v>
      </c>
      <c r="M23" s="586">
        <f t="shared" si="13"/>
        <v>199618.62672897201</v>
      </c>
      <c r="N23" s="586">
        <f t="shared" si="13"/>
        <v>237418.62672897201</v>
      </c>
      <c r="O23" s="586">
        <f t="shared" si="13"/>
        <v>199618.62672897201</v>
      </c>
      <c r="P23" s="586">
        <f t="shared" si="13"/>
        <v>199618.62672897201</v>
      </c>
      <c r="Q23" s="586" t="e">
        <f>SUM(F23:P23)</f>
        <v>#REF!</v>
      </c>
      <c r="R23" s="584"/>
    </row>
    <row r="24" spans="2:18" s="580" customFormat="1">
      <c r="B24" s="600"/>
      <c r="C24" s="601" t="s">
        <v>832</v>
      </c>
      <c r="D24" s="602">
        <v>0.09</v>
      </c>
      <c r="E24" s="591"/>
      <c r="F24" s="603">
        <f t="shared" ref="F24:P24" si="14">(1/(1+$D$24)^F$5)</f>
        <v>1</v>
      </c>
      <c r="G24" s="603">
        <f t="shared" si="14"/>
        <v>0.9174311926605504</v>
      </c>
      <c r="H24" s="603">
        <f t="shared" si="14"/>
        <v>0.84167999326655996</v>
      </c>
      <c r="I24" s="603">
        <f t="shared" si="14"/>
        <v>0.77218348006106419</v>
      </c>
      <c r="J24" s="603">
        <f t="shared" si="14"/>
        <v>0.7084252110651964</v>
      </c>
      <c r="K24" s="603">
        <f t="shared" si="14"/>
        <v>0.64993138629834524</v>
      </c>
      <c r="L24" s="603">
        <f t="shared" si="14"/>
        <v>0.5962673268792158</v>
      </c>
      <c r="M24" s="603">
        <f t="shared" si="14"/>
        <v>0.54703424484331731</v>
      </c>
      <c r="N24" s="603">
        <f t="shared" si="14"/>
        <v>0.50186627967276809</v>
      </c>
      <c r="O24" s="603">
        <f t="shared" si="14"/>
        <v>0.46042777951630098</v>
      </c>
      <c r="P24" s="603">
        <f t="shared" si="14"/>
        <v>0.42241080689568894</v>
      </c>
      <c r="Q24" s="603">
        <f>SUM(F24:P24)</f>
        <v>7.4176577011590066</v>
      </c>
      <c r="R24" s="584"/>
    </row>
    <row r="25" spans="2:18">
      <c r="B25" s="604"/>
      <c r="C25" s="2167" t="s">
        <v>833</v>
      </c>
      <c r="D25" s="2167"/>
      <c r="E25" s="605" t="e">
        <f>SUM(F25:P25)</f>
        <v>#REF!</v>
      </c>
      <c r="F25" s="587" t="e">
        <f>F23*F24</f>
        <v>#REF!</v>
      </c>
      <c r="G25" s="587">
        <f>G23*G24</f>
        <v>183136.35479722201</v>
      </c>
      <c r="H25" s="587">
        <f>H23*H24</f>
        <v>168015.00440112111</v>
      </c>
      <c r="I25" s="587">
        <f>I23*I24</f>
        <v>154142.20587258818</v>
      </c>
      <c r="J25" s="587">
        <f t="shared" ref="J25:P25" si="15">J23*J24</f>
        <v>168193.34075128107</v>
      </c>
      <c r="K25" s="587">
        <f t="shared" si="15"/>
        <v>129738.41080093269</v>
      </c>
      <c r="L25" s="587">
        <f t="shared" si="15"/>
        <v>119026.06495498412</v>
      </c>
      <c r="M25" s="587">
        <f t="shared" si="15"/>
        <v>109198.22472934324</v>
      </c>
      <c r="N25" s="587">
        <f t="shared" si="15"/>
        <v>119152.40292148681</v>
      </c>
      <c r="O25" s="587">
        <f t="shared" si="15"/>
        <v>91909.961054913918</v>
      </c>
      <c r="P25" s="587">
        <f t="shared" si="15"/>
        <v>84321.065187994405</v>
      </c>
      <c r="Q25" s="605" t="e">
        <f>SUM(F25:P25)</f>
        <v>#REF!</v>
      </c>
    </row>
    <row r="26" spans="2:18">
      <c r="B26" s="604"/>
      <c r="C26" s="2168" t="s">
        <v>834</v>
      </c>
      <c r="D26" s="2168"/>
      <c r="E26" s="605">
        <f>Q26</f>
        <v>256</v>
      </c>
      <c r="F26" s="606"/>
      <c r="G26" s="607"/>
      <c r="H26" s="607"/>
      <c r="I26" s="607"/>
      <c r="J26" s="607"/>
      <c r="K26" s="607"/>
      <c r="L26" s="607"/>
      <c r="M26" s="607"/>
      <c r="N26" s="607"/>
      <c r="O26" s="607"/>
      <c r="P26" s="608"/>
      <c r="Q26" s="605">
        <v>256</v>
      </c>
    </row>
    <row r="27" spans="2:18" s="580" customFormat="1">
      <c r="B27" s="609"/>
      <c r="C27" s="2168" t="s">
        <v>835</v>
      </c>
      <c r="D27" s="2168"/>
      <c r="E27" s="610" t="e">
        <f>E25/E26</f>
        <v>#REF!</v>
      </c>
      <c r="F27" s="611"/>
      <c r="G27" s="582"/>
      <c r="H27" s="582"/>
      <c r="I27" s="582"/>
      <c r="J27" s="582"/>
      <c r="K27" s="582"/>
      <c r="L27" s="582"/>
      <c r="M27" s="582"/>
      <c r="N27" s="582"/>
      <c r="O27" s="582"/>
      <c r="P27" s="612"/>
      <c r="Q27" s="605" t="e">
        <f>+Q25/Q26</f>
        <v>#REF!</v>
      </c>
      <c r="R27" s="584"/>
    </row>
    <row r="28" spans="2:18" s="580" customFormat="1" ht="12.75" customHeight="1">
      <c r="B28" s="609"/>
      <c r="C28" s="2168" t="s">
        <v>836</v>
      </c>
      <c r="D28" s="2168"/>
      <c r="E28" s="605" t="e">
        <f>E25*D24/(1-(1+D24)^-10)</f>
        <v>#REF!</v>
      </c>
      <c r="F28" s="582"/>
      <c r="G28" s="582"/>
      <c r="H28" s="582"/>
      <c r="I28" s="582"/>
      <c r="J28" s="582"/>
      <c r="K28" s="582"/>
      <c r="L28" s="582"/>
      <c r="M28" s="582"/>
      <c r="N28" s="582"/>
      <c r="O28" s="582"/>
      <c r="P28" s="582"/>
      <c r="Q28" s="582"/>
      <c r="R28" s="584"/>
    </row>
    <row r="30" spans="2:18" ht="12.75" customHeight="1"/>
    <row r="31" spans="2:18">
      <c r="C31" s="2158" t="s">
        <v>793</v>
      </c>
      <c r="D31" s="2158"/>
      <c r="E31" s="585">
        <v>1</v>
      </c>
      <c r="F31" s="585">
        <v>2</v>
      </c>
      <c r="G31" s="585">
        <v>3</v>
      </c>
      <c r="H31" s="585">
        <v>4</v>
      </c>
      <c r="I31" s="585">
        <v>5</v>
      </c>
      <c r="J31" s="585">
        <v>6</v>
      </c>
      <c r="K31" s="585">
        <v>7</v>
      </c>
      <c r="L31" s="585">
        <v>8</v>
      </c>
      <c r="M31" s="585">
        <v>9</v>
      </c>
      <c r="N31" s="585">
        <v>10</v>
      </c>
      <c r="O31" s="585" t="s">
        <v>808</v>
      </c>
    </row>
    <row r="32" spans="2:18">
      <c r="C32" s="2159" t="s">
        <v>837</v>
      </c>
      <c r="D32" s="2160"/>
      <c r="E32" s="613"/>
      <c r="F32" s="613"/>
      <c r="G32" s="613"/>
      <c r="H32" s="613">
        <f>+'Anexo 4_Ppto'!AD404</f>
        <v>37800</v>
      </c>
      <c r="I32" s="613"/>
      <c r="J32" s="613"/>
      <c r="K32" s="613"/>
      <c r="L32" s="613">
        <f>H32</f>
        <v>37800</v>
      </c>
      <c r="M32" s="613"/>
      <c r="N32" s="613"/>
      <c r="O32" s="613">
        <f>SUM(E32:N32)</f>
        <v>75600</v>
      </c>
    </row>
    <row r="33" spans="3:15">
      <c r="C33" s="2161" t="s">
        <v>70</v>
      </c>
      <c r="D33" s="2162"/>
      <c r="E33" s="614">
        <f t="shared" ref="E33:N33" si="16">SUM(E32:E32)</f>
        <v>0</v>
      </c>
      <c r="F33" s="614">
        <f t="shared" si="16"/>
        <v>0</v>
      </c>
      <c r="G33" s="614">
        <f t="shared" si="16"/>
        <v>0</v>
      </c>
      <c r="H33" s="614">
        <f t="shared" si="16"/>
        <v>37800</v>
      </c>
      <c r="I33" s="614">
        <f t="shared" si="16"/>
        <v>0</v>
      </c>
      <c r="J33" s="614">
        <f t="shared" si="16"/>
        <v>0</v>
      </c>
      <c r="K33" s="614">
        <f t="shared" si="16"/>
        <v>0</v>
      </c>
      <c r="L33" s="614">
        <f t="shared" si="16"/>
        <v>37800</v>
      </c>
      <c r="M33" s="614">
        <f t="shared" si="16"/>
        <v>0</v>
      </c>
      <c r="N33" s="614">
        <f t="shared" si="16"/>
        <v>0</v>
      </c>
      <c r="O33" s="614">
        <f>SUM(E33:N33)</f>
        <v>75600</v>
      </c>
    </row>
    <row r="34" spans="3:15" hidden="1"/>
    <row r="35" spans="3:15" ht="114.75" hidden="1">
      <c r="C35" s="615" t="s">
        <v>449</v>
      </c>
      <c r="D35" s="615" t="s">
        <v>838</v>
      </c>
      <c r="E35" s="615" t="s">
        <v>839</v>
      </c>
      <c r="F35" s="615" t="s">
        <v>840</v>
      </c>
      <c r="G35" s="615" t="s">
        <v>841</v>
      </c>
    </row>
    <row r="36" spans="3:15" ht="15" hidden="1" customHeight="1">
      <c r="C36" s="616" t="s">
        <v>842</v>
      </c>
      <c r="D36" s="617">
        <v>30</v>
      </c>
      <c r="E36" s="618">
        <v>0.03</v>
      </c>
      <c r="F36" s="619">
        <f>ROUNDDOWN(10/D36,0)</f>
        <v>0</v>
      </c>
      <c r="G36" s="620">
        <f>100%-(E36*10)</f>
        <v>0.7</v>
      </c>
    </row>
    <row r="37" spans="3:15" ht="15" hidden="1" customHeight="1">
      <c r="C37" s="621" t="s">
        <v>843</v>
      </c>
      <c r="D37" s="622">
        <v>4</v>
      </c>
      <c r="E37" s="623">
        <v>0.1</v>
      </c>
      <c r="F37" s="624">
        <f>ROUNDDOWN(10/D37,0)</f>
        <v>2</v>
      </c>
      <c r="G37" s="625">
        <f>(100%)-(E37*(10-(D37*F37)))</f>
        <v>0.8</v>
      </c>
    </row>
    <row r="38" spans="3:15" hidden="1">
      <c r="C38" s="621" t="s">
        <v>844</v>
      </c>
      <c r="D38" s="622">
        <v>3</v>
      </c>
      <c r="E38" s="623">
        <v>0.25</v>
      </c>
      <c r="F38" s="624">
        <f>ROUNDDOWN(10/D38,0)</f>
        <v>3</v>
      </c>
      <c r="G38" s="625">
        <f>(100%)-(E38*(10-(D38*F38)))</f>
        <v>0.75</v>
      </c>
    </row>
    <row r="39" spans="3:15" hidden="1">
      <c r="C39" s="626" t="s">
        <v>845</v>
      </c>
      <c r="D39" s="617">
        <v>4</v>
      </c>
      <c r="E39" s="618">
        <v>0.25</v>
      </c>
      <c r="F39" s="619">
        <f>ROUNDDOWN(10/D39,0)</f>
        <v>2</v>
      </c>
      <c r="G39" s="620">
        <f>(100%)-(E39*(10-(D39*F39)))</f>
        <v>0.5</v>
      </c>
    </row>
    <row r="40" spans="3:15" hidden="1">
      <c r="C40" s="627" t="s">
        <v>846</v>
      </c>
      <c r="D40" s="628"/>
      <c r="E40" s="629"/>
      <c r="F40" s="630"/>
      <c r="G40" s="631"/>
    </row>
    <row r="41" spans="3:15" hidden="1">
      <c r="C41" s="2177" t="s">
        <v>847</v>
      </c>
      <c r="D41" s="2177"/>
      <c r="E41" s="2177"/>
      <c r="F41" s="2177"/>
      <c r="G41" s="2177"/>
    </row>
    <row r="42" spans="3:15" hidden="1">
      <c r="C42" s="2178" t="s">
        <v>848</v>
      </c>
      <c r="D42" s="2179"/>
      <c r="E42" s="2179"/>
      <c r="F42" s="2179"/>
      <c r="G42" s="2180"/>
    </row>
    <row r="43" spans="3:15" ht="15" hidden="1" customHeight="1">
      <c r="C43" s="2181"/>
      <c r="D43" s="2182"/>
      <c r="E43" s="2182"/>
      <c r="F43" s="2182"/>
      <c r="G43" s="2183"/>
    </row>
    <row r="44" spans="3:15" hidden="1">
      <c r="C44" s="632" t="s">
        <v>849</v>
      </c>
      <c r="D44" s="633"/>
      <c r="E44" s="633"/>
      <c r="F44" s="633"/>
      <c r="G44" s="634"/>
    </row>
    <row r="45" spans="3:15" ht="15" hidden="1" customHeight="1">
      <c r="C45" s="2184" t="s">
        <v>850</v>
      </c>
      <c r="D45" s="2184"/>
      <c r="E45" s="2184"/>
      <c r="F45" s="2184"/>
      <c r="G45" s="2185"/>
    </row>
    <row r="46" spans="3:15" hidden="1"/>
    <row r="51" spans="2:17">
      <c r="C51" s="2176" t="s">
        <v>851</v>
      </c>
      <c r="D51" s="2176"/>
      <c r="E51" s="2176"/>
      <c r="F51" s="2176"/>
      <c r="G51" s="2176"/>
      <c r="H51" s="2176"/>
      <c r="I51" s="2176"/>
      <c r="J51" s="2176"/>
      <c r="K51" s="2176"/>
      <c r="L51" s="2176"/>
      <c r="M51" s="2176"/>
      <c r="N51" s="2176"/>
      <c r="O51" s="2176"/>
      <c r="P51" s="2176"/>
      <c r="Q51" s="581"/>
    </row>
    <row r="52" spans="2:17">
      <c r="C52" s="2176" t="s">
        <v>806</v>
      </c>
      <c r="D52" s="2176"/>
      <c r="E52" s="2176"/>
      <c r="F52" s="2176"/>
      <c r="G52" s="2176"/>
      <c r="H52" s="2176"/>
      <c r="I52" s="2176"/>
      <c r="J52" s="2176"/>
      <c r="K52" s="2176"/>
      <c r="L52" s="2176"/>
      <c r="M52" s="2176"/>
      <c r="N52" s="2176"/>
      <c r="O52" s="2176"/>
      <c r="P52" s="2176"/>
      <c r="Q52" s="581"/>
    </row>
    <row r="53" spans="2:17">
      <c r="B53" s="580"/>
      <c r="C53" s="580"/>
      <c r="D53" s="581"/>
      <c r="E53" s="582"/>
      <c r="F53" s="583"/>
      <c r="G53" s="580"/>
      <c r="H53" s="582"/>
      <c r="J53" s="582"/>
      <c r="K53" s="582"/>
      <c r="M53" s="582"/>
      <c r="N53" s="582"/>
      <c r="O53" s="582"/>
      <c r="P53" s="582"/>
      <c r="Q53" s="582"/>
    </row>
    <row r="54" spans="2:17">
      <c r="B54" s="2176"/>
      <c r="C54" s="2176"/>
      <c r="D54" s="2176"/>
      <c r="E54" s="2176"/>
      <c r="F54" s="2176"/>
      <c r="G54" s="2176"/>
      <c r="H54" s="2176"/>
      <c r="I54" s="2176"/>
      <c r="J54" s="2176"/>
      <c r="K54" s="2176"/>
      <c r="L54" s="2176"/>
      <c r="M54" s="2176"/>
      <c r="N54" s="2176"/>
      <c r="O54" s="2176"/>
      <c r="P54" s="2176"/>
      <c r="Q54" s="2176"/>
    </row>
    <row r="55" spans="2:17">
      <c r="B55" s="2158" t="s">
        <v>852</v>
      </c>
      <c r="C55" s="2158"/>
      <c r="D55" s="2158"/>
      <c r="E55" s="585" t="s">
        <v>853</v>
      </c>
      <c r="F55" s="585">
        <v>0</v>
      </c>
      <c r="G55" s="585">
        <f t="shared" ref="G55:P55" si="17">F55+1</f>
        <v>1</v>
      </c>
      <c r="H55" s="585">
        <f t="shared" si="17"/>
        <v>2</v>
      </c>
      <c r="I55" s="585">
        <f t="shared" si="17"/>
        <v>3</v>
      </c>
      <c r="J55" s="585">
        <f t="shared" si="17"/>
        <v>4</v>
      </c>
      <c r="K55" s="585">
        <f t="shared" si="17"/>
        <v>5</v>
      </c>
      <c r="L55" s="585">
        <f t="shared" si="17"/>
        <v>6</v>
      </c>
      <c r="M55" s="585">
        <f t="shared" si="17"/>
        <v>7</v>
      </c>
      <c r="N55" s="585">
        <f t="shared" si="17"/>
        <v>8</v>
      </c>
      <c r="O55" s="585">
        <f t="shared" si="17"/>
        <v>9</v>
      </c>
      <c r="P55" s="585">
        <f t="shared" si="17"/>
        <v>10</v>
      </c>
      <c r="Q55" s="585" t="s">
        <v>808</v>
      </c>
    </row>
    <row r="56" spans="2:17">
      <c r="B56" s="2164" t="s">
        <v>809</v>
      </c>
      <c r="C56" s="2165"/>
      <c r="D56" s="2166"/>
      <c r="E56" s="586" t="e">
        <f t="shared" ref="E56:E73" si="18">($F56*$F$24)+($G56*$G$24)+($H56*$H$24)+($I56*$I$24)+($J56*$J$24)+($K56*$K$24)+($L56*$L$24)+($M56*$M$24)+($N56*$N$24)+($O56*$O$24)+($P56*$P$24)</f>
        <v>#REF!</v>
      </c>
      <c r="F56" s="586" t="e">
        <f>F57</f>
        <v>#REF!</v>
      </c>
      <c r="G56" s="586">
        <f t="shared" ref="G56:P56" si="19">G57</f>
        <v>0</v>
      </c>
      <c r="H56" s="586">
        <f t="shared" si="19"/>
        <v>0</v>
      </c>
      <c r="I56" s="586">
        <f t="shared" si="19"/>
        <v>0</v>
      </c>
      <c r="J56" s="586">
        <f t="shared" si="19"/>
        <v>0</v>
      </c>
      <c r="K56" s="586">
        <f t="shared" si="19"/>
        <v>0</v>
      </c>
      <c r="L56" s="586">
        <f t="shared" si="19"/>
        <v>0</v>
      </c>
      <c r="M56" s="586">
        <f t="shared" si="19"/>
        <v>0</v>
      </c>
      <c r="N56" s="586">
        <f t="shared" si="19"/>
        <v>0</v>
      </c>
      <c r="O56" s="586">
        <f t="shared" si="19"/>
        <v>0</v>
      </c>
      <c r="P56" s="586">
        <f t="shared" si="19"/>
        <v>0</v>
      </c>
      <c r="Q56" s="586" t="e">
        <f>SUM(F56:P56)</f>
        <v>#REF!</v>
      </c>
    </row>
    <row r="57" spans="2:17">
      <c r="B57" s="2164" t="s">
        <v>854</v>
      </c>
      <c r="C57" s="2165"/>
      <c r="D57" s="2166"/>
      <c r="E57" s="586" t="e">
        <f t="shared" si="18"/>
        <v>#REF!</v>
      </c>
      <c r="F57" s="586" t="e">
        <f>SUM(F58:F64)</f>
        <v>#REF!</v>
      </c>
      <c r="G57" s="586">
        <f t="shared" ref="G57:P57" si="20">SUM(G58:G62)</f>
        <v>0</v>
      </c>
      <c r="H57" s="586">
        <f t="shared" si="20"/>
        <v>0</v>
      </c>
      <c r="I57" s="586">
        <f t="shared" si="20"/>
        <v>0</v>
      </c>
      <c r="J57" s="586">
        <f t="shared" si="20"/>
        <v>0</v>
      </c>
      <c r="K57" s="586">
        <f t="shared" si="20"/>
        <v>0</v>
      </c>
      <c r="L57" s="586">
        <f t="shared" si="20"/>
        <v>0</v>
      </c>
      <c r="M57" s="586">
        <f t="shared" si="20"/>
        <v>0</v>
      </c>
      <c r="N57" s="586">
        <f t="shared" si="20"/>
        <v>0</v>
      </c>
      <c r="O57" s="586">
        <f t="shared" si="20"/>
        <v>0</v>
      </c>
      <c r="P57" s="586">
        <f t="shared" si="20"/>
        <v>0</v>
      </c>
      <c r="Q57" s="586" t="e">
        <f>SUM(F57:P57)</f>
        <v>#REF!</v>
      </c>
    </row>
    <row r="58" spans="2:17">
      <c r="B58" s="590" t="s">
        <v>811</v>
      </c>
      <c r="C58" s="2169" t="s">
        <v>855</v>
      </c>
      <c r="D58" s="2169"/>
      <c r="E58" s="591" t="e">
        <f t="shared" si="18"/>
        <v>#REF!</v>
      </c>
      <c r="F58" s="592" t="e">
        <f>+'Anexo 4_Ppto'!G762</f>
        <v>#REF!</v>
      </c>
      <c r="G58" s="591"/>
      <c r="H58" s="591"/>
      <c r="I58" s="591"/>
      <c r="J58" s="591"/>
      <c r="K58" s="591"/>
      <c r="L58" s="591"/>
      <c r="M58" s="591"/>
      <c r="N58" s="591"/>
      <c r="O58" s="591"/>
      <c r="P58" s="591"/>
      <c r="Q58" s="591" t="e">
        <f>SUM(F58:P58)</f>
        <v>#REF!</v>
      </c>
    </row>
    <row r="59" spans="2:17">
      <c r="B59" s="590" t="s">
        <v>813</v>
      </c>
      <c r="C59" s="2169" t="s">
        <v>879</v>
      </c>
      <c r="D59" s="2169"/>
      <c r="E59" s="591" t="e">
        <f>($F59*$F$24)+($G59*$G$24)+($H59*$H$24)+($I59*$I$24)+($J59*$J$24)+($K59*$K$24)+($L59*$L$24)+($M59*$M$24)+($N59*$N$24)+($O59*$O$24)+($P59*$P$24)</f>
        <v>#REF!</v>
      </c>
      <c r="F59" s="592" t="e">
        <f>+'Anexo 4_Ppto'!G765</f>
        <v>#REF!</v>
      </c>
      <c r="G59" s="591"/>
      <c r="H59" s="591"/>
      <c r="I59" s="591"/>
      <c r="J59" s="591"/>
      <c r="K59" s="591"/>
      <c r="L59" s="591"/>
      <c r="M59" s="591"/>
      <c r="N59" s="591"/>
      <c r="O59" s="591"/>
      <c r="P59" s="591"/>
      <c r="Q59" s="591" t="e">
        <f>SUM(F59:P59)</f>
        <v>#REF!</v>
      </c>
    </row>
    <row r="60" spans="2:17">
      <c r="B60" s="590" t="s">
        <v>815</v>
      </c>
      <c r="C60" s="2169" t="s">
        <v>816</v>
      </c>
      <c r="D60" s="2169"/>
      <c r="E60" s="591" t="e">
        <f t="shared" si="18"/>
        <v>#REF!</v>
      </c>
      <c r="F60" s="592" t="e">
        <f>+'Anexo 4_Ppto'!G776</f>
        <v>#REF!</v>
      </c>
      <c r="G60" s="591"/>
      <c r="H60" s="591"/>
      <c r="I60" s="591"/>
      <c r="J60" s="591"/>
      <c r="K60" s="591"/>
      <c r="L60" s="591"/>
      <c r="M60" s="591"/>
      <c r="N60" s="591"/>
      <c r="O60" s="591"/>
      <c r="P60" s="591"/>
      <c r="Q60" s="591" t="e">
        <f t="shared" ref="Q60:Q75" si="21">SUM(F60:P60)</f>
        <v>#REF!</v>
      </c>
    </row>
    <row r="61" spans="2:17">
      <c r="B61" s="590" t="s">
        <v>817</v>
      </c>
      <c r="C61" s="2169" t="s">
        <v>7</v>
      </c>
      <c r="D61" s="2169"/>
      <c r="E61" s="591" t="e">
        <f t="shared" si="18"/>
        <v>#REF!</v>
      </c>
      <c r="F61" s="592" t="e">
        <f>+'Anexo 4_Ppto'!G771</f>
        <v>#REF!</v>
      </c>
      <c r="G61" s="591"/>
      <c r="H61" s="591"/>
      <c r="I61" s="591"/>
      <c r="J61" s="591"/>
      <c r="K61" s="591"/>
      <c r="L61" s="591"/>
      <c r="M61" s="591"/>
      <c r="N61" s="591"/>
      <c r="O61" s="591"/>
      <c r="P61" s="591"/>
      <c r="Q61" s="591" t="e">
        <f t="shared" si="21"/>
        <v>#REF!</v>
      </c>
    </row>
    <row r="62" spans="2:17">
      <c r="B62" s="590" t="s">
        <v>818</v>
      </c>
      <c r="C62" s="2169" t="s">
        <v>856</v>
      </c>
      <c r="D62" s="2169"/>
      <c r="E62" s="591" t="e">
        <f t="shared" si="18"/>
        <v>#REF!</v>
      </c>
      <c r="F62" s="592" t="e">
        <f>+'Anexo 4_Ppto'!G779</f>
        <v>#REF!</v>
      </c>
      <c r="G62" s="591"/>
      <c r="H62" s="591"/>
      <c r="I62" s="591"/>
      <c r="J62" s="591"/>
      <c r="K62" s="591"/>
      <c r="L62" s="591"/>
      <c r="M62" s="591"/>
      <c r="N62" s="591"/>
      <c r="O62" s="591"/>
      <c r="P62" s="591"/>
      <c r="Q62" s="591" t="e">
        <f t="shared" si="21"/>
        <v>#REF!</v>
      </c>
    </row>
    <row r="63" spans="2:17">
      <c r="B63" s="590" t="s">
        <v>819</v>
      </c>
      <c r="C63" s="2169" t="s">
        <v>12</v>
      </c>
      <c r="D63" s="2169"/>
      <c r="E63" s="591" t="e">
        <f t="shared" si="18"/>
        <v>#REF!</v>
      </c>
      <c r="F63" s="592" t="e">
        <f>+'Anexo 4_Ppto'!G772</f>
        <v>#REF!</v>
      </c>
      <c r="G63" s="591"/>
      <c r="H63" s="591"/>
      <c r="I63" s="591"/>
      <c r="J63" s="591"/>
      <c r="K63" s="591"/>
      <c r="L63" s="591"/>
      <c r="M63" s="591"/>
      <c r="N63" s="591"/>
      <c r="O63" s="591"/>
      <c r="P63" s="591"/>
      <c r="Q63" s="591" t="e">
        <f t="shared" si="21"/>
        <v>#REF!</v>
      </c>
    </row>
    <row r="64" spans="2:17">
      <c r="B64" s="590" t="s">
        <v>820</v>
      </c>
      <c r="C64" s="2169" t="s">
        <v>821</v>
      </c>
      <c r="D64" s="2169"/>
      <c r="E64" s="591" t="e">
        <f t="shared" si="18"/>
        <v>#REF!</v>
      </c>
      <c r="F64" s="592" t="e">
        <f>+'Anexo 4_Ppto'!G780</f>
        <v>#REF!</v>
      </c>
      <c r="G64" s="591"/>
      <c r="H64" s="591"/>
      <c r="I64" s="591"/>
      <c r="J64" s="591"/>
      <c r="K64" s="591"/>
      <c r="L64" s="591"/>
      <c r="M64" s="591"/>
      <c r="N64" s="591"/>
      <c r="O64" s="591"/>
      <c r="P64" s="591"/>
      <c r="Q64" s="591" t="e">
        <f t="shared" si="21"/>
        <v>#REF!</v>
      </c>
    </row>
    <row r="65" spans="2:17">
      <c r="B65" s="2164" t="s">
        <v>822</v>
      </c>
      <c r="C65" s="2165"/>
      <c r="D65" s="2166"/>
      <c r="E65" s="586">
        <f t="shared" si="18"/>
        <v>49733.40601054849</v>
      </c>
      <c r="F65" s="586">
        <f>SUM(F66:F68)</f>
        <v>0</v>
      </c>
      <c r="G65" s="586">
        <f>SUM(G66:G68)</f>
        <v>0</v>
      </c>
      <c r="H65" s="586">
        <f t="shared" ref="H65:P65" si="22">SUM(H66:H68)</f>
        <v>1993.2000000000003</v>
      </c>
      <c r="I65" s="586">
        <f t="shared" si="22"/>
        <v>1993.2000000000003</v>
      </c>
      <c r="J65" s="586">
        <f t="shared" si="22"/>
        <v>34027.09830508475</v>
      </c>
      <c r="K65" s="586">
        <f t="shared" si="22"/>
        <v>1993.2000000000003</v>
      </c>
      <c r="L65" s="586">
        <f t="shared" si="22"/>
        <v>1993.2000000000003</v>
      </c>
      <c r="M65" s="586">
        <f t="shared" si="22"/>
        <v>1993.2000000000003</v>
      </c>
      <c r="N65" s="586">
        <f t="shared" si="22"/>
        <v>34027.09830508475</v>
      </c>
      <c r="O65" s="586">
        <f t="shared" si="22"/>
        <v>1993.2000000000003</v>
      </c>
      <c r="P65" s="586">
        <f t="shared" si="22"/>
        <v>1993.2000000000003</v>
      </c>
      <c r="Q65" s="586">
        <f>SUM(F65:P65)</f>
        <v>82006.596610169479</v>
      </c>
    </row>
    <row r="66" spans="2:17">
      <c r="B66" s="590" t="s">
        <v>823</v>
      </c>
      <c r="C66" s="2170" t="s">
        <v>826</v>
      </c>
      <c r="D66" s="2170"/>
      <c r="E66" s="591">
        <f t="shared" si="18"/>
        <v>38770.354533809375</v>
      </c>
      <c r="F66" s="595">
        <v>0</v>
      </c>
      <c r="G66" s="595">
        <f>+D84</f>
        <v>0</v>
      </c>
      <c r="H66" s="595">
        <f t="shared" ref="H66:P66" si="23">+E84</f>
        <v>0</v>
      </c>
      <c r="I66" s="595">
        <f t="shared" si="23"/>
        <v>0</v>
      </c>
      <c r="J66" s="595">
        <f t="shared" si="23"/>
        <v>32033.898305084749</v>
      </c>
      <c r="K66" s="595">
        <f t="shared" si="23"/>
        <v>0</v>
      </c>
      <c r="L66" s="595">
        <f t="shared" si="23"/>
        <v>0</v>
      </c>
      <c r="M66" s="595">
        <f t="shared" si="23"/>
        <v>0</v>
      </c>
      <c r="N66" s="595">
        <f t="shared" si="23"/>
        <v>32033.898305084749</v>
      </c>
      <c r="O66" s="595">
        <f t="shared" si="23"/>
        <v>0</v>
      </c>
      <c r="P66" s="595">
        <f t="shared" si="23"/>
        <v>0</v>
      </c>
      <c r="Q66" s="635">
        <f>SUM(F66:P66)</f>
        <v>64067.796610169498</v>
      </c>
    </row>
    <row r="67" spans="2:17">
      <c r="B67" s="590" t="s">
        <v>824</v>
      </c>
      <c r="C67" s="2170" t="s">
        <v>97</v>
      </c>
      <c r="D67" s="2170"/>
      <c r="E67" s="591">
        <f t="shared" si="18"/>
        <v>10963.051476739125</v>
      </c>
      <c r="F67" s="594">
        <v>0</v>
      </c>
      <c r="G67" s="595">
        <f>[4]FICHA_ESTANDAR!I69</f>
        <v>0</v>
      </c>
      <c r="H67" s="594">
        <f t="shared" ref="H67:P67" si="24">$G$17</f>
        <v>1993.2000000000003</v>
      </c>
      <c r="I67" s="594">
        <f t="shared" si="24"/>
        <v>1993.2000000000003</v>
      </c>
      <c r="J67" s="594">
        <f t="shared" si="24"/>
        <v>1993.2000000000003</v>
      </c>
      <c r="K67" s="594">
        <f t="shared" si="24"/>
        <v>1993.2000000000003</v>
      </c>
      <c r="L67" s="594">
        <f t="shared" si="24"/>
        <v>1993.2000000000003</v>
      </c>
      <c r="M67" s="594">
        <f t="shared" si="24"/>
        <v>1993.2000000000003</v>
      </c>
      <c r="N67" s="594">
        <f t="shared" si="24"/>
        <v>1993.2000000000003</v>
      </c>
      <c r="O67" s="594">
        <f t="shared" si="24"/>
        <v>1993.2000000000003</v>
      </c>
      <c r="P67" s="594">
        <f t="shared" si="24"/>
        <v>1993.2000000000003</v>
      </c>
      <c r="Q67" s="591">
        <f t="shared" si="21"/>
        <v>17938.800000000003</v>
      </c>
    </row>
    <row r="68" spans="2:17">
      <c r="B68" s="590" t="s">
        <v>825</v>
      </c>
      <c r="C68" s="2169" t="s">
        <v>857</v>
      </c>
      <c r="D68" s="2169"/>
      <c r="E68" s="591">
        <f t="shared" si="18"/>
        <v>0</v>
      </c>
      <c r="F68" s="594">
        <v>0</v>
      </c>
      <c r="G68" s="594">
        <f>[4]FICHA_ESTANDAR!H82</f>
        <v>0</v>
      </c>
      <c r="H68" s="594">
        <f t="shared" ref="H68:P68" si="25">$G$18</f>
        <v>0</v>
      </c>
      <c r="I68" s="594">
        <f t="shared" si="25"/>
        <v>0</v>
      </c>
      <c r="J68" s="594">
        <f t="shared" si="25"/>
        <v>0</v>
      </c>
      <c r="K68" s="594">
        <f t="shared" si="25"/>
        <v>0</v>
      </c>
      <c r="L68" s="594">
        <f t="shared" si="25"/>
        <v>0</v>
      </c>
      <c r="M68" s="594">
        <f t="shared" si="25"/>
        <v>0</v>
      </c>
      <c r="N68" s="594">
        <f t="shared" si="25"/>
        <v>0</v>
      </c>
      <c r="O68" s="594">
        <f t="shared" si="25"/>
        <v>0</v>
      </c>
      <c r="P68" s="594">
        <f t="shared" si="25"/>
        <v>0</v>
      </c>
      <c r="Q68" s="591">
        <f t="shared" si="21"/>
        <v>0</v>
      </c>
    </row>
    <row r="69" spans="2:17">
      <c r="B69" s="2164" t="s">
        <v>858</v>
      </c>
      <c r="C69" s="2165"/>
      <c r="D69" s="2166"/>
      <c r="E69" s="586" t="e">
        <f t="shared" si="18"/>
        <v>#REF!</v>
      </c>
      <c r="F69" s="586" t="e">
        <f t="shared" ref="F69:P69" si="26">F56+F65</f>
        <v>#REF!</v>
      </c>
      <c r="G69" s="586">
        <f t="shared" si="26"/>
        <v>0</v>
      </c>
      <c r="H69" s="586">
        <f t="shared" si="26"/>
        <v>1993.2000000000003</v>
      </c>
      <c r="I69" s="586">
        <f t="shared" si="26"/>
        <v>1993.2000000000003</v>
      </c>
      <c r="J69" s="586">
        <f t="shared" si="26"/>
        <v>34027.09830508475</v>
      </c>
      <c r="K69" s="586">
        <f t="shared" si="26"/>
        <v>1993.2000000000003</v>
      </c>
      <c r="L69" s="586">
        <f t="shared" si="26"/>
        <v>1993.2000000000003</v>
      </c>
      <c r="M69" s="586">
        <f t="shared" si="26"/>
        <v>1993.2000000000003</v>
      </c>
      <c r="N69" s="586">
        <f t="shared" si="26"/>
        <v>34027.09830508475</v>
      </c>
      <c r="O69" s="586">
        <f t="shared" si="26"/>
        <v>1993.2000000000003</v>
      </c>
      <c r="P69" s="586">
        <f t="shared" si="26"/>
        <v>1993.2000000000003</v>
      </c>
      <c r="Q69" s="586" t="e">
        <f t="shared" si="21"/>
        <v>#REF!</v>
      </c>
    </row>
    <row r="70" spans="2:17">
      <c r="B70" s="2164" t="s">
        <v>828</v>
      </c>
      <c r="C70" s="2165"/>
      <c r="D70" s="2166"/>
      <c r="E70" s="586">
        <f t="shared" si="18"/>
        <v>790215.1003754033</v>
      </c>
      <c r="F70" s="586">
        <f t="shared" ref="F70:P70" si="27">SUM(F71:F72)</f>
        <v>0</v>
      </c>
      <c r="G70" s="586">
        <f t="shared" si="27"/>
        <v>0</v>
      </c>
      <c r="H70" s="586">
        <f t="shared" si="27"/>
        <v>143669.55599999998</v>
      </c>
      <c r="I70" s="586">
        <f t="shared" si="27"/>
        <v>143669.55599999998</v>
      </c>
      <c r="J70" s="586">
        <f t="shared" si="27"/>
        <v>143669.55599999998</v>
      </c>
      <c r="K70" s="586">
        <f t="shared" si="27"/>
        <v>143669.55599999998</v>
      </c>
      <c r="L70" s="586">
        <f t="shared" si="27"/>
        <v>143669.55599999998</v>
      </c>
      <c r="M70" s="586">
        <f t="shared" si="27"/>
        <v>143669.55599999998</v>
      </c>
      <c r="N70" s="586">
        <f t="shared" si="27"/>
        <v>143669.55599999998</v>
      </c>
      <c r="O70" s="586">
        <f t="shared" si="27"/>
        <v>143669.55599999998</v>
      </c>
      <c r="P70" s="586">
        <f t="shared" si="27"/>
        <v>143669.55599999998</v>
      </c>
      <c r="Q70" s="586">
        <f t="shared" si="21"/>
        <v>1293026.0039999997</v>
      </c>
    </row>
    <row r="71" spans="2:17">
      <c r="B71" s="590" t="s">
        <v>829</v>
      </c>
      <c r="C71" s="2170" t="s">
        <v>97</v>
      </c>
      <c r="D71" s="2170"/>
      <c r="E71" s="591">
        <f t="shared" si="18"/>
        <v>788221.81828872359</v>
      </c>
      <c r="F71" s="591">
        <v>0</v>
      </c>
      <c r="G71" s="592">
        <f>[4]FICHA_ESTANDAR!D57</f>
        <v>0</v>
      </c>
      <c r="H71" s="591">
        <f t="shared" ref="H71:P71" si="28">G$21</f>
        <v>143307.15599999999</v>
      </c>
      <c r="I71" s="591">
        <f t="shared" si="28"/>
        <v>143307.15599999999</v>
      </c>
      <c r="J71" s="591">
        <f t="shared" si="28"/>
        <v>143307.15599999999</v>
      </c>
      <c r="K71" s="591">
        <f t="shared" si="28"/>
        <v>143307.15599999999</v>
      </c>
      <c r="L71" s="591">
        <f t="shared" si="28"/>
        <v>143307.15599999999</v>
      </c>
      <c r="M71" s="591">
        <f t="shared" si="28"/>
        <v>143307.15599999999</v>
      </c>
      <c r="N71" s="591">
        <f t="shared" si="28"/>
        <v>143307.15599999999</v>
      </c>
      <c r="O71" s="591">
        <f t="shared" si="28"/>
        <v>143307.15599999999</v>
      </c>
      <c r="P71" s="591">
        <f t="shared" si="28"/>
        <v>143307.15599999999</v>
      </c>
      <c r="Q71" s="591">
        <f t="shared" si="21"/>
        <v>1289764.4039999999</v>
      </c>
    </row>
    <row r="72" spans="2:17">
      <c r="B72" s="590" t="s">
        <v>830</v>
      </c>
      <c r="C72" s="2169" t="s">
        <v>726</v>
      </c>
      <c r="D72" s="2169"/>
      <c r="E72" s="591">
        <f t="shared" si="18"/>
        <v>1993.2820866798411</v>
      </c>
      <c r="F72" s="591">
        <v>0</v>
      </c>
      <c r="G72" s="592">
        <f>[4]FICHA_ESTANDAR!D63</f>
        <v>0</v>
      </c>
      <c r="H72" s="591">
        <f t="shared" ref="H72:P72" si="29">G$22</f>
        <v>362.40000000000003</v>
      </c>
      <c r="I72" s="591">
        <f t="shared" si="29"/>
        <v>362.40000000000003</v>
      </c>
      <c r="J72" s="591">
        <f t="shared" si="29"/>
        <v>362.40000000000003</v>
      </c>
      <c r="K72" s="591">
        <f t="shared" si="29"/>
        <v>362.40000000000003</v>
      </c>
      <c r="L72" s="591">
        <f t="shared" si="29"/>
        <v>362.40000000000003</v>
      </c>
      <c r="M72" s="591">
        <f t="shared" si="29"/>
        <v>362.40000000000003</v>
      </c>
      <c r="N72" s="591">
        <f t="shared" si="29"/>
        <v>362.40000000000003</v>
      </c>
      <c r="O72" s="591">
        <f t="shared" si="29"/>
        <v>362.40000000000003</v>
      </c>
      <c r="P72" s="591">
        <f t="shared" si="29"/>
        <v>362.40000000000003</v>
      </c>
      <c r="Q72" s="591">
        <f t="shared" si="21"/>
        <v>3261.6000000000004</v>
      </c>
    </row>
    <row r="73" spans="2:17">
      <c r="B73" s="2164" t="s">
        <v>831</v>
      </c>
      <c r="C73" s="2165"/>
      <c r="D73" s="2166"/>
      <c r="E73" s="586" t="e">
        <f t="shared" si="18"/>
        <v>#REF!</v>
      </c>
      <c r="F73" s="586" t="e">
        <f>F69-F70</f>
        <v>#REF!</v>
      </c>
      <c r="G73" s="586">
        <f t="shared" ref="G73:P73" si="30">G69-G70</f>
        <v>0</v>
      </c>
      <c r="H73" s="586">
        <f t="shared" si="30"/>
        <v>-141676.35599999997</v>
      </c>
      <c r="I73" s="586">
        <f t="shared" si="30"/>
        <v>-141676.35599999997</v>
      </c>
      <c r="J73" s="586">
        <f t="shared" si="30"/>
        <v>-109642.45769491524</v>
      </c>
      <c r="K73" s="586">
        <f t="shared" si="30"/>
        <v>-141676.35599999997</v>
      </c>
      <c r="L73" s="586">
        <f t="shared" si="30"/>
        <v>-141676.35599999997</v>
      </c>
      <c r="M73" s="586">
        <f t="shared" si="30"/>
        <v>-141676.35599999997</v>
      </c>
      <c r="N73" s="586">
        <f t="shared" si="30"/>
        <v>-109642.45769491524</v>
      </c>
      <c r="O73" s="586">
        <f t="shared" si="30"/>
        <v>-141676.35599999997</v>
      </c>
      <c r="P73" s="586">
        <f t="shared" si="30"/>
        <v>-141676.35599999997</v>
      </c>
      <c r="Q73" s="586" t="e">
        <f t="shared" si="21"/>
        <v>#REF!</v>
      </c>
    </row>
    <row r="74" spans="2:17">
      <c r="B74" s="609"/>
      <c r="C74" s="636" t="s">
        <v>832</v>
      </c>
      <c r="D74" s="637">
        <v>0.09</v>
      </c>
      <c r="E74" s="591"/>
      <c r="F74" s="603">
        <f t="shared" ref="F74:P74" si="31">(1/(1+$D$24)^F$5)</f>
        <v>1</v>
      </c>
      <c r="G74" s="603">
        <f t="shared" si="31"/>
        <v>0.9174311926605504</v>
      </c>
      <c r="H74" s="603">
        <f t="shared" si="31"/>
        <v>0.84167999326655996</v>
      </c>
      <c r="I74" s="603">
        <f t="shared" si="31"/>
        <v>0.77218348006106419</v>
      </c>
      <c r="J74" s="603">
        <f t="shared" si="31"/>
        <v>0.7084252110651964</v>
      </c>
      <c r="K74" s="603">
        <f t="shared" si="31"/>
        <v>0.64993138629834524</v>
      </c>
      <c r="L74" s="603">
        <f t="shared" si="31"/>
        <v>0.5962673268792158</v>
      </c>
      <c r="M74" s="603">
        <f t="shared" si="31"/>
        <v>0.54703424484331731</v>
      </c>
      <c r="N74" s="603">
        <f t="shared" si="31"/>
        <v>0.50186627967276809</v>
      </c>
      <c r="O74" s="603">
        <f t="shared" si="31"/>
        <v>0.46042777951630098</v>
      </c>
      <c r="P74" s="603">
        <f t="shared" si="31"/>
        <v>0.42241080689568894</v>
      </c>
      <c r="Q74" s="603">
        <f t="shared" si="21"/>
        <v>7.4176577011590066</v>
      </c>
    </row>
    <row r="75" spans="2:17">
      <c r="B75" s="604"/>
      <c r="C75" s="2167" t="s">
        <v>833</v>
      </c>
      <c r="D75" s="2167"/>
      <c r="E75" s="605" t="e">
        <f>SUM(F75:P75)</f>
        <v>#REF!</v>
      </c>
      <c r="F75" s="587" t="e">
        <f>F73*F74</f>
        <v>#REF!</v>
      </c>
      <c r="G75" s="587">
        <f t="shared" ref="G75:P75" si="32">G73*G74</f>
        <v>0</v>
      </c>
      <c r="H75" s="587">
        <f t="shared" si="32"/>
        <v>-119246.15436411073</v>
      </c>
      <c r="I75" s="587">
        <f t="shared" si="32"/>
        <v>-109400.14161845022</v>
      </c>
      <c r="J75" s="587">
        <f t="shared" si="32"/>
        <v>-77673.481234227191</v>
      </c>
      <c r="K75" s="587">
        <f t="shared" si="32"/>
        <v>-92079.910460777857</v>
      </c>
      <c r="L75" s="587">
        <f t="shared" si="32"/>
        <v>-84476.982074108135</v>
      </c>
      <c r="M75" s="587">
        <f t="shared" si="32"/>
        <v>-77501.818416612965</v>
      </c>
      <c r="N75" s="587">
        <f t="shared" si="32"/>
        <v>-55025.852337525976</v>
      </c>
      <c r="O75" s="587">
        <f t="shared" si="32"/>
        <v>-65231.730003040953</v>
      </c>
      <c r="P75" s="587">
        <f t="shared" si="32"/>
        <v>-59845.623856000871</v>
      </c>
      <c r="Q75" s="605" t="e">
        <f t="shared" si="21"/>
        <v>#REF!</v>
      </c>
    </row>
    <row r="76" spans="2:17">
      <c r="B76" s="604"/>
      <c r="C76" s="2168" t="s">
        <v>834</v>
      </c>
      <c r="D76" s="2168"/>
      <c r="E76" s="605" t="e">
        <f>'[4]Anexo 5_EVAL'!E79</f>
        <v>#REF!</v>
      </c>
      <c r="Q76" s="605">
        <v>256</v>
      </c>
    </row>
    <row r="77" spans="2:17">
      <c r="B77" s="609"/>
      <c r="C77" s="2168" t="s">
        <v>835</v>
      </c>
      <c r="D77" s="2168"/>
      <c r="E77" s="610" t="e">
        <f>E75/E76</f>
        <v>#REF!</v>
      </c>
      <c r="Q77" s="610" t="e">
        <f>+Q75/Q76</f>
        <v>#REF!</v>
      </c>
    </row>
    <row r="78" spans="2:17">
      <c r="B78" s="609"/>
      <c r="C78" s="2168" t="s">
        <v>836</v>
      </c>
      <c r="D78" s="2168"/>
      <c r="E78" s="605" t="e">
        <f>E75*D74/(1-(1+D74)^-10)</f>
        <v>#REF!</v>
      </c>
    </row>
    <row r="81" spans="3:14">
      <c r="C81" s="638" t="s">
        <v>826</v>
      </c>
      <c r="D81" s="585">
        <v>1</v>
      </c>
      <c r="E81" s="585">
        <v>2</v>
      </c>
      <c r="F81" s="585">
        <v>3</v>
      </c>
      <c r="G81" s="585">
        <v>4</v>
      </c>
      <c r="H81" s="585">
        <v>5</v>
      </c>
      <c r="I81" s="585">
        <v>6</v>
      </c>
      <c r="J81" s="585">
        <v>7</v>
      </c>
      <c r="K81" s="585">
        <v>8</v>
      </c>
      <c r="L81" s="585">
        <v>9</v>
      </c>
      <c r="M81" s="585">
        <v>10</v>
      </c>
      <c r="N81" s="585" t="s">
        <v>808</v>
      </c>
    </row>
    <row r="82" spans="3:14">
      <c r="C82" s="639" t="s">
        <v>843</v>
      </c>
      <c r="D82" s="613"/>
      <c r="E82" s="613"/>
      <c r="F82" s="613"/>
      <c r="G82" s="613"/>
      <c r="H82" s="613">
        <v>0</v>
      </c>
      <c r="I82" s="613"/>
      <c r="J82" s="613"/>
      <c r="K82" s="613"/>
      <c r="L82" s="613"/>
      <c r="M82" s="613">
        <v>0</v>
      </c>
      <c r="N82" s="613">
        <f>SUM(D82:M82)</f>
        <v>0</v>
      </c>
    </row>
    <row r="83" spans="3:14">
      <c r="C83" s="639" t="s">
        <v>837</v>
      </c>
      <c r="D83" s="613"/>
      <c r="E83" s="613"/>
      <c r="F83" s="613"/>
      <c r="G83" s="613">
        <f>H32/1.18</f>
        <v>32033.898305084749</v>
      </c>
      <c r="H83" s="613"/>
      <c r="I83" s="613"/>
      <c r="J83" s="613"/>
      <c r="K83" s="613">
        <f>G83</f>
        <v>32033.898305084749</v>
      </c>
      <c r="L83" s="613"/>
      <c r="M83" s="613"/>
      <c r="N83" s="613">
        <f>SUM(D83:M83)</f>
        <v>64067.796610169498</v>
      </c>
    </row>
    <row r="84" spans="3:14">
      <c r="C84" s="640" t="s">
        <v>70</v>
      </c>
      <c r="D84" s="614">
        <f>SUM(D82:D83)</f>
        <v>0</v>
      </c>
      <c r="E84" s="614">
        <f t="shared" ref="E84:L84" si="33">SUM(E82:E83)</f>
        <v>0</v>
      </c>
      <c r="F84" s="614">
        <f>SUM(F82:F83)</f>
        <v>0</v>
      </c>
      <c r="G84" s="614">
        <f t="shared" si="33"/>
        <v>32033.898305084749</v>
      </c>
      <c r="H84" s="614">
        <f t="shared" si="33"/>
        <v>0</v>
      </c>
      <c r="I84" s="614">
        <f t="shared" si="33"/>
        <v>0</v>
      </c>
      <c r="J84" s="614">
        <f t="shared" si="33"/>
        <v>0</v>
      </c>
      <c r="K84" s="614">
        <f t="shared" si="33"/>
        <v>32033.898305084749</v>
      </c>
      <c r="L84" s="614">
        <f t="shared" si="33"/>
        <v>0</v>
      </c>
      <c r="M84" s="614">
        <f>SUM(M82:M83)</f>
        <v>0</v>
      </c>
      <c r="N84" s="614">
        <f>SUM(D84:M84)</f>
        <v>64067.796610169498</v>
      </c>
    </row>
  </sheetData>
  <mergeCells count="57">
    <mergeCell ref="C71:D71"/>
    <mergeCell ref="C78:D78"/>
    <mergeCell ref="C72:D72"/>
    <mergeCell ref="B73:D73"/>
    <mergeCell ref="C75:D75"/>
    <mergeCell ref="C76:D76"/>
    <mergeCell ref="C77:D77"/>
    <mergeCell ref="C66:D66"/>
    <mergeCell ref="C67:D67"/>
    <mergeCell ref="C68:D68"/>
    <mergeCell ref="B69:D69"/>
    <mergeCell ref="B70:D70"/>
    <mergeCell ref="C61:D61"/>
    <mergeCell ref="C62:D62"/>
    <mergeCell ref="C63:D63"/>
    <mergeCell ref="C64:D64"/>
    <mergeCell ref="B65:D65"/>
    <mergeCell ref="B56:D56"/>
    <mergeCell ref="B57:D57"/>
    <mergeCell ref="C58:D58"/>
    <mergeCell ref="C59:D59"/>
    <mergeCell ref="C60:D60"/>
    <mergeCell ref="C41:G41"/>
    <mergeCell ref="C51:P51"/>
    <mergeCell ref="C52:P52"/>
    <mergeCell ref="B54:Q54"/>
    <mergeCell ref="B55:D55"/>
    <mergeCell ref="C42:G43"/>
    <mergeCell ref="C45:G45"/>
    <mergeCell ref="C3:P3"/>
    <mergeCell ref="C4:P4"/>
    <mergeCell ref="B5:D5"/>
    <mergeCell ref="B6:D6"/>
    <mergeCell ref="B7:D7"/>
    <mergeCell ref="C8:D8"/>
    <mergeCell ref="C9:D9"/>
    <mergeCell ref="C10:D10"/>
    <mergeCell ref="C11:D11"/>
    <mergeCell ref="C12:D12"/>
    <mergeCell ref="C13:D13"/>
    <mergeCell ref="C14:D14"/>
    <mergeCell ref="B15:D15"/>
    <mergeCell ref="C16:D16"/>
    <mergeCell ref="C17:D17"/>
    <mergeCell ref="C18:D18"/>
    <mergeCell ref="B19:D19"/>
    <mergeCell ref="B20:D20"/>
    <mergeCell ref="C21:D21"/>
    <mergeCell ref="C28:D28"/>
    <mergeCell ref="C31:D31"/>
    <mergeCell ref="C32:D32"/>
    <mergeCell ref="C33:D33"/>
    <mergeCell ref="C22:D22"/>
    <mergeCell ref="B23:D23"/>
    <mergeCell ref="C25:D25"/>
    <mergeCell ref="C26:D26"/>
    <mergeCell ref="C27:D27"/>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7:R37"/>
  <sheetViews>
    <sheetView workbookViewId="0">
      <selection activeCell="M29" sqref="M29"/>
    </sheetView>
  </sheetViews>
  <sheetFormatPr baseColWidth="10" defaultRowHeight="12.75"/>
  <sheetData>
    <row r="7" spans="3:14">
      <c r="C7" s="2186" t="s">
        <v>1469</v>
      </c>
      <c r="D7" s="2186"/>
      <c r="E7" s="2186"/>
      <c r="F7" s="2186"/>
      <c r="G7" s="2186"/>
      <c r="H7" s="2186"/>
      <c r="I7" s="2186"/>
      <c r="J7" s="2186"/>
      <c r="K7" s="2186"/>
      <c r="L7" s="2186"/>
      <c r="M7" s="2186"/>
      <c r="N7" s="2186"/>
    </row>
    <row r="8" spans="3:14" ht="22.5">
      <c r="C8" s="1216" t="s">
        <v>256</v>
      </c>
      <c r="D8" s="1215" t="s">
        <v>255</v>
      </c>
      <c r="E8" s="1217" t="s">
        <v>3</v>
      </c>
      <c r="F8" s="1217" t="s">
        <v>4</v>
      </c>
      <c r="G8" s="1217" t="s">
        <v>14</v>
      </c>
      <c r="H8" s="1217" t="s">
        <v>23</v>
      </c>
      <c r="I8" s="1217" t="s">
        <v>24</v>
      </c>
      <c r="J8" s="1217" t="s">
        <v>25</v>
      </c>
      <c r="K8" s="1118" t="s">
        <v>26</v>
      </c>
      <c r="L8" s="1217" t="s">
        <v>27</v>
      </c>
      <c r="M8" s="1217" t="s">
        <v>28</v>
      </c>
      <c r="N8" s="1215" t="s">
        <v>5</v>
      </c>
    </row>
    <row r="9" spans="3:14">
      <c r="C9" s="2187" t="s">
        <v>1507</v>
      </c>
      <c r="D9" s="2188"/>
      <c r="E9" s="2188"/>
      <c r="F9" s="1227"/>
      <c r="G9" s="1227"/>
      <c r="H9" s="1227"/>
      <c r="I9" s="1227"/>
      <c r="J9" s="1227"/>
      <c r="K9" s="1227"/>
      <c r="L9" s="1227"/>
      <c r="M9" s="1227"/>
      <c r="N9" s="1228"/>
    </row>
    <row r="10" spans="3:14">
      <c r="C10" s="1106" t="s">
        <v>29</v>
      </c>
      <c r="D10" s="1224" t="s">
        <v>257</v>
      </c>
      <c r="E10" s="1218">
        <v>5</v>
      </c>
      <c r="F10" s="1218">
        <v>5</v>
      </c>
      <c r="G10" s="1218">
        <v>5</v>
      </c>
      <c r="H10" s="1218">
        <v>4</v>
      </c>
      <c r="I10" s="1218">
        <v>5</v>
      </c>
      <c r="J10" s="1218">
        <v>5</v>
      </c>
      <c r="K10" s="1218">
        <v>5</v>
      </c>
      <c r="L10" s="1218">
        <v>4</v>
      </c>
      <c r="M10" s="1218">
        <v>5</v>
      </c>
      <c r="N10" s="1221">
        <v>5</v>
      </c>
    </row>
    <row r="11" spans="3:14">
      <c r="C11" s="1119" t="s">
        <v>30</v>
      </c>
      <c r="D11" s="1225" t="s">
        <v>257</v>
      </c>
      <c r="E11" s="1219">
        <v>6</v>
      </c>
      <c r="F11" s="1219">
        <v>6</v>
      </c>
      <c r="G11" s="1219">
        <v>5</v>
      </c>
      <c r="H11" s="1219">
        <v>5</v>
      </c>
      <c r="I11" s="1219">
        <v>6</v>
      </c>
      <c r="J11" s="1219">
        <v>6</v>
      </c>
      <c r="K11" s="1219">
        <v>5</v>
      </c>
      <c r="L11" s="1219">
        <v>5</v>
      </c>
      <c r="M11" s="1219">
        <v>5</v>
      </c>
      <c r="N11" s="1222">
        <v>6</v>
      </c>
    </row>
    <row r="12" spans="3:14">
      <c r="C12" s="1107" t="s">
        <v>31</v>
      </c>
      <c r="D12" s="1226" t="s">
        <v>257</v>
      </c>
      <c r="E12" s="1220">
        <v>4</v>
      </c>
      <c r="F12" s="1220">
        <v>4</v>
      </c>
      <c r="G12" s="1220">
        <v>6</v>
      </c>
      <c r="H12" s="1220">
        <v>6</v>
      </c>
      <c r="I12" s="1220">
        <v>4</v>
      </c>
      <c r="J12" s="1220">
        <v>4</v>
      </c>
      <c r="K12" s="1220">
        <v>6</v>
      </c>
      <c r="L12" s="1220">
        <v>6</v>
      </c>
      <c r="M12" s="1220">
        <v>5</v>
      </c>
      <c r="N12" s="1223">
        <v>5</v>
      </c>
    </row>
    <row r="13" spans="3:14">
      <c r="C13" s="1699" t="s">
        <v>70</v>
      </c>
      <c r="D13" s="1711"/>
      <c r="E13" s="1214">
        <f>SUM(E10:E12)</f>
        <v>15</v>
      </c>
      <c r="F13" s="1214">
        <f>SUM(F10:F12)</f>
        <v>15</v>
      </c>
      <c r="G13" s="1214">
        <f>SUM(G10:G12)</f>
        <v>16</v>
      </c>
      <c r="H13" s="1214">
        <f>SUM(H10:H12)</f>
        <v>15</v>
      </c>
      <c r="I13" s="1214">
        <f t="shared" ref="I13:N13" si="0">SUM(I10:I12)</f>
        <v>15</v>
      </c>
      <c r="J13" s="1214">
        <f t="shared" si="0"/>
        <v>15</v>
      </c>
      <c r="K13" s="1214">
        <f t="shared" si="0"/>
        <v>16</v>
      </c>
      <c r="L13" s="1214">
        <f t="shared" si="0"/>
        <v>15</v>
      </c>
      <c r="M13" s="1214">
        <f t="shared" si="0"/>
        <v>15</v>
      </c>
      <c r="N13" s="1082">
        <f t="shared" si="0"/>
        <v>16</v>
      </c>
    </row>
    <row r="28" spans="11:18">
      <c r="Q28">
        <v>0.1</v>
      </c>
      <c r="R28">
        <f>+Q28*$O$29</f>
        <v>2</v>
      </c>
    </row>
    <row r="29" spans="11:18">
      <c r="K29">
        <v>18</v>
      </c>
      <c r="L29">
        <v>0.8</v>
      </c>
      <c r="M29">
        <f>+L29*K29</f>
        <v>14.4</v>
      </c>
      <c r="O29">
        <v>20</v>
      </c>
      <c r="Q29">
        <v>0.2</v>
      </c>
      <c r="R29">
        <f t="shared" ref="R29:R37" si="1">+Q29*$O$29</f>
        <v>4</v>
      </c>
    </row>
    <row r="30" spans="11:18">
      <c r="K30">
        <v>20</v>
      </c>
      <c r="L30">
        <v>0.2</v>
      </c>
      <c r="M30">
        <f>+L30*K30</f>
        <v>4</v>
      </c>
      <c r="Q30">
        <v>0.3</v>
      </c>
      <c r="R30">
        <f t="shared" si="1"/>
        <v>6</v>
      </c>
    </row>
    <row r="31" spans="11:18">
      <c r="M31">
        <f>SUM(M29:M30)</f>
        <v>18.399999999999999</v>
      </c>
      <c r="Q31">
        <v>0.4</v>
      </c>
      <c r="R31">
        <f t="shared" si="1"/>
        <v>8</v>
      </c>
    </row>
    <row r="32" spans="11:18">
      <c r="Q32">
        <v>0.5</v>
      </c>
      <c r="R32">
        <f t="shared" si="1"/>
        <v>10</v>
      </c>
    </row>
    <row r="33" spans="17:18">
      <c r="Q33">
        <v>0.6</v>
      </c>
      <c r="R33">
        <f t="shared" si="1"/>
        <v>12</v>
      </c>
    </row>
    <row r="34" spans="17:18">
      <c r="Q34">
        <v>0.7</v>
      </c>
      <c r="R34">
        <f t="shared" si="1"/>
        <v>14</v>
      </c>
    </row>
    <row r="35" spans="17:18">
      <c r="Q35">
        <v>0.8</v>
      </c>
      <c r="R35">
        <f t="shared" si="1"/>
        <v>16</v>
      </c>
    </row>
    <row r="36" spans="17:18">
      <c r="Q36">
        <v>0.9</v>
      </c>
      <c r="R36">
        <f t="shared" si="1"/>
        <v>18</v>
      </c>
    </row>
    <row r="37" spans="17:18">
      <c r="Q37">
        <v>1</v>
      </c>
      <c r="R37">
        <f t="shared" si="1"/>
        <v>20</v>
      </c>
    </row>
  </sheetData>
  <mergeCells count="3">
    <mergeCell ref="C7:N7"/>
    <mergeCell ref="C9:E9"/>
    <mergeCell ref="C13:D13"/>
  </mergeCells>
  <conditionalFormatting sqref="C9 C8:N8 C10:N13 C7">
    <cfRule type="expression" dxfId="5" priority="1">
      <formula>$J$52="No"</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00B0F0"/>
  </sheetPr>
  <dimension ref="B1:AB65"/>
  <sheetViews>
    <sheetView topLeftCell="A16" zoomScale="85" zoomScaleNormal="85" workbookViewId="0">
      <selection activeCell="G71" sqref="G71"/>
    </sheetView>
  </sheetViews>
  <sheetFormatPr baseColWidth="10" defaultRowHeight="12.75"/>
  <cols>
    <col min="1" max="1" width="2.5703125" customWidth="1"/>
    <col min="6" max="6" width="20.28515625" customWidth="1"/>
    <col min="7" max="7" width="26.140625" customWidth="1"/>
    <col min="8" max="9" width="8.7109375" style="17" customWidth="1"/>
    <col min="10" max="10" width="13.140625" style="16" customWidth="1"/>
    <col min="11" max="14" width="11.42578125" style="16"/>
    <col min="15" max="15" width="12.28515625" style="16" customWidth="1"/>
    <col min="16" max="16" width="12.85546875" style="16" customWidth="1"/>
    <col min="17" max="17" width="18.7109375" style="16" customWidth="1"/>
    <col min="18" max="18" width="5" style="899" customWidth="1"/>
    <col min="19" max="19" width="12" customWidth="1"/>
  </cols>
  <sheetData>
    <row r="1" spans="2:23">
      <c r="G1" s="877"/>
      <c r="H1" s="878"/>
      <c r="I1" s="878"/>
      <c r="J1" s="693"/>
      <c r="K1" s="693"/>
      <c r="L1" s="693"/>
      <c r="M1" s="693"/>
      <c r="N1" s="693"/>
      <c r="O1" s="693"/>
      <c r="P1" s="693"/>
      <c r="Q1" s="693"/>
      <c r="R1" s="879"/>
      <c r="S1" s="877"/>
      <c r="T1" s="877"/>
      <c r="U1" s="877"/>
      <c r="V1" s="877"/>
      <c r="W1" s="877"/>
    </row>
    <row r="2" spans="2:23" s="18" customFormat="1" ht="19.5" customHeight="1">
      <c r="B2" s="2207" t="s">
        <v>1238</v>
      </c>
      <c r="C2" s="2207"/>
      <c r="D2" s="2207"/>
      <c r="E2" s="2207"/>
      <c r="G2" s="2208" t="s">
        <v>1239</v>
      </c>
      <c r="H2" s="2203">
        <v>0</v>
      </c>
      <c r="I2" s="693"/>
      <c r="J2" s="2201" t="s">
        <v>911</v>
      </c>
      <c r="K2" s="2203">
        <v>1</v>
      </c>
      <c r="L2" s="693"/>
      <c r="M2" s="2201" t="s">
        <v>912</v>
      </c>
      <c r="N2" s="2199">
        <v>8</v>
      </c>
      <c r="O2" s="693"/>
      <c r="P2" s="2201" t="s">
        <v>1240</v>
      </c>
      <c r="Q2" s="2203">
        <v>2</v>
      </c>
      <c r="R2" s="880"/>
      <c r="S2" s="2205" t="s">
        <v>1241</v>
      </c>
      <c r="T2" s="2203">
        <v>1</v>
      </c>
      <c r="U2" s="881"/>
      <c r="V2" s="881"/>
      <c r="W2" s="881"/>
    </row>
    <row r="3" spans="2:23">
      <c r="G3" s="2209"/>
      <c r="H3" s="2204"/>
      <c r="I3" s="694"/>
      <c r="J3" s="2202"/>
      <c r="K3" s="2204"/>
      <c r="L3" s="694"/>
      <c r="M3" s="2202"/>
      <c r="N3" s="2200"/>
      <c r="O3" s="694"/>
      <c r="P3" s="2202"/>
      <c r="Q3" s="2204"/>
      <c r="R3" s="880"/>
      <c r="S3" s="2205"/>
      <c r="T3" s="2204"/>
      <c r="U3" s="694"/>
      <c r="V3" s="877"/>
      <c r="W3" s="877"/>
    </row>
    <row r="4" spans="2:23">
      <c r="G4" s="694"/>
      <c r="H4" s="694"/>
      <c r="I4" s="694"/>
      <c r="J4" s="694"/>
      <c r="K4" s="694"/>
      <c r="L4" s="694"/>
      <c r="M4" s="694"/>
      <c r="N4" s="694"/>
      <c r="O4" s="694"/>
      <c r="P4" s="694"/>
      <c r="Q4" s="694"/>
      <c r="R4" s="882"/>
      <c r="S4" s="694"/>
      <c r="T4" s="694"/>
      <c r="U4" s="694"/>
      <c r="V4" s="877"/>
      <c r="W4" s="877"/>
    </row>
    <row r="5" spans="2:23">
      <c r="G5" s="2206" t="s">
        <v>1242</v>
      </c>
      <c r="H5" s="2206"/>
      <c r="I5" s="2206"/>
      <c r="J5" s="2206"/>
      <c r="K5" s="2206"/>
      <c r="L5" s="2206"/>
      <c r="M5" s="2206"/>
      <c r="N5" s="2206"/>
      <c r="O5" s="2206"/>
      <c r="P5" s="694"/>
      <c r="Q5" s="694"/>
      <c r="R5" s="882"/>
      <c r="S5" s="694"/>
      <c r="T5" s="694"/>
      <c r="U5" s="694"/>
      <c r="V5" s="877"/>
      <c r="W5" s="877"/>
    </row>
    <row r="6" spans="2:23" ht="30" customHeight="1">
      <c r="G6" s="883" t="s">
        <v>1243</v>
      </c>
      <c r="H6" s="884" t="s">
        <v>913</v>
      </c>
      <c r="I6" s="884" t="s">
        <v>914</v>
      </c>
      <c r="J6" s="885" t="s">
        <v>915</v>
      </c>
      <c r="K6" s="885" t="s">
        <v>1244</v>
      </c>
      <c r="L6" s="885" t="s">
        <v>1245</v>
      </c>
      <c r="M6" s="885" t="s">
        <v>1246</v>
      </c>
      <c r="N6" s="885" t="s">
        <v>1247</v>
      </c>
      <c r="O6" s="885" t="s">
        <v>1248</v>
      </c>
      <c r="P6" s="693"/>
      <c r="Q6" s="885" t="s">
        <v>1249</v>
      </c>
      <c r="R6" s="886"/>
      <c r="S6" s="887">
        <f>+IF(H2=0,SUM(I7:I20)+SUM(J7:J20)+K7+L7+M7+N7+O7,SUM(H7:H20)+SUM(J7:J20)+K7+L7+M7+N7+O7)</f>
        <v>88</v>
      </c>
      <c r="T6" s="694"/>
      <c r="U6" s="694"/>
      <c r="V6" s="877"/>
      <c r="W6" s="877"/>
    </row>
    <row r="7" spans="2:23">
      <c r="G7" s="888" t="s">
        <v>41</v>
      </c>
      <c r="H7" s="889">
        <v>15</v>
      </c>
      <c r="I7" s="889">
        <v>15</v>
      </c>
      <c r="J7" s="887">
        <f t="shared" ref="J7:J20" si="0">+IF($H$2=1,H7,I7)</f>
        <v>15</v>
      </c>
      <c r="K7" s="890">
        <f>+IF(H2=1,H7,I7)</f>
        <v>15</v>
      </c>
      <c r="L7" s="2192">
        <f>+IF(H2=1,H7/3,I7/3)</f>
        <v>5</v>
      </c>
      <c r="M7" s="2192">
        <f>+IF(K2=0,ROUNDDOWN(N2/2,0),2*L7)</f>
        <v>10</v>
      </c>
      <c r="N7" s="2195">
        <v>1</v>
      </c>
      <c r="O7" s="2195">
        <v>1</v>
      </c>
      <c r="Q7" s="694"/>
      <c r="R7" s="882"/>
      <c r="S7" s="694"/>
      <c r="T7" s="694"/>
      <c r="U7" s="694"/>
      <c r="V7" s="877"/>
      <c r="W7" s="877"/>
    </row>
    <row r="8" spans="2:23">
      <c r="G8" s="888" t="s">
        <v>916</v>
      </c>
      <c r="H8" s="891">
        <f>+IF(H7&gt;=18,I46,IF(H7&gt;=15,I44,IF(H7&gt;=12,I42,IF(H7&gt;=9,I40,IF(H7&gt;=6,I38,IF(H7&gt;=3,I36,0))))))</f>
        <v>3</v>
      </c>
      <c r="I8" s="891">
        <f>+IF(I7&gt;=3,I59,IF(I7&gt;=2,I57,IF(I7&gt;=1,I55,0)))</f>
        <v>1</v>
      </c>
      <c r="J8" s="887">
        <f t="shared" si="0"/>
        <v>1</v>
      </c>
      <c r="K8" s="892"/>
      <c r="L8" s="2193"/>
      <c r="M8" s="2193"/>
      <c r="N8" s="2196"/>
      <c r="O8" s="2196"/>
      <c r="Q8" s="694"/>
      <c r="R8" s="694"/>
      <c r="S8" s="694"/>
      <c r="T8" s="694"/>
      <c r="U8" s="694"/>
      <c r="V8" s="877"/>
      <c r="W8" s="877"/>
    </row>
    <row r="9" spans="2:23">
      <c r="G9" s="888" t="s">
        <v>917</v>
      </c>
      <c r="H9" s="891">
        <f>+IF(H7&gt;=18,J46,IF(H7&gt;=15,J44,IF(H7&gt;=12,J42,IF(H7&gt;=9,J40,IF(H7&gt;=6,J38,IF(H7&gt;=3,J36,0))))))</f>
        <v>3</v>
      </c>
      <c r="I9" s="891">
        <f>+IF(I7&gt;=3,J59,IF(I7&gt;=2,J57,IF(I7&gt;=1,J55,0)))</f>
        <v>1</v>
      </c>
      <c r="J9" s="887">
        <f t="shared" si="0"/>
        <v>1</v>
      </c>
      <c r="K9" s="892"/>
      <c r="L9" s="2193"/>
      <c r="M9" s="2193"/>
      <c r="N9" s="2196"/>
      <c r="O9" s="2196"/>
      <c r="Q9" s="694"/>
      <c r="R9" s="694"/>
      <c r="S9" s="694"/>
      <c r="T9" s="694"/>
      <c r="U9" s="694"/>
      <c r="V9" s="877"/>
      <c r="W9" s="877"/>
    </row>
    <row r="10" spans="2:23">
      <c r="G10" s="888" t="s">
        <v>918</v>
      </c>
      <c r="H10" s="891">
        <f>+IF(H7&gt;=18,K46,IF(H7&gt;=15,K44,IF(H7&gt;=12,K42,IF(H7&gt;=9,K40,IF(H7&gt;=6,K38,IF(H7&gt;=3,K36,0))))))</f>
        <v>6</v>
      </c>
      <c r="I10" s="891">
        <f>+IF(I7&gt;=3,K59,IF(I7&gt;=2,K57,IF(I7&gt;=1,K55,0)))</f>
        <v>2</v>
      </c>
      <c r="J10" s="887">
        <f t="shared" si="0"/>
        <v>2</v>
      </c>
      <c r="K10" s="892"/>
      <c r="L10" s="2193"/>
      <c r="M10" s="2193"/>
      <c r="N10" s="2196"/>
      <c r="O10" s="2196"/>
      <c r="Q10" s="694"/>
      <c r="R10" s="694"/>
      <c r="S10" s="694"/>
      <c r="T10" s="694"/>
      <c r="U10" s="694"/>
      <c r="V10" s="877"/>
      <c r="W10" s="877"/>
    </row>
    <row r="11" spans="2:23">
      <c r="G11" s="888" t="s">
        <v>17</v>
      </c>
      <c r="H11" s="891">
        <f>+IF(H7&gt;=18,L46,IF(H7&gt;=15,L44,IF(H7&gt;=12,L42,IF(H7&gt;=9,L40,IF(H7&gt;=6,L38,IF(H7&gt;=3,L36,0))))))</f>
        <v>1</v>
      </c>
      <c r="I11" s="891">
        <f>+IF(I7&gt;=3,L59,IF(I7&gt;=2,L57,IF(I7&gt;=1,L55,0)))</f>
        <v>1</v>
      </c>
      <c r="J11" s="887">
        <f t="shared" si="0"/>
        <v>1</v>
      </c>
      <c r="K11" s="892"/>
      <c r="L11" s="2193"/>
      <c r="M11" s="2193"/>
      <c r="N11" s="2196"/>
      <c r="O11" s="2196"/>
      <c r="Q11" s="694"/>
      <c r="R11" s="694"/>
      <c r="S11" s="694"/>
      <c r="T11" s="694"/>
      <c r="U11" s="694"/>
      <c r="V11" s="877"/>
      <c r="W11" s="877"/>
    </row>
    <row r="12" spans="2:23">
      <c r="G12" s="888" t="s">
        <v>18</v>
      </c>
      <c r="H12" s="891">
        <f>+IF(H7&gt;=18,M46,IF(H7&gt;=15,M44,IF(H7&gt;=12,M42,IF(H7&gt;=9,M40,IF(H7&gt;=6,M38,IF(H7&gt;=3,M36,0))))))</f>
        <v>1</v>
      </c>
      <c r="I12" s="891"/>
      <c r="J12" s="887">
        <f t="shared" si="0"/>
        <v>0</v>
      </c>
      <c r="K12" s="892"/>
      <c r="L12" s="2193"/>
      <c r="M12" s="2193"/>
      <c r="N12" s="2196"/>
      <c r="O12" s="2196"/>
      <c r="Q12" s="694"/>
      <c r="R12" s="694"/>
      <c r="S12" s="694"/>
      <c r="T12" s="694"/>
      <c r="U12" s="694"/>
      <c r="V12" s="877"/>
      <c r="W12" s="877"/>
    </row>
    <row r="13" spans="2:23">
      <c r="G13" s="888" t="s">
        <v>43</v>
      </c>
      <c r="H13" s="891">
        <f>+IF(H7&gt;=18,N46,IF(H7&gt;=15,N44,IF(H7&gt;=12,N42,IF(H7&gt;=9,N40,IF(H7&gt;=6,N38,IF(H7&gt;=3,N36,0))))))</f>
        <v>1</v>
      </c>
      <c r="I13" s="891"/>
      <c r="J13" s="887">
        <f t="shared" si="0"/>
        <v>0</v>
      </c>
      <c r="K13" s="892"/>
      <c r="L13" s="2193"/>
      <c r="M13" s="2193"/>
      <c r="N13" s="2196"/>
      <c r="O13" s="2196"/>
      <c r="Q13" s="694"/>
      <c r="R13" s="694"/>
      <c r="S13" s="694"/>
      <c r="T13" s="694"/>
      <c r="U13" s="694"/>
      <c r="V13" s="877"/>
      <c r="W13" s="877"/>
    </row>
    <row r="14" spans="2:23">
      <c r="G14" s="888" t="s">
        <v>44</v>
      </c>
      <c r="H14" s="891">
        <f>+IF(H7&gt;=18,O46,IF(H7&gt;=15,O44,IF(H7&gt;=12,O42,IF(H7&gt;=9,O40,IF(H7&gt;=6,O38,IF(H7&gt;=3,O36,0))))))</f>
        <v>1</v>
      </c>
      <c r="I14" s="891">
        <f>+IF(I7&gt;=3,M59,IF(I7&gt;=2,M57,IF(I7&gt;=1,M55,0)))</f>
        <v>1</v>
      </c>
      <c r="J14" s="887">
        <f t="shared" si="0"/>
        <v>1</v>
      </c>
      <c r="K14" s="892"/>
      <c r="L14" s="2193"/>
      <c r="M14" s="2193"/>
      <c r="N14" s="2196"/>
      <c r="O14" s="2196"/>
      <c r="Q14" s="694"/>
      <c r="R14" s="694"/>
      <c r="S14" s="694"/>
      <c r="T14" s="877"/>
      <c r="U14" s="877"/>
      <c r="V14" s="877"/>
      <c r="W14" s="877"/>
    </row>
    <row r="15" spans="2:23">
      <c r="G15" s="888" t="s">
        <v>919</v>
      </c>
      <c r="H15" s="891">
        <f>+IF(H7&gt;=18,P46,IF(H7&gt;=15,P44,IF(H7&gt;=12,P42,IF(H7&gt;=9,P40,IF(H7&gt;=6,P38,IF(H7&gt;=3,P36,0))))))</f>
        <v>2</v>
      </c>
      <c r="I15" s="891">
        <f>+IF(I7&gt;=3,N59,IF(I7&gt;=2,N57,IF(I7&gt;=1,N55,0)))</f>
        <v>1</v>
      </c>
      <c r="J15" s="887">
        <f t="shared" si="0"/>
        <v>1</v>
      </c>
      <c r="K15" s="892"/>
      <c r="L15" s="2193"/>
      <c r="M15" s="2193"/>
      <c r="N15" s="2196"/>
      <c r="O15" s="2196"/>
      <c r="Q15" s="694"/>
      <c r="R15" s="694"/>
      <c r="S15" s="694"/>
      <c r="T15" s="877"/>
      <c r="U15" s="877"/>
      <c r="V15" s="877"/>
      <c r="W15" s="877"/>
    </row>
    <row r="16" spans="2:23">
      <c r="G16" s="888" t="s">
        <v>19</v>
      </c>
      <c r="H16" s="891">
        <f>+IF(H7&gt;=18,Q46,IF(H7&gt;=15,Q44,IF(H7&gt;=12,Q42,IF(H7&gt;=9,Q40,IF(H7&gt;=6,Q38,IF(H7&gt;=3,Q36,0))))))</f>
        <v>2</v>
      </c>
      <c r="I16" s="891">
        <f>+IF(I7&gt;=3,O59,IF(I7&gt;=2,O57,IF(I7&gt;=1,O55,0)))</f>
        <v>1</v>
      </c>
      <c r="J16" s="887">
        <f t="shared" si="0"/>
        <v>1</v>
      </c>
      <c r="K16" s="892"/>
      <c r="L16" s="2193"/>
      <c r="M16" s="2193"/>
      <c r="N16" s="2196"/>
      <c r="O16" s="2196"/>
      <c r="Q16" s="694"/>
      <c r="R16" s="694"/>
      <c r="S16" s="694"/>
      <c r="T16" s="877"/>
      <c r="U16" s="877"/>
      <c r="V16" s="877"/>
      <c r="W16" s="877"/>
    </row>
    <row r="17" spans="7:23">
      <c r="G17" s="888" t="s">
        <v>421</v>
      </c>
      <c r="H17" s="891">
        <f>+IF(H7&gt;=18,R46,IF(H7&gt;=15,R44,IF(H7&gt;=12,R42,IF(H7&gt;=9,R40,IF(H7&gt;=6,R38,IF(H7&gt;=3,R36,0))))))</f>
        <v>1</v>
      </c>
      <c r="I17" s="891"/>
      <c r="J17" s="887">
        <f t="shared" si="0"/>
        <v>0</v>
      </c>
      <c r="K17" s="891"/>
      <c r="L17" s="2193"/>
      <c r="M17" s="2193"/>
      <c r="N17" s="2196"/>
      <c r="O17" s="2196"/>
      <c r="Q17" s="694"/>
      <c r="R17" s="694"/>
      <c r="S17" s="694"/>
      <c r="T17" s="877"/>
      <c r="U17" s="877"/>
      <c r="V17" s="877"/>
      <c r="W17" s="877"/>
    </row>
    <row r="18" spans="7:23">
      <c r="G18" s="888" t="s">
        <v>20</v>
      </c>
      <c r="H18" s="891">
        <f>+IF(H7&gt;=18,U46,IF(H7&gt;=15,U44,IF(H7&gt;=12,U42,IF(H7&gt;=9,U40,IF(H7&gt;=6,U38,IF(H7&gt;=3,U36,0))))))</f>
        <v>2</v>
      </c>
      <c r="I18" s="891">
        <f>+IF(I7&gt;=3,P59,IF(I7&gt;=2,P57,IF(I7&gt;=1,P55,0)))</f>
        <v>1</v>
      </c>
      <c r="J18" s="887">
        <f t="shared" si="0"/>
        <v>1</v>
      </c>
      <c r="K18" s="892"/>
      <c r="L18" s="2193"/>
      <c r="M18" s="2193"/>
      <c r="N18" s="2196"/>
      <c r="O18" s="2196"/>
      <c r="Q18" s="694"/>
      <c r="R18" s="694"/>
      <c r="S18" s="694"/>
      <c r="T18" s="877"/>
      <c r="U18" s="877"/>
      <c r="V18" s="877"/>
      <c r="W18" s="877"/>
    </row>
    <row r="19" spans="7:23">
      <c r="G19" s="888" t="s">
        <v>920</v>
      </c>
      <c r="H19" s="893"/>
      <c r="I19" s="891">
        <v>1</v>
      </c>
      <c r="J19" s="887">
        <f t="shared" si="0"/>
        <v>1</v>
      </c>
      <c r="K19" s="892"/>
      <c r="L19" s="2193"/>
      <c r="M19" s="2193"/>
      <c r="N19" s="2196"/>
      <c r="O19" s="2196"/>
      <c r="Q19" s="694"/>
      <c r="R19" s="694"/>
      <c r="S19" s="694"/>
      <c r="T19" s="877"/>
      <c r="U19" s="877"/>
      <c r="V19" s="877"/>
      <c r="W19" s="877"/>
    </row>
    <row r="20" spans="7:23">
      <c r="G20" s="888" t="s">
        <v>921</v>
      </c>
      <c r="H20" s="893"/>
      <c r="I20" s="891">
        <v>3</v>
      </c>
      <c r="J20" s="887">
        <f t="shared" si="0"/>
        <v>3</v>
      </c>
      <c r="K20" s="894"/>
      <c r="L20" s="2194"/>
      <c r="M20" s="2194"/>
      <c r="N20" s="2197"/>
      <c r="O20" s="2197"/>
      <c r="Q20" s="693"/>
      <c r="R20" s="879"/>
      <c r="S20" s="877"/>
      <c r="T20" s="877"/>
      <c r="U20" s="877"/>
      <c r="V20" s="877"/>
      <c r="W20" s="877"/>
    </row>
    <row r="21" spans="7:23">
      <c r="G21" s="877"/>
      <c r="H21" s="878"/>
      <c r="I21" s="878"/>
      <c r="J21" s="693"/>
      <c r="K21" s="693"/>
      <c r="L21" s="693"/>
      <c r="M21" s="693"/>
      <c r="N21" s="693"/>
      <c r="O21" s="693"/>
      <c r="P21" s="693"/>
      <c r="Q21" s="693"/>
      <c r="R21" s="879"/>
      <c r="S21" s="877"/>
      <c r="T21" s="877"/>
      <c r="U21" s="877"/>
      <c r="V21" s="877"/>
      <c r="W21" s="877"/>
    </row>
    <row r="22" spans="7:23">
      <c r="G22" s="877"/>
      <c r="H22" s="878"/>
      <c r="I22" s="878"/>
      <c r="J22" s="693"/>
      <c r="K22" s="693"/>
      <c r="L22" s="693"/>
      <c r="M22" s="693"/>
      <c r="N22" s="693"/>
      <c r="O22" s="693"/>
      <c r="P22" s="693"/>
      <c r="Q22" s="693"/>
      <c r="R22" s="879"/>
      <c r="S22" s="877"/>
      <c r="T22" s="877"/>
      <c r="U22" s="877"/>
      <c r="V22" s="877"/>
      <c r="W22" s="877"/>
    </row>
    <row r="23" spans="7:23">
      <c r="G23" s="877"/>
      <c r="H23" s="694"/>
      <c r="I23" s="878"/>
      <c r="J23" s="693"/>
      <c r="K23" s="693"/>
      <c r="L23" s="693"/>
      <c r="M23" s="693"/>
      <c r="N23" s="693"/>
      <c r="O23" s="693"/>
      <c r="P23" s="693"/>
      <c r="Q23" s="693"/>
      <c r="R23" s="879"/>
      <c r="S23" s="877"/>
      <c r="T23" s="877"/>
      <c r="U23" s="877"/>
      <c r="V23" s="877"/>
      <c r="W23" s="877"/>
    </row>
    <row r="24" spans="7:23">
      <c r="G24" s="877"/>
      <c r="H24" s="878"/>
      <c r="I24" s="878"/>
      <c r="J24" s="693"/>
      <c r="K24" s="693"/>
      <c r="L24" s="693"/>
      <c r="M24" s="693"/>
      <c r="N24" s="693"/>
      <c r="O24" s="693"/>
      <c r="P24" s="693"/>
      <c r="Q24" s="693"/>
      <c r="R24" s="879"/>
      <c r="S24" s="877"/>
      <c r="T24" s="877"/>
      <c r="U24" s="877"/>
      <c r="V24" s="877"/>
      <c r="W24" s="877"/>
    </row>
    <row r="25" spans="7:23">
      <c r="G25" s="877"/>
      <c r="H25" s="878"/>
      <c r="I25" s="878"/>
      <c r="J25" s="693"/>
      <c r="K25" s="693"/>
      <c r="L25" s="693"/>
      <c r="M25" s="693"/>
      <c r="N25" s="693"/>
      <c r="O25" s="693"/>
      <c r="P25" s="693"/>
      <c r="Q25" s="693"/>
      <c r="R25" s="879"/>
      <c r="S25" s="877"/>
      <c r="T25" s="877"/>
      <c r="U25" s="877"/>
      <c r="V25" s="877"/>
      <c r="W25" s="877"/>
    </row>
    <row r="26" spans="7:23">
      <c r="G26" s="877"/>
      <c r="H26" s="878"/>
      <c r="I26" s="878"/>
      <c r="J26" s="693"/>
      <c r="K26" s="693"/>
      <c r="L26" s="693"/>
      <c r="M26" s="693"/>
      <c r="N26" s="693"/>
      <c r="O26" s="693"/>
      <c r="P26" s="693"/>
      <c r="Q26" s="693"/>
      <c r="R26" s="879"/>
      <c r="S26" s="877"/>
      <c r="T26" s="877"/>
      <c r="U26" s="877"/>
      <c r="V26" s="877"/>
      <c r="W26" s="877"/>
    </row>
    <row r="27" spans="7:23">
      <c r="G27" s="895"/>
      <c r="H27" s="878"/>
      <c r="I27" s="878"/>
      <c r="J27" s="693"/>
      <c r="K27" s="693"/>
      <c r="L27" s="693"/>
      <c r="M27" s="693"/>
      <c r="N27" s="693"/>
      <c r="O27" s="693"/>
      <c r="P27" s="693"/>
      <c r="Q27" s="693"/>
      <c r="R27" s="879"/>
      <c r="S27" s="877"/>
      <c r="T27" s="877"/>
      <c r="U27" s="877"/>
      <c r="V27" s="877"/>
      <c r="W27" s="877"/>
    </row>
    <row r="28" spans="7:23">
      <c r="G28" s="877"/>
      <c r="H28" s="878"/>
      <c r="I28" s="878"/>
      <c r="J28" s="693"/>
      <c r="K28" s="693"/>
      <c r="L28" s="693"/>
      <c r="M28" s="693"/>
      <c r="N28" s="693"/>
      <c r="O28" s="693"/>
      <c r="P28" s="693"/>
      <c r="Q28" s="693"/>
      <c r="R28" s="879"/>
      <c r="S28" s="877"/>
      <c r="T28" s="877"/>
      <c r="U28" s="877"/>
      <c r="V28" s="877"/>
      <c r="W28" s="877"/>
    </row>
    <row r="29" spans="7:23">
      <c r="G29" s="877"/>
      <c r="H29" s="878"/>
      <c r="I29" s="878"/>
      <c r="J29" s="693"/>
      <c r="K29" s="693"/>
      <c r="L29" s="693"/>
      <c r="M29" s="693"/>
      <c r="N29" s="693"/>
      <c r="O29" s="693"/>
      <c r="P29" s="693"/>
      <c r="Q29" s="693"/>
      <c r="R29" s="879"/>
      <c r="S29" s="877"/>
      <c r="T29" s="877"/>
      <c r="U29" s="877"/>
      <c r="V29" s="877"/>
      <c r="W29" s="877"/>
    </row>
    <row r="30" spans="7:23">
      <c r="G30" s="877"/>
      <c r="H30" s="878"/>
      <c r="I30" s="878"/>
      <c r="J30" s="693"/>
      <c r="K30" s="693"/>
      <c r="L30" s="693"/>
      <c r="M30" s="693"/>
      <c r="N30" s="693"/>
      <c r="O30" s="693"/>
      <c r="P30" s="693"/>
      <c r="Q30" s="693"/>
      <c r="R30" s="879"/>
      <c r="S30" s="877"/>
      <c r="T30" s="877"/>
      <c r="U30" s="877"/>
      <c r="V30" s="877"/>
      <c r="W30" s="877"/>
    </row>
    <row r="31" spans="7:23">
      <c r="G31" s="877"/>
      <c r="H31" s="896"/>
      <c r="I31" s="878"/>
      <c r="J31" s="693"/>
      <c r="K31" s="693"/>
      <c r="L31" s="693"/>
      <c r="M31" s="693"/>
      <c r="N31" s="693"/>
      <c r="O31" s="693"/>
      <c r="P31" s="693"/>
      <c r="Q31" s="693"/>
      <c r="R31" s="879"/>
      <c r="S31" s="877"/>
      <c r="T31" s="877"/>
      <c r="U31" s="877"/>
      <c r="V31" s="877"/>
      <c r="W31" s="877"/>
    </row>
    <row r="32" spans="7:23">
      <c r="G32" s="877"/>
      <c r="H32" s="878"/>
      <c r="I32" s="878"/>
      <c r="J32" s="693"/>
      <c r="K32" s="693"/>
      <c r="L32" s="693"/>
      <c r="M32" s="693"/>
      <c r="N32" s="693"/>
      <c r="O32" s="693"/>
      <c r="P32" s="693"/>
      <c r="Q32" s="693"/>
      <c r="R32" s="879"/>
      <c r="S32" s="877"/>
      <c r="T32" s="877"/>
      <c r="U32" s="877"/>
      <c r="V32" s="877"/>
      <c r="W32" s="877"/>
    </row>
    <row r="33" spans="7:25">
      <c r="G33" s="877"/>
      <c r="H33" s="878"/>
      <c r="I33" s="878"/>
      <c r="J33" s="693"/>
      <c r="K33" s="693"/>
      <c r="L33" s="693"/>
      <c r="M33" s="693"/>
      <c r="N33" s="693"/>
      <c r="O33" s="693"/>
      <c r="P33" s="693"/>
      <c r="Q33" s="693"/>
      <c r="R33" s="879"/>
      <c r="S33" s="877"/>
      <c r="T33" s="877"/>
      <c r="U33" s="877"/>
      <c r="V33" s="877"/>
      <c r="W33" s="877"/>
    </row>
    <row r="34" spans="7:25" ht="15">
      <c r="G34" s="2191" t="s">
        <v>1250</v>
      </c>
      <c r="H34" s="2191"/>
      <c r="I34" s="2191"/>
      <c r="J34" s="897"/>
      <c r="K34" s="897"/>
      <c r="L34" s="897"/>
      <c r="M34" s="897"/>
      <c r="N34" s="897"/>
      <c r="O34" s="897"/>
      <c r="P34" s="897"/>
      <c r="Q34" s="897"/>
      <c r="R34" s="897"/>
      <c r="S34" s="897"/>
      <c r="T34" s="897"/>
      <c r="U34" s="912"/>
      <c r="V34" s="2198" t="s">
        <v>1251</v>
      </c>
      <c r="W34" s="2198"/>
      <c r="X34" s="2198"/>
      <c r="Y34" s="897"/>
    </row>
    <row r="35" spans="7:25">
      <c r="G35" s="900" t="s">
        <v>40</v>
      </c>
      <c r="H35" s="901" t="s">
        <v>41</v>
      </c>
      <c r="I35" s="902" t="s">
        <v>916</v>
      </c>
      <c r="J35" s="901" t="s">
        <v>917</v>
      </c>
      <c r="K35" s="903" t="s">
        <v>918</v>
      </c>
      <c r="L35" s="903" t="s">
        <v>17</v>
      </c>
      <c r="M35" s="902" t="s">
        <v>18</v>
      </c>
      <c r="N35" s="902" t="s">
        <v>43</v>
      </c>
      <c r="O35" s="903" t="s">
        <v>44</v>
      </c>
      <c r="P35" s="903" t="s">
        <v>919</v>
      </c>
      <c r="Q35" s="902" t="s">
        <v>19</v>
      </c>
      <c r="R35" s="902" t="s">
        <v>421</v>
      </c>
      <c r="S35" s="902" t="s">
        <v>45</v>
      </c>
      <c r="T35" s="902" t="s">
        <v>1252</v>
      </c>
      <c r="U35" s="903" t="s">
        <v>20</v>
      </c>
      <c r="V35" s="901" t="s">
        <v>1253</v>
      </c>
      <c r="W35" s="902" t="s">
        <v>1254</v>
      </c>
      <c r="X35" s="902" t="s">
        <v>1255</v>
      </c>
      <c r="Y35" s="902" t="s">
        <v>1256</v>
      </c>
    </row>
    <row r="36" spans="7:25">
      <c r="G36" s="904" t="s">
        <v>46</v>
      </c>
      <c r="H36" s="905">
        <v>3</v>
      </c>
      <c r="I36" s="905">
        <v>1</v>
      </c>
      <c r="J36" s="905">
        <v>1</v>
      </c>
      <c r="K36" s="905">
        <v>1</v>
      </c>
      <c r="L36" s="905">
        <v>1</v>
      </c>
      <c r="M36" s="905">
        <v>1</v>
      </c>
      <c r="N36" s="905">
        <v>1</v>
      </c>
      <c r="O36" s="905">
        <v>1</v>
      </c>
      <c r="P36" s="905">
        <v>1</v>
      </c>
      <c r="Q36" s="905">
        <v>1</v>
      </c>
      <c r="R36" s="905">
        <v>1</v>
      </c>
      <c r="S36" s="905"/>
      <c r="T36" s="905"/>
      <c r="U36" s="905">
        <v>1</v>
      </c>
      <c r="V36" s="905"/>
      <c r="W36" s="905"/>
      <c r="X36" s="905"/>
      <c r="Y36" s="905"/>
    </row>
    <row r="37" spans="7:25">
      <c r="G37" s="906" t="s">
        <v>48</v>
      </c>
      <c r="H37" s="907">
        <v>177</v>
      </c>
      <c r="I37" s="907">
        <v>50</v>
      </c>
      <c r="J37" s="907">
        <v>70</v>
      </c>
      <c r="K37" s="907">
        <v>12</v>
      </c>
      <c r="L37" s="907">
        <v>12</v>
      </c>
      <c r="M37" s="907">
        <v>6</v>
      </c>
      <c r="N37" s="907">
        <v>6</v>
      </c>
      <c r="O37" s="907">
        <v>3</v>
      </c>
      <c r="P37" s="907">
        <v>6</v>
      </c>
      <c r="Q37" s="907">
        <v>20</v>
      </c>
      <c r="R37" s="907">
        <v>4</v>
      </c>
      <c r="S37" s="907">
        <v>0</v>
      </c>
      <c r="T37" s="907">
        <v>0</v>
      </c>
      <c r="U37" s="907">
        <v>9</v>
      </c>
      <c r="V37" s="907"/>
      <c r="W37" s="907"/>
      <c r="X37" s="907"/>
      <c r="Y37" s="907">
        <v>774</v>
      </c>
    </row>
    <row r="38" spans="7:25">
      <c r="G38" s="904" t="s">
        <v>49</v>
      </c>
      <c r="H38" s="905">
        <v>6</v>
      </c>
      <c r="I38" s="905">
        <v>2</v>
      </c>
      <c r="J38" s="905">
        <v>2</v>
      </c>
      <c r="K38" s="905">
        <v>2</v>
      </c>
      <c r="L38" s="905">
        <v>1</v>
      </c>
      <c r="M38" s="905">
        <v>1</v>
      </c>
      <c r="N38" s="905">
        <v>1</v>
      </c>
      <c r="O38" s="905">
        <v>1</v>
      </c>
      <c r="P38" s="905">
        <v>1</v>
      </c>
      <c r="Q38" s="905">
        <v>1</v>
      </c>
      <c r="R38" s="905">
        <v>1</v>
      </c>
      <c r="S38" s="905"/>
      <c r="T38" s="905"/>
      <c r="U38" s="905">
        <v>1</v>
      </c>
      <c r="V38" s="905"/>
      <c r="W38" s="905"/>
      <c r="X38" s="905"/>
      <c r="Y38" s="905"/>
    </row>
    <row r="39" spans="7:25">
      <c r="G39" s="906" t="s">
        <v>1257</v>
      </c>
      <c r="H39" s="907">
        <v>354</v>
      </c>
      <c r="I39" s="907">
        <v>100</v>
      </c>
      <c r="J39" s="907">
        <v>140</v>
      </c>
      <c r="K39" s="907">
        <v>24</v>
      </c>
      <c r="L39" s="907">
        <v>12</v>
      </c>
      <c r="M39" s="907">
        <v>6</v>
      </c>
      <c r="N39" s="907">
        <v>6</v>
      </c>
      <c r="O39" s="907">
        <v>3</v>
      </c>
      <c r="P39" s="907">
        <v>6</v>
      </c>
      <c r="Q39" s="907">
        <v>20</v>
      </c>
      <c r="R39" s="907">
        <v>4</v>
      </c>
      <c r="S39" s="907">
        <v>0</v>
      </c>
      <c r="T39" s="907">
        <v>0</v>
      </c>
      <c r="U39" s="907">
        <v>9</v>
      </c>
      <c r="V39" s="907"/>
      <c r="W39" s="907"/>
      <c r="X39" s="907"/>
      <c r="Y39" s="907">
        <v>1398</v>
      </c>
    </row>
    <row r="40" spans="7:25">
      <c r="G40" s="904" t="s">
        <v>51</v>
      </c>
      <c r="H40" s="905">
        <v>9</v>
      </c>
      <c r="I40" s="905">
        <v>2</v>
      </c>
      <c r="J40" s="905">
        <v>2</v>
      </c>
      <c r="K40" s="905">
        <v>4</v>
      </c>
      <c r="L40" s="905">
        <v>1</v>
      </c>
      <c r="M40" s="905">
        <v>1</v>
      </c>
      <c r="N40" s="905">
        <v>1</v>
      </c>
      <c r="O40" s="905">
        <v>1</v>
      </c>
      <c r="P40" s="905">
        <v>1</v>
      </c>
      <c r="Q40" s="905">
        <v>1</v>
      </c>
      <c r="R40" s="905">
        <v>1</v>
      </c>
      <c r="S40" s="905"/>
      <c r="T40" s="905"/>
      <c r="U40" s="905">
        <v>1</v>
      </c>
      <c r="V40" s="905"/>
      <c r="W40" s="905"/>
      <c r="X40" s="905"/>
      <c r="Y40" s="905"/>
    </row>
    <row r="41" spans="7:25">
      <c r="G41" s="906" t="s">
        <v>1257</v>
      </c>
      <c r="H41" s="907">
        <v>531</v>
      </c>
      <c r="I41" s="907">
        <v>100</v>
      </c>
      <c r="J41" s="907">
        <v>140</v>
      </c>
      <c r="K41" s="907">
        <v>48</v>
      </c>
      <c r="L41" s="907">
        <v>12</v>
      </c>
      <c r="M41" s="907">
        <v>6</v>
      </c>
      <c r="N41" s="907">
        <v>6</v>
      </c>
      <c r="O41" s="907">
        <v>3</v>
      </c>
      <c r="P41" s="907">
        <v>6</v>
      </c>
      <c r="Q41" s="907">
        <v>20</v>
      </c>
      <c r="R41" s="907">
        <v>4</v>
      </c>
      <c r="S41" s="907">
        <v>0</v>
      </c>
      <c r="T41" s="907">
        <v>0</v>
      </c>
      <c r="U41" s="907">
        <v>9</v>
      </c>
      <c r="V41" s="907"/>
      <c r="W41" s="907"/>
      <c r="X41" s="907"/>
      <c r="Y41" s="907">
        <v>1800</v>
      </c>
    </row>
    <row r="42" spans="7:25">
      <c r="G42" s="904" t="s">
        <v>53</v>
      </c>
      <c r="H42" s="905">
        <v>12</v>
      </c>
      <c r="I42" s="905">
        <v>3</v>
      </c>
      <c r="J42" s="905">
        <v>3</v>
      </c>
      <c r="K42" s="905">
        <v>5</v>
      </c>
      <c r="L42" s="905">
        <v>1</v>
      </c>
      <c r="M42" s="905">
        <v>1</v>
      </c>
      <c r="N42" s="905">
        <v>1</v>
      </c>
      <c r="O42" s="905">
        <v>1</v>
      </c>
      <c r="P42" s="905">
        <v>1</v>
      </c>
      <c r="Q42" s="905">
        <v>1</v>
      </c>
      <c r="R42" s="905">
        <v>1</v>
      </c>
      <c r="S42" s="905"/>
      <c r="T42" s="905"/>
      <c r="U42" s="905">
        <v>2</v>
      </c>
      <c r="V42" s="905"/>
      <c r="W42" s="905"/>
      <c r="X42" s="905"/>
      <c r="Y42" s="905"/>
    </row>
    <row r="43" spans="7:25">
      <c r="G43" s="906" t="s">
        <v>1257</v>
      </c>
      <c r="H43" s="907">
        <v>708</v>
      </c>
      <c r="I43" s="907">
        <v>150</v>
      </c>
      <c r="J43" s="907">
        <v>210</v>
      </c>
      <c r="K43" s="907">
        <v>60</v>
      </c>
      <c r="L43" s="907">
        <v>12</v>
      </c>
      <c r="M43" s="907">
        <v>6</v>
      </c>
      <c r="N43" s="907">
        <v>6</v>
      </c>
      <c r="O43" s="907">
        <v>3</v>
      </c>
      <c r="P43" s="907">
        <v>6</v>
      </c>
      <c r="Q43" s="907">
        <v>20</v>
      </c>
      <c r="R43" s="907">
        <v>4</v>
      </c>
      <c r="S43" s="907">
        <v>0</v>
      </c>
      <c r="T43" s="907">
        <v>0</v>
      </c>
      <c r="U43" s="907">
        <v>18</v>
      </c>
      <c r="V43" s="907"/>
      <c r="W43" s="907"/>
      <c r="X43" s="907"/>
      <c r="Y43" s="907">
        <v>2442</v>
      </c>
    </row>
    <row r="44" spans="7:25">
      <c r="G44" s="904" t="s">
        <v>54</v>
      </c>
      <c r="H44" s="905">
        <v>15</v>
      </c>
      <c r="I44" s="905">
        <v>3</v>
      </c>
      <c r="J44" s="905">
        <v>3</v>
      </c>
      <c r="K44" s="905">
        <v>6</v>
      </c>
      <c r="L44" s="905">
        <v>1</v>
      </c>
      <c r="M44" s="905">
        <v>1</v>
      </c>
      <c r="N44" s="905">
        <v>1</v>
      </c>
      <c r="O44" s="905">
        <v>1</v>
      </c>
      <c r="P44" s="905">
        <v>2</v>
      </c>
      <c r="Q44" s="905">
        <v>2</v>
      </c>
      <c r="R44" s="905">
        <v>1</v>
      </c>
      <c r="S44" s="905"/>
      <c r="T44" s="905"/>
      <c r="U44" s="905">
        <v>2</v>
      </c>
      <c r="V44" s="905"/>
      <c r="W44" s="905"/>
      <c r="X44" s="905"/>
      <c r="Y44" s="905"/>
    </row>
    <row r="45" spans="7:25">
      <c r="G45" s="906" t="s">
        <v>1257</v>
      </c>
      <c r="H45" s="907">
        <v>885</v>
      </c>
      <c r="I45" s="907">
        <v>150</v>
      </c>
      <c r="J45" s="907">
        <v>210</v>
      </c>
      <c r="K45" s="907">
        <v>72</v>
      </c>
      <c r="L45" s="907">
        <v>12</v>
      </c>
      <c r="M45" s="907">
        <v>6</v>
      </c>
      <c r="N45" s="907">
        <v>6</v>
      </c>
      <c r="O45" s="907">
        <v>3</v>
      </c>
      <c r="P45" s="907">
        <v>12</v>
      </c>
      <c r="Q45" s="907">
        <v>40</v>
      </c>
      <c r="R45" s="907">
        <v>4</v>
      </c>
      <c r="S45" s="907">
        <v>0</v>
      </c>
      <c r="T45" s="907">
        <v>0</v>
      </c>
      <c r="U45" s="907">
        <v>18</v>
      </c>
      <c r="V45" s="907"/>
      <c r="W45" s="907"/>
      <c r="X45" s="907"/>
      <c r="Y45" s="907">
        <v>2908</v>
      </c>
    </row>
    <row r="46" spans="7:25">
      <c r="G46" s="904" t="s">
        <v>55</v>
      </c>
      <c r="H46" s="905">
        <v>18</v>
      </c>
      <c r="I46" s="905">
        <v>4</v>
      </c>
      <c r="J46" s="905">
        <v>4</v>
      </c>
      <c r="K46" s="905">
        <v>8</v>
      </c>
      <c r="L46" s="905">
        <v>1</v>
      </c>
      <c r="M46" s="905">
        <v>1</v>
      </c>
      <c r="N46" s="905">
        <v>1</v>
      </c>
      <c r="O46" s="905">
        <v>1</v>
      </c>
      <c r="P46" s="905">
        <v>2</v>
      </c>
      <c r="Q46" s="905">
        <v>2</v>
      </c>
      <c r="R46" s="905">
        <v>1</v>
      </c>
      <c r="S46" s="905"/>
      <c r="T46" s="905"/>
      <c r="U46" s="905">
        <v>2</v>
      </c>
      <c r="V46" s="905"/>
      <c r="W46" s="905"/>
      <c r="X46" s="905"/>
      <c r="Y46" s="905"/>
    </row>
    <row r="47" spans="7:25">
      <c r="G47" s="906" t="s">
        <v>1257</v>
      </c>
      <c r="H47" s="907">
        <v>1062</v>
      </c>
      <c r="I47" s="907">
        <v>200</v>
      </c>
      <c r="J47" s="907">
        <v>280</v>
      </c>
      <c r="K47" s="907">
        <v>96</v>
      </c>
      <c r="L47" s="907">
        <v>12</v>
      </c>
      <c r="M47" s="907">
        <v>6</v>
      </c>
      <c r="N47" s="907">
        <v>6</v>
      </c>
      <c r="O47" s="907">
        <v>3</v>
      </c>
      <c r="P47" s="907">
        <v>12</v>
      </c>
      <c r="Q47" s="907">
        <v>40</v>
      </c>
      <c r="R47" s="907">
        <v>4</v>
      </c>
      <c r="S47" s="907">
        <v>0</v>
      </c>
      <c r="T47" s="907">
        <v>0</v>
      </c>
      <c r="U47" s="907">
        <v>18</v>
      </c>
      <c r="V47" s="907"/>
      <c r="W47" s="907"/>
      <c r="X47" s="907"/>
      <c r="Y47" s="907">
        <v>3550</v>
      </c>
    </row>
    <row r="48" spans="7:25" ht="15">
      <c r="G48" s="897"/>
      <c r="H48" s="897"/>
      <c r="I48" s="897"/>
      <c r="J48" s="897"/>
      <c r="K48" s="897"/>
      <c r="L48" s="897"/>
      <c r="M48" s="897"/>
      <c r="N48" s="897"/>
      <c r="O48" s="897"/>
      <c r="P48" s="897"/>
      <c r="Q48" s="897"/>
      <c r="R48" s="897"/>
      <c r="S48" s="897"/>
      <c r="T48" s="897"/>
      <c r="U48" s="897"/>
      <c r="V48" s="897"/>
      <c r="W48" s="897"/>
      <c r="X48" s="897"/>
      <c r="Y48" s="897"/>
    </row>
    <row r="49" spans="7:28" ht="15">
      <c r="G49" s="903"/>
      <c r="H49" s="2189" t="s">
        <v>1258</v>
      </c>
      <c r="I49" s="2190"/>
      <c r="J49" s="2190"/>
      <c r="K49" s="897"/>
      <c r="L49" s="897"/>
      <c r="M49" s="897"/>
      <c r="N49" s="897"/>
      <c r="O49" s="897"/>
      <c r="P49" s="897"/>
      <c r="Q49" s="897"/>
      <c r="R49" s="897"/>
      <c r="S49" s="897"/>
      <c r="T49" s="897"/>
      <c r="U49" s="897"/>
      <c r="V49" s="897"/>
      <c r="W49" s="897"/>
      <c r="X49" s="897"/>
      <c r="Y49" s="897"/>
    </row>
    <row r="50" spans="7:28">
      <c r="H50"/>
      <c r="I50"/>
      <c r="J50"/>
      <c r="K50"/>
      <c r="L50"/>
      <c r="M50"/>
      <c r="N50"/>
      <c r="O50"/>
      <c r="P50"/>
      <c r="Q50"/>
      <c r="R50"/>
    </row>
    <row r="51" spans="7:28">
      <c r="H51"/>
      <c r="I51"/>
      <c r="J51"/>
      <c r="K51"/>
      <c r="L51"/>
      <c r="M51"/>
      <c r="N51"/>
      <c r="O51"/>
      <c r="P51"/>
      <c r="Q51"/>
      <c r="R51"/>
    </row>
    <row r="52" spans="7:28">
      <c r="H52"/>
      <c r="I52"/>
      <c r="J52"/>
      <c r="K52"/>
      <c r="L52"/>
      <c r="M52"/>
      <c r="N52"/>
      <c r="O52"/>
      <c r="P52"/>
      <c r="Q52"/>
      <c r="R52"/>
    </row>
    <row r="53" spans="7:28" ht="15">
      <c r="G53" s="2191" t="s">
        <v>1250</v>
      </c>
      <c r="H53" s="2191"/>
      <c r="I53" s="2191"/>
      <c r="J53" s="897"/>
      <c r="K53" s="897"/>
      <c r="L53" s="897"/>
      <c r="M53" s="897"/>
      <c r="N53" s="897"/>
      <c r="O53" s="897"/>
      <c r="P53" s="897"/>
      <c r="Q53" s="897"/>
      <c r="R53" s="897"/>
    </row>
    <row r="54" spans="7:28" ht="45">
      <c r="G54" s="908" t="s">
        <v>40</v>
      </c>
      <c r="H54" s="909" t="s">
        <v>41</v>
      </c>
      <c r="I54" s="910" t="s">
        <v>916</v>
      </c>
      <c r="J54" s="910" t="s">
        <v>917</v>
      </c>
      <c r="K54" s="909" t="s">
        <v>918</v>
      </c>
      <c r="L54" s="909" t="s">
        <v>17</v>
      </c>
      <c r="M54" s="909" t="s">
        <v>44</v>
      </c>
      <c r="N54" s="909" t="s">
        <v>1259</v>
      </c>
      <c r="O54" s="910" t="s">
        <v>19</v>
      </c>
      <c r="P54" s="909" t="s">
        <v>20</v>
      </c>
      <c r="Q54" s="909" t="s">
        <v>1260</v>
      </c>
      <c r="R54" s="911" t="s">
        <v>1261</v>
      </c>
      <c r="S54" s="898"/>
      <c r="T54" s="898"/>
      <c r="U54" s="898"/>
      <c r="V54" s="898"/>
      <c r="W54" s="898"/>
      <c r="X54" s="898"/>
      <c r="Y54" s="898"/>
      <c r="Z54" s="898"/>
      <c r="AA54" s="898"/>
      <c r="AB54" s="898"/>
    </row>
    <row r="55" spans="7:28">
      <c r="G55" s="905" t="s">
        <v>47</v>
      </c>
      <c r="H55" s="905">
        <v>1</v>
      </c>
      <c r="I55" s="905">
        <v>1</v>
      </c>
      <c r="J55" s="905">
        <v>1</v>
      </c>
      <c r="K55" s="905">
        <v>1</v>
      </c>
      <c r="L55" s="905">
        <v>1</v>
      </c>
      <c r="M55" s="905">
        <v>1</v>
      </c>
      <c r="N55" s="905">
        <v>1</v>
      </c>
      <c r="O55" s="905">
        <v>1</v>
      </c>
      <c r="P55" s="905">
        <v>1</v>
      </c>
      <c r="Q55" s="905">
        <v>1</v>
      </c>
      <c r="R55" s="905">
        <v>1</v>
      </c>
    </row>
    <row r="56" spans="7:28">
      <c r="G56" s="907" t="s">
        <v>1257</v>
      </c>
      <c r="H56" s="907">
        <v>40</v>
      </c>
      <c r="I56" s="907">
        <v>70</v>
      </c>
      <c r="J56" s="907">
        <v>56</v>
      </c>
      <c r="K56" s="907">
        <v>12</v>
      </c>
      <c r="L56" s="907">
        <v>12</v>
      </c>
      <c r="M56" s="907">
        <v>3</v>
      </c>
      <c r="N56" s="907">
        <v>6</v>
      </c>
      <c r="O56" s="907">
        <v>20</v>
      </c>
      <c r="P56" s="907">
        <v>9</v>
      </c>
      <c r="Q56" s="907">
        <v>40</v>
      </c>
      <c r="R56" s="907">
        <v>3</v>
      </c>
    </row>
    <row r="57" spans="7:28">
      <c r="G57" s="905" t="s">
        <v>50</v>
      </c>
      <c r="H57" s="905">
        <v>2</v>
      </c>
      <c r="I57" s="905">
        <v>1</v>
      </c>
      <c r="J57" s="905">
        <v>1</v>
      </c>
      <c r="K57" s="905">
        <v>1</v>
      </c>
      <c r="L57" s="905">
        <v>1</v>
      </c>
      <c r="M57" s="905">
        <v>1</v>
      </c>
      <c r="N57" s="905">
        <v>1</v>
      </c>
      <c r="O57" s="905">
        <v>1</v>
      </c>
      <c r="P57" s="905">
        <v>1</v>
      </c>
      <c r="Q57" s="905">
        <v>1</v>
      </c>
      <c r="R57" s="905">
        <v>2</v>
      </c>
    </row>
    <row r="58" spans="7:28">
      <c r="G58" s="907" t="s">
        <v>1257</v>
      </c>
      <c r="H58" s="907">
        <v>80</v>
      </c>
      <c r="I58" s="907">
        <v>70</v>
      </c>
      <c r="J58" s="907">
        <v>56</v>
      </c>
      <c r="K58" s="907">
        <v>12</v>
      </c>
      <c r="L58" s="907">
        <v>12</v>
      </c>
      <c r="M58" s="907">
        <v>3</v>
      </c>
      <c r="N58" s="907">
        <v>6</v>
      </c>
      <c r="O58" s="907">
        <v>20</v>
      </c>
      <c r="P58" s="907">
        <v>9</v>
      </c>
      <c r="Q58" s="907">
        <v>40</v>
      </c>
      <c r="R58" s="907">
        <v>6</v>
      </c>
    </row>
    <row r="59" spans="7:28">
      <c r="G59" s="905" t="s">
        <v>52</v>
      </c>
      <c r="H59" s="905">
        <v>3</v>
      </c>
      <c r="I59" s="905">
        <v>1</v>
      </c>
      <c r="J59" s="905">
        <v>1</v>
      </c>
      <c r="K59" s="905">
        <v>2</v>
      </c>
      <c r="L59" s="905">
        <v>1</v>
      </c>
      <c r="M59" s="905">
        <v>1</v>
      </c>
      <c r="N59" s="905">
        <v>1</v>
      </c>
      <c r="O59" s="905">
        <v>1</v>
      </c>
      <c r="P59" s="905">
        <v>1</v>
      </c>
      <c r="Q59" s="905">
        <v>1</v>
      </c>
      <c r="R59" s="905">
        <v>3</v>
      </c>
    </row>
    <row r="60" spans="7:28">
      <c r="G60" s="907" t="s">
        <v>1257</v>
      </c>
      <c r="H60" s="907">
        <v>120</v>
      </c>
      <c r="I60" s="907">
        <v>70</v>
      </c>
      <c r="J60" s="907">
        <v>56</v>
      </c>
      <c r="K60" s="907">
        <v>24</v>
      </c>
      <c r="L60" s="907">
        <v>12</v>
      </c>
      <c r="M60" s="907">
        <v>3</v>
      </c>
      <c r="N60" s="907">
        <v>6</v>
      </c>
      <c r="O60" s="907">
        <v>20</v>
      </c>
      <c r="P60" s="907">
        <v>9</v>
      </c>
      <c r="Q60" s="907">
        <v>40</v>
      </c>
      <c r="R60" s="907">
        <v>9</v>
      </c>
    </row>
    <row r="61" spans="7:28" ht="15">
      <c r="G61" s="897"/>
      <c r="H61" s="897"/>
      <c r="I61" s="897"/>
      <c r="J61" s="897"/>
      <c r="K61" s="897"/>
      <c r="L61" s="897"/>
      <c r="M61" s="897"/>
      <c r="N61" s="897"/>
      <c r="O61" s="897"/>
      <c r="P61" s="897"/>
      <c r="Q61" s="897"/>
      <c r="R61" s="897"/>
    </row>
    <row r="62" spans="7:28" ht="15">
      <c r="G62" s="901"/>
      <c r="H62" s="2189" t="s">
        <v>1262</v>
      </c>
      <c r="I62" s="2190"/>
      <c r="J62" s="897"/>
      <c r="K62" s="897"/>
      <c r="L62" s="897"/>
      <c r="M62" s="897"/>
      <c r="N62" s="897"/>
      <c r="O62" s="897"/>
      <c r="P62" s="897"/>
      <c r="Q62" s="897"/>
      <c r="R62" s="897"/>
    </row>
    <row r="63" spans="7:28">
      <c r="H63"/>
      <c r="I63"/>
      <c r="J63"/>
      <c r="K63"/>
      <c r="L63"/>
      <c r="M63"/>
      <c r="N63"/>
      <c r="O63"/>
      <c r="P63"/>
      <c r="Q63"/>
      <c r="R63"/>
    </row>
    <row r="64" spans="7:28">
      <c r="H64"/>
      <c r="I64"/>
      <c r="J64"/>
      <c r="K64"/>
      <c r="L64"/>
      <c r="M64"/>
      <c r="N64"/>
      <c r="O64"/>
      <c r="P64"/>
      <c r="Q64"/>
      <c r="R64"/>
    </row>
    <row r="65" spans="8:18">
      <c r="H65"/>
      <c r="I65"/>
      <c r="J65"/>
      <c r="K65"/>
      <c r="L65"/>
      <c r="M65"/>
      <c r="N65"/>
      <c r="O65"/>
      <c r="P65"/>
      <c r="Q65"/>
      <c r="R65"/>
    </row>
  </sheetData>
  <mergeCells count="21">
    <mergeCell ref="B2:E2"/>
    <mergeCell ref="G2:G3"/>
    <mergeCell ref="H2:H3"/>
    <mergeCell ref="J2:J3"/>
    <mergeCell ref="K2:K3"/>
    <mergeCell ref="N7:N20"/>
    <mergeCell ref="O7:O20"/>
    <mergeCell ref="G34:I34"/>
    <mergeCell ref="V34:X34"/>
    <mergeCell ref="N2:N3"/>
    <mergeCell ref="P2:P3"/>
    <mergeCell ref="Q2:Q3"/>
    <mergeCell ref="S2:S3"/>
    <mergeCell ref="T2:T3"/>
    <mergeCell ref="G5:O5"/>
    <mergeCell ref="M2:M3"/>
    <mergeCell ref="H49:J49"/>
    <mergeCell ref="G53:I53"/>
    <mergeCell ref="H62:I62"/>
    <mergeCell ref="L7:L20"/>
    <mergeCell ref="M7:M20"/>
  </mergeCells>
  <conditionalFormatting sqref="H2">
    <cfRule type="cellIs" dxfId="4" priority="5" operator="greaterThan">
      <formula>0</formula>
    </cfRule>
  </conditionalFormatting>
  <conditionalFormatting sqref="N2">
    <cfRule type="cellIs" dxfId="3" priority="4" operator="greaterThan">
      <formula>0</formula>
    </cfRule>
  </conditionalFormatting>
  <conditionalFormatting sqref="K2">
    <cfRule type="cellIs" dxfId="2" priority="3" operator="greaterThan">
      <formula>0</formula>
    </cfRule>
  </conditionalFormatting>
  <conditionalFormatting sqref="Q2:R2">
    <cfRule type="cellIs" dxfId="1" priority="2" operator="greaterThan">
      <formula>0</formula>
    </cfRule>
  </conditionalFormatting>
  <conditionalFormatting sqref="T2">
    <cfRule type="cellIs" dxfId="0" priority="1" operator="greaterThan">
      <formula>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30"/>
  <sheetViews>
    <sheetView workbookViewId="0">
      <selection activeCell="B31" sqref="B31"/>
    </sheetView>
  </sheetViews>
  <sheetFormatPr baseColWidth="10" defaultRowHeight="12.75"/>
  <cols>
    <col min="1" max="2" width="35.140625" customWidth="1"/>
    <col min="3" max="3" width="37.7109375" customWidth="1"/>
    <col min="4" max="4" width="43.140625" customWidth="1"/>
    <col min="5" max="5" width="44.85546875" customWidth="1"/>
    <col min="6" max="6" width="60.7109375" customWidth="1"/>
    <col min="7" max="10" width="39.42578125" customWidth="1"/>
  </cols>
  <sheetData>
    <row r="3" spans="1:6">
      <c r="A3" s="1" t="s">
        <v>1609</v>
      </c>
      <c r="B3" t="s">
        <v>1610</v>
      </c>
      <c r="C3" t="s">
        <v>1611</v>
      </c>
    </row>
    <row r="11" spans="1:6">
      <c r="A11" t="s">
        <v>1604</v>
      </c>
      <c r="B11" t="s">
        <v>1608</v>
      </c>
      <c r="C11" t="s">
        <v>1605</v>
      </c>
      <c r="D11" t="s">
        <v>1612</v>
      </c>
      <c r="E11" t="s">
        <v>1606</v>
      </c>
      <c r="F11" t="s">
        <v>1607</v>
      </c>
    </row>
    <row r="17" spans="1:2">
      <c r="A17" t="s">
        <v>1625</v>
      </c>
      <c r="B17" t="s">
        <v>1644</v>
      </c>
    </row>
    <row r="21" spans="1:2">
      <c r="A21" t="s">
        <v>1676</v>
      </c>
      <c r="B21" t="s">
        <v>1675</v>
      </c>
    </row>
    <row r="24" spans="1:2">
      <c r="A24" t="s">
        <v>1642</v>
      </c>
      <c r="B24" t="s">
        <v>1635</v>
      </c>
    </row>
    <row r="27" spans="1:2">
      <c r="A27" t="s">
        <v>1634</v>
      </c>
      <c r="B27" t="s">
        <v>1641</v>
      </c>
    </row>
    <row r="30" spans="1:2">
      <c r="A30" t="s">
        <v>1640</v>
      </c>
      <c r="B30" t="s">
        <v>1640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0:I16"/>
  <sheetViews>
    <sheetView workbookViewId="0">
      <selection activeCell="D38" sqref="D38"/>
    </sheetView>
  </sheetViews>
  <sheetFormatPr baseColWidth="10" defaultRowHeight="12.75"/>
  <cols>
    <col min="3" max="3" width="34.140625" customWidth="1"/>
    <col min="9" max="9" width="6.42578125" customWidth="1"/>
  </cols>
  <sheetData>
    <row r="10" spans="3:9">
      <c r="C10" s="995" t="s">
        <v>1480</v>
      </c>
      <c r="D10" s="1778" t="s">
        <v>1482</v>
      </c>
      <c r="E10" s="1779"/>
      <c r="F10" s="1779"/>
      <c r="G10" s="1779"/>
      <c r="H10" s="1779"/>
      <c r="I10" s="1780"/>
    </row>
    <row r="11" spans="3:9">
      <c r="C11" s="1596" t="s">
        <v>1609</v>
      </c>
      <c r="D11" s="1772" t="s">
        <v>1604</v>
      </c>
      <c r="E11" s="1773"/>
      <c r="F11" s="1773"/>
      <c r="G11" s="1773"/>
      <c r="H11" s="1773"/>
      <c r="I11" s="1774"/>
    </row>
    <row r="12" spans="3:9">
      <c r="C12" s="1596"/>
      <c r="D12" s="1775" t="s">
        <v>1608</v>
      </c>
      <c r="E12" s="1776"/>
      <c r="F12" s="1776"/>
      <c r="G12" s="1776"/>
      <c r="H12" s="1776"/>
      <c r="I12" s="1777"/>
    </row>
    <row r="13" spans="3:9">
      <c r="C13" s="1596" t="s">
        <v>1610</v>
      </c>
      <c r="D13" s="1772" t="s">
        <v>1605</v>
      </c>
      <c r="E13" s="1773"/>
      <c r="F13" s="1773"/>
      <c r="G13" s="1773"/>
      <c r="H13" s="1773"/>
      <c r="I13" s="1774"/>
    </row>
    <row r="14" spans="3:9">
      <c r="C14" s="1596"/>
      <c r="D14" s="1775" t="s">
        <v>1612</v>
      </c>
      <c r="E14" s="1776"/>
      <c r="F14" s="1776"/>
      <c r="G14" s="1776"/>
      <c r="H14" s="1776"/>
      <c r="I14" s="1777"/>
    </row>
    <row r="15" spans="3:9">
      <c r="C15" s="1596" t="s">
        <v>1611</v>
      </c>
      <c r="D15" s="1772" t="s">
        <v>1606</v>
      </c>
      <c r="E15" s="1773"/>
      <c r="F15" s="1773"/>
      <c r="G15" s="1773"/>
      <c r="H15" s="1773"/>
      <c r="I15" s="1774"/>
    </row>
    <row r="16" spans="3:9">
      <c r="C16" s="1596"/>
      <c r="D16" s="1775" t="s">
        <v>1607</v>
      </c>
      <c r="E16" s="1776"/>
      <c r="F16" s="1776"/>
      <c r="G16" s="1776"/>
      <c r="H16" s="1776"/>
      <c r="I16" s="1777"/>
    </row>
  </sheetData>
  <mergeCells count="10">
    <mergeCell ref="C15:C16"/>
    <mergeCell ref="D15:I15"/>
    <mergeCell ref="D16:I16"/>
    <mergeCell ref="D10:I10"/>
    <mergeCell ref="C11:C12"/>
    <mergeCell ref="D11:I11"/>
    <mergeCell ref="D12:I12"/>
    <mergeCell ref="C13:C14"/>
    <mergeCell ref="D13:I13"/>
    <mergeCell ref="D14:I14"/>
  </mergeCells>
  <conditionalFormatting sqref="C13 C10:D10">
    <cfRule type="expression" dxfId="114" priority="3">
      <formula>$G$52="No"</formula>
    </cfRule>
  </conditionalFormatting>
  <conditionalFormatting sqref="C15">
    <cfRule type="expression" dxfId="113" priority="2">
      <formula>$G$52="No"</formula>
    </cfRule>
  </conditionalFormatting>
  <conditionalFormatting sqref="C11">
    <cfRule type="expression" dxfId="112" priority="1">
      <formula>$G$52="No"</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7:L8"/>
  <sheetViews>
    <sheetView workbookViewId="0">
      <selection activeCell="K40" sqref="K40"/>
    </sheetView>
  </sheetViews>
  <sheetFormatPr baseColWidth="10" defaultRowHeight="12.75"/>
  <sheetData>
    <row r="7" spans="5:12">
      <c r="E7">
        <v>1</v>
      </c>
      <c r="F7">
        <v>2</v>
      </c>
      <c r="G7">
        <v>3</v>
      </c>
      <c r="H7">
        <v>4</v>
      </c>
      <c r="I7">
        <v>5</v>
      </c>
      <c r="J7">
        <v>6</v>
      </c>
      <c r="K7">
        <v>7</v>
      </c>
      <c r="L7">
        <v>8</v>
      </c>
    </row>
    <row r="8" spans="5:12">
      <c r="E8" s="1" t="s">
        <v>1657</v>
      </c>
      <c r="F8" s="1" t="s">
        <v>1658</v>
      </c>
      <c r="G8" s="1" t="s">
        <v>1659</v>
      </c>
      <c r="H8" s="1" t="s">
        <v>1660</v>
      </c>
      <c r="I8" s="1" t="s">
        <v>1661</v>
      </c>
      <c r="J8" s="1" t="s">
        <v>1662</v>
      </c>
      <c r="K8" s="1" t="s">
        <v>1663</v>
      </c>
      <c r="L8" s="1" t="s">
        <v>1664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00B0F0"/>
  </sheetPr>
  <dimension ref="A1:AI45"/>
  <sheetViews>
    <sheetView topLeftCell="A4" workbookViewId="0">
      <selection activeCell="D23" sqref="D23"/>
    </sheetView>
  </sheetViews>
  <sheetFormatPr baseColWidth="10" defaultRowHeight="12.75"/>
  <cols>
    <col min="2" max="2" width="38.42578125" customWidth="1"/>
    <col min="3" max="3" width="58" style="18" customWidth="1"/>
    <col min="4" max="4" width="20.5703125" style="18" customWidth="1"/>
    <col min="5" max="5" width="69.7109375" style="17" customWidth="1"/>
    <col min="6" max="6" width="35.5703125" customWidth="1"/>
    <col min="7" max="7" width="37.5703125" customWidth="1"/>
    <col min="8" max="8" width="65.140625" customWidth="1"/>
    <col min="9" max="9" width="22" style="17" customWidth="1"/>
    <col min="10" max="17" width="22" customWidth="1"/>
  </cols>
  <sheetData>
    <row r="1" spans="1:25">
      <c r="C1" s="10" t="s">
        <v>58</v>
      </c>
      <c r="D1" s="10" t="s">
        <v>1400</v>
      </c>
      <c r="E1" s="922" t="s">
        <v>1323</v>
      </c>
      <c r="F1" s="922" t="s">
        <v>1324</v>
      </c>
      <c r="G1" s="1" t="s">
        <v>1368</v>
      </c>
      <c r="H1" s="922" t="s">
        <v>1334</v>
      </c>
    </row>
    <row r="2" spans="1:25">
      <c r="C2" s="10"/>
      <c r="D2" s="10"/>
      <c r="F2" s="1"/>
      <c r="G2" s="1"/>
      <c r="H2" s="1"/>
      <c r="I2" s="922" t="s">
        <v>1265</v>
      </c>
      <c r="J2" s="1" t="s">
        <v>1266</v>
      </c>
      <c r="K2" s="1" t="s">
        <v>106</v>
      </c>
      <c r="L2" s="922" t="s">
        <v>1264</v>
      </c>
      <c r="M2" s="922" t="s">
        <v>769</v>
      </c>
      <c r="N2" s="922" t="s">
        <v>770</v>
      </c>
      <c r="O2" s="922" t="s">
        <v>786</v>
      </c>
      <c r="P2" s="922" t="s">
        <v>1264</v>
      </c>
      <c r="Q2" s="922" t="s">
        <v>769</v>
      </c>
      <c r="R2" s="922" t="s">
        <v>770</v>
      </c>
      <c r="S2" s="922" t="s">
        <v>1277</v>
      </c>
      <c r="U2" s="922" t="s">
        <v>1267</v>
      </c>
      <c r="V2" s="922" t="s">
        <v>1264</v>
      </c>
      <c r="W2" s="922" t="s">
        <v>769</v>
      </c>
      <c r="X2" s="922" t="s">
        <v>770</v>
      </c>
      <c r="Y2" s="922" t="s">
        <v>1288</v>
      </c>
    </row>
    <row r="3" spans="1:25" ht="24" customHeight="1">
      <c r="A3" s="17">
        <v>1</v>
      </c>
      <c r="B3" s="10" t="s">
        <v>1314</v>
      </c>
      <c r="C3" s="10" t="s">
        <v>1314</v>
      </c>
      <c r="D3" s="10"/>
      <c r="E3" s="1067" t="s">
        <v>1326</v>
      </c>
      <c r="F3" s="1067" t="s">
        <v>1327</v>
      </c>
      <c r="G3" s="20" t="s">
        <v>761</v>
      </c>
      <c r="H3" s="10" t="s">
        <v>1335</v>
      </c>
      <c r="I3" s="17">
        <v>2017</v>
      </c>
      <c r="J3" s="1" t="s">
        <v>1264</v>
      </c>
      <c r="K3" s="1" t="s">
        <v>121</v>
      </c>
      <c r="L3" s="16">
        <v>20</v>
      </c>
      <c r="M3" s="16">
        <v>30</v>
      </c>
      <c r="N3" s="16">
        <v>30</v>
      </c>
      <c r="O3" s="1" t="s">
        <v>1268</v>
      </c>
      <c r="P3" s="16">
        <v>10</v>
      </c>
      <c r="Q3" s="16">
        <v>15</v>
      </c>
      <c r="R3" s="16">
        <v>15</v>
      </c>
      <c r="S3" s="922" t="s">
        <v>910</v>
      </c>
      <c r="U3" s="1" t="s">
        <v>1269</v>
      </c>
      <c r="V3" s="16">
        <v>3</v>
      </c>
      <c r="W3" s="922">
        <v>6</v>
      </c>
      <c r="X3" s="17">
        <v>5</v>
      </c>
      <c r="Y3" s="1" t="s">
        <v>1289</v>
      </c>
    </row>
    <row r="4" spans="1:25">
      <c r="A4" s="17">
        <v>2</v>
      </c>
      <c r="B4" s="10" t="s">
        <v>1318</v>
      </c>
      <c r="C4" s="10" t="s">
        <v>1315</v>
      </c>
      <c r="D4" s="10"/>
      <c r="E4" s="20" t="s">
        <v>1361</v>
      </c>
      <c r="F4" s="1067" t="s">
        <v>1327</v>
      </c>
      <c r="G4" s="20" t="s">
        <v>1328</v>
      </c>
      <c r="H4" s="10" t="s">
        <v>1362</v>
      </c>
      <c r="I4" s="17">
        <v>2018</v>
      </c>
      <c r="J4" s="1" t="s">
        <v>769</v>
      </c>
      <c r="K4" s="1" t="s">
        <v>132</v>
      </c>
      <c r="L4" s="16">
        <v>25</v>
      </c>
      <c r="M4" s="16">
        <v>35</v>
      </c>
      <c r="N4" s="16">
        <v>35</v>
      </c>
      <c r="O4" t="s">
        <v>1270</v>
      </c>
      <c r="P4" s="923">
        <v>12.5</v>
      </c>
      <c r="Q4" s="923">
        <v>17.5</v>
      </c>
      <c r="R4" s="923">
        <v>17.5</v>
      </c>
      <c r="S4" s="922" t="s">
        <v>1263</v>
      </c>
      <c r="U4" s="1" t="s">
        <v>1271</v>
      </c>
      <c r="V4" s="16">
        <v>1</v>
      </c>
      <c r="W4" s="16">
        <v>1</v>
      </c>
      <c r="X4" s="16">
        <v>1</v>
      </c>
      <c r="Y4" s="1" t="s">
        <v>1290</v>
      </c>
    </row>
    <row r="5" spans="1:25">
      <c r="A5" s="17"/>
      <c r="B5" s="10" t="s">
        <v>1316</v>
      </c>
      <c r="C5" s="10" t="s">
        <v>1318</v>
      </c>
      <c r="D5" s="10"/>
      <c r="E5" s="1067" t="s">
        <v>1325</v>
      </c>
      <c r="F5" s="20" t="s">
        <v>1328</v>
      </c>
      <c r="G5" s="922" t="s">
        <v>761</v>
      </c>
      <c r="H5" s="10" t="s">
        <v>1359</v>
      </c>
      <c r="I5" s="17">
        <v>2019</v>
      </c>
      <c r="J5" s="1" t="s">
        <v>770</v>
      </c>
      <c r="O5" s="1" t="s">
        <v>1272</v>
      </c>
      <c r="P5" s="16">
        <v>20</v>
      </c>
      <c r="Q5" s="16">
        <v>30</v>
      </c>
      <c r="R5" s="16">
        <v>30</v>
      </c>
      <c r="Y5" s="1" t="s">
        <v>1291</v>
      </c>
    </row>
    <row r="6" spans="1:25">
      <c r="A6" s="17"/>
      <c r="B6" s="10" t="s">
        <v>1320</v>
      </c>
      <c r="C6" s="10" t="s">
        <v>1319</v>
      </c>
      <c r="D6" s="10"/>
      <c r="E6" s="20" t="s">
        <v>1360</v>
      </c>
      <c r="F6" s="20" t="s">
        <v>1328</v>
      </c>
      <c r="G6" s="20" t="s">
        <v>761</v>
      </c>
      <c r="H6" s="10" t="s">
        <v>1336</v>
      </c>
      <c r="I6" s="17">
        <v>2020</v>
      </c>
      <c r="O6" s="1" t="s">
        <v>1273</v>
      </c>
      <c r="P6" s="16">
        <v>25</v>
      </c>
      <c r="Q6" s="16">
        <v>35</v>
      </c>
      <c r="R6" s="16">
        <v>35</v>
      </c>
      <c r="Y6" s="1" t="s">
        <v>1292</v>
      </c>
    </row>
    <row r="7" spans="1:25">
      <c r="A7" s="17"/>
      <c r="B7" s="10" t="s">
        <v>1321</v>
      </c>
      <c r="C7" s="10" t="s">
        <v>1316</v>
      </c>
      <c r="D7" s="10"/>
      <c r="I7" s="17">
        <v>2021</v>
      </c>
      <c r="Y7" s="1" t="s">
        <v>1293</v>
      </c>
    </row>
    <row r="8" spans="1:25">
      <c r="A8" s="17"/>
      <c r="B8" s="10" t="s">
        <v>1322</v>
      </c>
      <c r="C8" s="10" t="s">
        <v>1317</v>
      </c>
      <c r="D8" s="10"/>
      <c r="E8" s="922"/>
      <c r="I8" s="17">
        <v>2022</v>
      </c>
    </row>
    <row r="9" spans="1:25">
      <c r="A9" s="17"/>
      <c r="C9" s="10" t="s">
        <v>1320</v>
      </c>
      <c r="D9" s="10"/>
      <c r="E9" s="922"/>
      <c r="I9" s="17">
        <v>2023</v>
      </c>
    </row>
    <row r="10" spans="1:25">
      <c r="C10" s="10" t="s">
        <v>1321</v>
      </c>
      <c r="D10" s="10"/>
      <c r="E10" s="922"/>
      <c r="I10" s="17">
        <v>2024</v>
      </c>
    </row>
    <row r="11" spans="1:25">
      <c r="C11" s="10" t="s">
        <v>1322</v>
      </c>
      <c r="D11" s="10"/>
      <c r="E11" s="922"/>
      <c r="I11" s="17">
        <v>2025</v>
      </c>
      <c r="Q11" s="1" t="s">
        <v>1212</v>
      </c>
      <c r="U11" s="1" t="s">
        <v>1294</v>
      </c>
    </row>
    <row r="12" spans="1:25">
      <c r="I12" s="17">
        <v>2026</v>
      </c>
      <c r="Q12" s="1" t="s">
        <v>1311</v>
      </c>
      <c r="U12" s="1" t="s">
        <v>1298</v>
      </c>
    </row>
    <row r="13" spans="1:25">
      <c r="I13" s="17">
        <v>2027</v>
      </c>
      <c r="Q13" s="1" t="s">
        <v>1312</v>
      </c>
      <c r="U13" s="1" t="s">
        <v>1295</v>
      </c>
    </row>
    <row r="14" spans="1:25">
      <c r="I14" s="17">
        <v>2028</v>
      </c>
      <c r="Q14" s="1" t="s">
        <v>1313</v>
      </c>
      <c r="U14" s="1" t="s">
        <v>1296</v>
      </c>
    </row>
    <row r="15" spans="1:25">
      <c r="I15" s="17">
        <v>2029</v>
      </c>
      <c r="U15" s="1" t="s">
        <v>1297</v>
      </c>
    </row>
    <row r="16" spans="1:25">
      <c r="D16" s="20" t="s">
        <v>1400</v>
      </c>
      <c r="F16" s="17"/>
      <c r="G16" s="17"/>
      <c r="I16" s="17">
        <v>2030</v>
      </c>
      <c r="U16" s="1" t="s">
        <v>124</v>
      </c>
    </row>
    <row r="17" spans="3:35">
      <c r="D17" s="20" t="s">
        <v>189</v>
      </c>
      <c r="E17" s="922" t="s">
        <v>128</v>
      </c>
      <c r="F17" s="922" t="s">
        <v>149</v>
      </c>
      <c r="G17" s="922" t="s">
        <v>155</v>
      </c>
      <c r="H17" s="922" t="s">
        <v>140</v>
      </c>
      <c r="I17" s="17">
        <v>2031</v>
      </c>
      <c r="U17" s="1" t="s">
        <v>1299</v>
      </c>
    </row>
    <row r="18" spans="3:35" ht="51">
      <c r="C18" s="20" t="s">
        <v>1323</v>
      </c>
      <c r="D18" s="1067" t="s">
        <v>1326</v>
      </c>
      <c r="E18" s="1067" t="s">
        <v>1325</v>
      </c>
      <c r="F18" s="1067" t="s">
        <v>1326</v>
      </c>
      <c r="G18" s="1067" t="s">
        <v>1361</v>
      </c>
      <c r="H18" s="1067" t="s">
        <v>1325</v>
      </c>
      <c r="I18" s="17">
        <v>2032</v>
      </c>
      <c r="U18" s="1" t="s">
        <v>1300</v>
      </c>
    </row>
    <row r="19" spans="3:35">
      <c r="C19" s="20" t="s">
        <v>1402</v>
      </c>
      <c r="D19" s="1076" t="s">
        <v>1401</v>
      </c>
      <c r="E19" s="1076" t="s">
        <v>1337</v>
      </c>
      <c r="F19" s="10" t="s">
        <v>1401</v>
      </c>
      <c r="G19" s="1076" t="s">
        <v>1339</v>
      </c>
      <c r="H19" s="1076" t="s">
        <v>1337</v>
      </c>
      <c r="I19" s="17">
        <v>2033</v>
      </c>
      <c r="U19" s="1" t="s">
        <v>1301</v>
      </c>
    </row>
    <row r="20" spans="3:35">
      <c r="C20" s="20" t="s">
        <v>1403</v>
      </c>
      <c r="D20" s="1076" t="s">
        <v>1338</v>
      </c>
      <c r="E20" s="1076" t="s">
        <v>1338</v>
      </c>
      <c r="F20" s="1076" t="s">
        <v>1338</v>
      </c>
      <c r="G20" s="1076" t="s">
        <v>1338</v>
      </c>
      <c r="H20" s="1076" t="s">
        <v>1338</v>
      </c>
      <c r="I20" s="17">
        <v>2034</v>
      </c>
      <c r="U20" s="1" t="s">
        <v>1302</v>
      </c>
    </row>
    <row r="21" spans="3:35">
      <c r="I21" s="17">
        <v>2035</v>
      </c>
      <c r="U21" s="1" t="s">
        <v>577</v>
      </c>
    </row>
    <row r="22" spans="3:35">
      <c r="I22" s="17">
        <v>2036</v>
      </c>
      <c r="U22" s="1" t="s">
        <v>1303</v>
      </c>
    </row>
    <row r="23" spans="3:35" s="1077" customFormat="1" ht="76.5">
      <c r="C23" s="1067" t="s">
        <v>1331</v>
      </c>
      <c r="D23" s="1077" t="s">
        <v>1349</v>
      </c>
      <c r="E23" s="1077" t="s">
        <v>1350</v>
      </c>
      <c r="F23" s="1077" t="s">
        <v>1351</v>
      </c>
      <c r="G23" s="1077" t="s">
        <v>1352</v>
      </c>
      <c r="H23" s="1077" t="s">
        <v>1353</v>
      </c>
      <c r="I23" s="1077" t="s">
        <v>1354</v>
      </c>
      <c r="J23" s="1077" t="s">
        <v>1355</v>
      </c>
      <c r="K23" s="1077" t="s">
        <v>1356</v>
      </c>
      <c r="L23" s="1077" t="s">
        <v>1357</v>
      </c>
      <c r="M23" s="1077" t="s">
        <v>1358</v>
      </c>
    </row>
    <row r="24" spans="3:35">
      <c r="C24" s="20" t="s">
        <v>1405</v>
      </c>
      <c r="D24" s="10" t="s">
        <v>1471</v>
      </c>
      <c r="E24" s="10" t="s">
        <v>1471</v>
      </c>
      <c r="F24" t="s">
        <v>1394</v>
      </c>
      <c r="G24" t="s">
        <v>1385</v>
      </c>
      <c r="H24" t="s">
        <v>1385</v>
      </c>
      <c r="I24" t="s">
        <v>1394</v>
      </c>
      <c r="J24" t="s">
        <v>1385</v>
      </c>
      <c r="K24" s="1074" t="s">
        <v>1387</v>
      </c>
      <c r="L24" s="1074" t="s">
        <v>1391</v>
      </c>
      <c r="M24" s="1074" t="s">
        <v>1392</v>
      </c>
    </row>
    <row r="25" spans="3:35">
      <c r="C25" s="20" t="s">
        <v>1406</v>
      </c>
      <c r="D25" s="10" t="s">
        <v>1472</v>
      </c>
      <c r="E25" s="10" t="s">
        <v>1472</v>
      </c>
      <c r="F25" t="s">
        <v>1398</v>
      </c>
      <c r="G25" t="s">
        <v>1386</v>
      </c>
      <c r="H25" t="s">
        <v>1386</v>
      </c>
      <c r="I25" t="s">
        <v>1398</v>
      </c>
      <c r="J25" t="s">
        <v>1386</v>
      </c>
      <c r="K25" s="20" t="s">
        <v>1404</v>
      </c>
      <c r="L25" s="20" t="s">
        <v>1404</v>
      </c>
      <c r="M25" s="20" t="s">
        <v>1404</v>
      </c>
    </row>
    <row r="26" spans="3:35">
      <c r="C26" s="20" t="s">
        <v>1407</v>
      </c>
      <c r="D26" s="10" t="s">
        <v>1473</v>
      </c>
      <c r="E26" s="10" t="s">
        <v>1473</v>
      </c>
      <c r="F26" t="s">
        <v>1383</v>
      </c>
      <c r="G26" t="s">
        <v>1390</v>
      </c>
      <c r="H26" t="s">
        <v>1390</v>
      </c>
      <c r="I26" t="s">
        <v>1383</v>
      </c>
      <c r="J26" t="s">
        <v>1390</v>
      </c>
      <c r="K26" s="20" t="s">
        <v>1404</v>
      </c>
      <c r="L26" s="20" t="s">
        <v>1404</v>
      </c>
      <c r="M26" s="20" t="s">
        <v>1404</v>
      </c>
    </row>
    <row r="27" spans="3:35">
      <c r="C27" s="20" t="s">
        <v>1408</v>
      </c>
      <c r="D27" s="10" t="s">
        <v>1474</v>
      </c>
      <c r="E27" s="10" t="s">
        <v>1474</v>
      </c>
      <c r="F27" t="s">
        <v>1384</v>
      </c>
      <c r="G27" s="20" t="s">
        <v>1404</v>
      </c>
      <c r="H27" s="20" t="s">
        <v>1404</v>
      </c>
      <c r="I27" t="s">
        <v>1384</v>
      </c>
      <c r="J27" s="20" t="s">
        <v>1404</v>
      </c>
      <c r="K27" s="20" t="s">
        <v>1404</v>
      </c>
      <c r="L27" s="20" t="s">
        <v>1404</v>
      </c>
      <c r="M27" s="20" t="s">
        <v>1404</v>
      </c>
    </row>
    <row r="28" spans="3:35">
      <c r="C28" s="20" t="s">
        <v>1409</v>
      </c>
      <c r="D28" s="18" t="s">
        <v>1388</v>
      </c>
      <c r="E28" s="21" t="s">
        <v>1388</v>
      </c>
      <c r="F28" t="s">
        <v>1388</v>
      </c>
      <c r="G28" s="20" t="s">
        <v>1404</v>
      </c>
      <c r="H28" s="20" t="s">
        <v>1404</v>
      </c>
      <c r="I28" t="s">
        <v>1388</v>
      </c>
      <c r="J28" s="20" t="s">
        <v>1404</v>
      </c>
      <c r="K28" s="20" t="s">
        <v>1404</v>
      </c>
      <c r="L28" s="20" t="s">
        <v>1404</v>
      </c>
      <c r="M28" s="20" t="s">
        <v>1404</v>
      </c>
    </row>
    <row r="29" spans="3:35">
      <c r="C29" s="20" t="s">
        <v>1410</v>
      </c>
      <c r="D29" s="18" t="s">
        <v>1389</v>
      </c>
      <c r="E29" s="21" t="s">
        <v>1389</v>
      </c>
      <c r="F29" t="s">
        <v>1389</v>
      </c>
      <c r="G29" s="20" t="s">
        <v>1404</v>
      </c>
      <c r="H29" s="20" t="s">
        <v>1404</v>
      </c>
      <c r="I29" t="s">
        <v>1389</v>
      </c>
      <c r="J29" s="20" t="s">
        <v>1404</v>
      </c>
      <c r="K29" s="20" t="s">
        <v>1404</v>
      </c>
      <c r="L29" s="20" t="s">
        <v>1404</v>
      </c>
      <c r="M29" s="20" t="s">
        <v>1404</v>
      </c>
    </row>
    <row r="30" spans="3:35">
      <c r="C30" s="20" t="s">
        <v>1411</v>
      </c>
      <c r="D30" s="20" t="s">
        <v>1404</v>
      </c>
      <c r="E30" s="20" t="s">
        <v>1404</v>
      </c>
      <c r="F30" s="20" t="s">
        <v>1404</v>
      </c>
      <c r="G30" s="20" t="s">
        <v>1404</v>
      </c>
      <c r="H30" s="20" t="s">
        <v>1404</v>
      </c>
      <c r="I30" s="20" t="s">
        <v>1404</v>
      </c>
      <c r="J30" s="20" t="s">
        <v>1404</v>
      </c>
      <c r="K30" s="20" t="s">
        <v>1404</v>
      </c>
      <c r="L30" s="20" t="s">
        <v>1404</v>
      </c>
      <c r="M30" s="20" t="s">
        <v>1404</v>
      </c>
      <c r="AI30" t="e">
        <f>+INDEX(Base_datos!K2:N4,coin)</f>
        <v>#NAME?</v>
      </c>
    </row>
    <row r="31" spans="3:35">
      <c r="C31" s="20" t="s">
        <v>1412</v>
      </c>
    </row>
    <row r="33" spans="3:6">
      <c r="C33" s="10" t="s">
        <v>1329</v>
      </c>
      <c r="D33" s="10" t="s">
        <v>1330</v>
      </c>
      <c r="E33" s="922" t="s">
        <v>1331</v>
      </c>
      <c r="F33" s="922" t="s">
        <v>1382</v>
      </c>
    </row>
    <row r="34" spans="3:6">
      <c r="C34" s="1072" t="s">
        <v>1602</v>
      </c>
      <c r="D34" s="1072"/>
      <c r="E34" s="932"/>
      <c r="F34" s="1075" t="s">
        <v>1394</v>
      </c>
    </row>
    <row r="35" spans="3:6">
      <c r="C35" s="1072" t="s">
        <v>1603</v>
      </c>
      <c r="D35" s="1072" t="s">
        <v>1340</v>
      </c>
      <c r="E35" s="10" t="s">
        <v>1350</v>
      </c>
      <c r="F35" s="1075" t="s">
        <v>1398</v>
      </c>
    </row>
    <row r="36" spans="3:6">
      <c r="C36" s="1073" t="s">
        <v>1338</v>
      </c>
      <c r="D36" s="1072" t="s">
        <v>1341</v>
      </c>
      <c r="E36" s="10" t="s">
        <v>1351</v>
      </c>
      <c r="F36" s="1075" t="s">
        <v>1383</v>
      </c>
    </row>
    <row r="37" spans="3:6">
      <c r="C37" s="1073"/>
      <c r="D37" s="1072" t="s">
        <v>1345</v>
      </c>
      <c r="E37" s="10" t="s">
        <v>1352</v>
      </c>
      <c r="F37" s="1075" t="s">
        <v>1384</v>
      </c>
    </row>
    <row r="38" spans="3:6">
      <c r="D38" s="1072" t="s">
        <v>1342</v>
      </c>
      <c r="E38" s="10" t="s">
        <v>1353</v>
      </c>
      <c r="F38" s="1075" t="s">
        <v>1388</v>
      </c>
    </row>
    <row r="39" spans="3:6">
      <c r="D39" s="1072" t="s">
        <v>1344</v>
      </c>
      <c r="E39" s="10" t="s">
        <v>1354</v>
      </c>
      <c r="F39" s="1075" t="s">
        <v>1389</v>
      </c>
    </row>
    <row r="40" spans="3:6">
      <c r="D40" s="1072" t="s">
        <v>1343</v>
      </c>
      <c r="E40" s="10" t="s">
        <v>1355</v>
      </c>
      <c r="F40" s="1074" t="s">
        <v>1385</v>
      </c>
    </row>
    <row r="41" spans="3:6">
      <c r="D41" s="1072" t="s">
        <v>1346</v>
      </c>
      <c r="E41" s="10" t="s">
        <v>1356</v>
      </c>
      <c r="F41" s="1074" t="s">
        <v>1386</v>
      </c>
    </row>
    <row r="42" spans="3:6">
      <c r="D42" s="1073" t="s">
        <v>1347</v>
      </c>
      <c r="E42" s="10" t="s">
        <v>1357</v>
      </c>
      <c r="F42" s="1074" t="s">
        <v>1390</v>
      </c>
    </row>
    <row r="43" spans="3:6">
      <c r="D43" s="1073" t="s">
        <v>1348</v>
      </c>
      <c r="E43" s="10" t="s">
        <v>1358</v>
      </c>
      <c r="F43" s="1074" t="s">
        <v>1387</v>
      </c>
    </row>
    <row r="44" spans="3:6">
      <c r="E44" s="21"/>
      <c r="F44" s="1074" t="s">
        <v>1391</v>
      </c>
    </row>
    <row r="45" spans="3:6">
      <c r="E45" s="21"/>
      <c r="F45" s="1074" t="s">
        <v>1392</v>
      </c>
    </row>
  </sheetData>
  <sheetProtection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W139"/>
  <sheetViews>
    <sheetView topLeftCell="A16" workbookViewId="0">
      <selection activeCell="C7" sqref="C7"/>
    </sheetView>
  </sheetViews>
  <sheetFormatPr baseColWidth="10" defaultRowHeight="12.75"/>
  <cols>
    <col min="1" max="1" width="18.7109375" style="16" customWidth="1"/>
    <col min="2" max="2" width="18.5703125" style="16" customWidth="1"/>
    <col min="3" max="3" width="25.42578125" style="18" customWidth="1"/>
    <col min="4" max="4" width="59.85546875" style="18" customWidth="1"/>
    <col min="5" max="5" width="50" style="18" customWidth="1"/>
    <col min="6" max="6" width="60.28515625" style="21" customWidth="1"/>
    <col min="7" max="7" width="81.140625" style="21" bestFit="1" customWidth="1"/>
    <col min="8" max="8" width="11.42578125" style="21"/>
    <col min="9" max="9" width="5.140625" style="17" customWidth="1"/>
    <col min="10" max="10" width="13.42578125" style="17" customWidth="1"/>
    <col min="11" max="11" width="25.42578125" style="21" customWidth="1"/>
    <col min="12" max="12" width="18.28515625" style="21" customWidth="1"/>
    <col min="13" max="13" width="15.140625" style="21" customWidth="1"/>
    <col min="14" max="14" width="11.42578125" style="21"/>
    <col min="15" max="15" width="18.42578125" style="21" customWidth="1"/>
    <col min="16" max="16" width="21.5703125" style="21" customWidth="1"/>
    <col min="17" max="18" width="11.42578125" style="17"/>
    <col min="19" max="19" width="23.140625" style="17" customWidth="1"/>
    <col min="20" max="20" width="21.7109375" style="17" customWidth="1"/>
    <col min="21" max="16384" width="11.42578125" style="21"/>
  </cols>
  <sheetData>
    <row r="2" spans="1:23" s="23" customFormat="1">
      <c r="A2" s="22" t="s">
        <v>233</v>
      </c>
      <c r="B2" s="22" t="s">
        <v>198</v>
      </c>
      <c r="C2" s="22" t="s">
        <v>102</v>
      </c>
      <c r="D2" s="22" t="s">
        <v>103</v>
      </c>
      <c r="E2" s="22" t="s">
        <v>104</v>
      </c>
      <c r="F2" s="22" t="s">
        <v>105</v>
      </c>
      <c r="G2" s="22" t="s">
        <v>106</v>
      </c>
      <c r="H2" s="22" t="s">
        <v>107</v>
      </c>
      <c r="I2" s="22" t="s">
        <v>108</v>
      </c>
      <c r="J2" s="22" t="s">
        <v>109</v>
      </c>
      <c r="K2" s="22" t="s">
        <v>229</v>
      </c>
      <c r="L2" s="22" t="s">
        <v>86</v>
      </c>
      <c r="M2" s="22" t="s">
        <v>110</v>
      </c>
      <c r="N2" s="23" t="s">
        <v>111</v>
      </c>
      <c r="O2" s="23" t="s">
        <v>112</v>
      </c>
      <c r="P2" s="22" t="s">
        <v>113</v>
      </c>
      <c r="Q2" s="22" t="s">
        <v>114</v>
      </c>
      <c r="R2" s="22" t="s">
        <v>115</v>
      </c>
      <c r="S2" s="22" t="s">
        <v>116</v>
      </c>
      <c r="T2" s="22" t="s">
        <v>117</v>
      </c>
    </row>
    <row r="3" spans="1:23">
      <c r="A3" s="24"/>
      <c r="B3" s="24" t="s">
        <v>119</v>
      </c>
      <c r="C3" s="24" t="s">
        <v>118</v>
      </c>
      <c r="D3" s="24" t="s">
        <v>119</v>
      </c>
      <c r="E3" s="24" t="s">
        <v>190</v>
      </c>
      <c r="F3" s="24" t="s">
        <v>120</v>
      </c>
      <c r="G3" s="24" t="s">
        <v>121</v>
      </c>
      <c r="H3" s="24" t="s">
        <v>122</v>
      </c>
      <c r="I3" s="20" t="s">
        <v>123</v>
      </c>
      <c r="J3" s="20" t="s">
        <v>124</v>
      </c>
      <c r="K3" s="10" t="s">
        <v>203</v>
      </c>
      <c r="L3" s="10" t="s">
        <v>234</v>
      </c>
      <c r="M3" s="24" t="s">
        <v>125</v>
      </c>
      <c r="N3" s="16">
        <v>1</v>
      </c>
      <c r="O3" s="20" t="s">
        <v>11</v>
      </c>
      <c r="P3" s="24" t="s">
        <v>126</v>
      </c>
      <c r="Q3" s="17">
        <v>1</v>
      </c>
      <c r="R3" s="17">
        <v>2017</v>
      </c>
      <c r="S3" s="17" t="s">
        <v>127</v>
      </c>
      <c r="U3" s="932" t="s">
        <v>1427</v>
      </c>
      <c r="V3" s="932" t="s">
        <v>1430</v>
      </c>
      <c r="W3" s="1080" t="s">
        <v>1434</v>
      </c>
    </row>
    <row r="4" spans="1:23">
      <c r="A4" s="24" t="s">
        <v>128</v>
      </c>
      <c r="B4" s="24" t="s">
        <v>130</v>
      </c>
      <c r="C4" s="24" t="s">
        <v>129</v>
      </c>
      <c r="D4" s="24" t="s">
        <v>130</v>
      </c>
      <c r="E4" s="24" t="s">
        <v>191</v>
      </c>
      <c r="F4" s="24" t="s">
        <v>131</v>
      </c>
      <c r="G4" s="24" t="s">
        <v>132</v>
      </c>
      <c r="H4" s="24" t="s">
        <v>133</v>
      </c>
      <c r="I4" s="20" t="s">
        <v>134</v>
      </c>
      <c r="J4" s="20" t="s">
        <v>135</v>
      </c>
      <c r="K4" s="10" t="s">
        <v>204</v>
      </c>
      <c r="L4" s="10" t="s">
        <v>235</v>
      </c>
      <c r="M4" s="24" t="s">
        <v>136</v>
      </c>
      <c r="N4" s="16">
        <v>2</v>
      </c>
      <c r="O4" s="20" t="s">
        <v>137</v>
      </c>
      <c r="P4" s="24" t="s">
        <v>138</v>
      </c>
      <c r="Q4" s="17">
        <v>2</v>
      </c>
      <c r="R4" s="17">
        <v>2018</v>
      </c>
      <c r="S4" s="17" t="s">
        <v>139</v>
      </c>
      <c r="U4" s="932" t="s">
        <v>1428</v>
      </c>
      <c r="V4" s="932" t="s">
        <v>1431</v>
      </c>
      <c r="W4" s="1080" t="s">
        <v>1435</v>
      </c>
    </row>
    <row r="5" spans="1:23">
      <c r="A5" s="24" t="s">
        <v>140</v>
      </c>
      <c r="B5" s="24" t="s">
        <v>142</v>
      </c>
      <c r="C5" s="24" t="s">
        <v>141</v>
      </c>
      <c r="D5" s="24" t="s">
        <v>142</v>
      </c>
      <c r="E5" s="24" t="s">
        <v>192</v>
      </c>
      <c r="H5" s="24" t="s">
        <v>143</v>
      </c>
      <c r="J5" s="20" t="s">
        <v>144</v>
      </c>
      <c r="K5" s="10" t="s">
        <v>205</v>
      </c>
      <c r="L5" s="10" t="s">
        <v>236</v>
      </c>
      <c r="M5" s="24" t="s">
        <v>145</v>
      </c>
      <c r="N5" s="16">
        <v>3</v>
      </c>
      <c r="O5" s="20" t="s">
        <v>146</v>
      </c>
      <c r="P5" s="24" t="s">
        <v>147</v>
      </c>
      <c r="Q5" s="17">
        <v>3</v>
      </c>
      <c r="R5" s="17">
        <v>2019</v>
      </c>
      <c r="S5" s="17" t="s">
        <v>148</v>
      </c>
      <c r="U5" s="932" t="s">
        <v>1429</v>
      </c>
      <c r="V5" s="932" t="s">
        <v>1432</v>
      </c>
      <c r="W5" s="1080" t="s">
        <v>1436</v>
      </c>
    </row>
    <row r="6" spans="1:23">
      <c r="A6" s="24" t="s">
        <v>149</v>
      </c>
      <c r="B6" s="24" t="s">
        <v>151</v>
      </c>
      <c r="C6" s="24" t="s">
        <v>150</v>
      </c>
      <c r="D6" s="24"/>
      <c r="E6" s="24" t="s">
        <v>193</v>
      </c>
      <c r="J6" s="20" t="s">
        <v>230</v>
      </c>
      <c r="K6" s="21" t="s">
        <v>206</v>
      </c>
      <c r="L6" s="10" t="s">
        <v>237</v>
      </c>
      <c r="M6" s="24" t="s">
        <v>152</v>
      </c>
      <c r="N6" s="16">
        <v>4</v>
      </c>
      <c r="O6" s="20" t="s">
        <v>1416</v>
      </c>
      <c r="P6" s="24" t="s">
        <v>153</v>
      </c>
      <c r="Q6" s="17">
        <v>4</v>
      </c>
      <c r="R6" s="17">
        <v>2020</v>
      </c>
      <c r="S6" s="17" t="s">
        <v>154</v>
      </c>
      <c r="W6" s="1080" t="s">
        <v>1437</v>
      </c>
    </row>
    <row r="7" spans="1:23">
      <c r="A7" s="24" t="s">
        <v>155</v>
      </c>
      <c r="B7" s="24" t="s">
        <v>199</v>
      </c>
      <c r="C7" s="24" t="s">
        <v>156</v>
      </c>
      <c r="D7" s="10"/>
      <c r="E7" s="24" t="s">
        <v>194</v>
      </c>
      <c r="K7" s="21" t="s">
        <v>207</v>
      </c>
      <c r="L7" s="10" t="s">
        <v>238</v>
      </c>
      <c r="N7" s="16">
        <v>5</v>
      </c>
      <c r="O7" s="20" t="s">
        <v>1417</v>
      </c>
      <c r="P7" s="24" t="s">
        <v>157</v>
      </c>
      <c r="Q7" s="17">
        <v>5</v>
      </c>
      <c r="R7" s="17">
        <v>2021</v>
      </c>
      <c r="S7" s="17" t="s">
        <v>158</v>
      </c>
      <c r="W7" s="1080" t="s">
        <v>1438</v>
      </c>
    </row>
    <row r="8" spans="1:23">
      <c r="A8" s="20"/>
      <c r="B8" s="20"/>
      <c r="C8" s="10"/>
      <c r="D8" s="10"/>
      <c r="E8" s="24" t="s">
        <v>195</v>
      </c>
      <c r="K8" s="21" t="s">
        <v>208</v>
      </c>
      <c r="N8" s="16">
        <v>6</v>
      </c>
      <c r="P8" s="25"/>
      <c r="Q8" s="17">
        <v>6</v>
      </c>
      <c r="R8" s="17">
        <v>2022</v>
      </c>
      <c r="S8" s="17" t="s">
        <v>159</v>
      </c>
    </row>
    <row r="9" spans="1:23">
      <c r="K9" s="21" t="s">
        <v>209</v>
      </c>
      <c r="N9" s="16">
        <v>7</v>
      </c>
      <c r="Q9" s="17">
        <v>7</v>
      </c>
      <c r="R9" s="17">
        <v>2023</v>
      </c>
      <c r="S9" s="17" t="s">
        <v>160</v>
      </c>
    </row>
    <row r="10" spans="1:23">
      <c r="A10" s="16" t="s">
        <v>1264</v>
      </c>
      <c r="K10" s="21" t="s">
        <v>210</v>
      </c>
      <c r="N10" s="16">
        <v>8</v>
      </c>
      <c r="Q10" s="17">
        <v>8</v>
      </c>
      <c r="R10" s="17">
        <v>2024</v>
      </c>
      <c r="S10" s="17" t="s">
        <v>161</v>
      </c>
      <c r="T10" s="922" t="s">
        <v>1433</v>
      </c>
    </row>
    <row r="11" spans="1:23">
      <c r="A11" s="16" t="s">
        <v>769</v>
      </c>
      <c r="K11" s="21" t="s">
        <v>211</v>
      </c>
      <c r="N11" s="16">
        <v>9</v>
      </c>
      <c r="Q11" s="17">
        <v>9</v>
      </c>
      <c r="R11" s="17">
        <v>2025</v>
      </c>
      <c r="S11" s="17" t="s">
        <v>162</v>
      </c>
    </row>
    <row r="12" spans="1:23">
      <c r="A12" s="16" t="s">
        <v>770</v>
      </c>
      <c r="K12" s="21" t="s">
        <v>212</v>
      </c>
      <c r="N12" s="16">
        <v>10</v>
      </c>
      <c r="Q12" s="17">
        <v>10</v>
      </c>
      <c r="R12" s="17">
        <v>2026</v>
      </c>
      <c r="S12" s="17" t="s">
        <v>163</v>
      </c>
    </row>
    <row r="13" spans="1:23">
      <c r="K13" s="21" t="s">
        <v>213</v>
      </c>
      <c r="N13" s="16">
        <v>11</v>
      </c>
      <c r="Q13" s="17">
        <v>11</v>
      </c>
      <c r="R13" s="17">
        <v>2027</v>
      </c>
      <c r="S13" s="17" t="s">
        <v>164</v>
      </c>
    </row>
    <row r="14" spans="1:23">
      <c r="K14" s="21" t="s">
        <v>214</v>
      </c>
      <c r="N14" s="16">
        <v>12</v>
      </c>
      <c r="Q14" s="17">
        <v>12</v>
      </c>
      <c r="R14" s="17">
        <v>2028</v>
      </c>
    </row>
    <row r="15" spans="1:23">
      <c r="K15" s="21" t="s">
        <v>215</v>
      </c>
      <c r="N15" s="16">
        <v>13</v>
      </c>
      <c r="R15" s="17">
        <v>2029</v>
      </c>
    </row>
    <row r="16" spans="1:23">
      <c r="K16" s="21" t="s">
        <v>216</v>
      </c>
      <c r="N16" s="16">
        <v>14</v>
      </c>
      <c r="R16" s="17">
        <v>2030</v>
      </c>
    </row>
    <row r="17" spans="3:18">
      <c r="K17" s="21" t="s">
        <v>217</v>
      </c>
      <c r="N17" s="16">
        <v>15</v>
      </c>
      <c r="R17" s="17">
        <v>2031</v>
      </c>
    </row>
    <row r="18" spans="3:18">
      <c r="K18" s="21" t="s">
        <v>218</v>
      </c>
      <c r="N18" s="16">
        <v>16</v>
      </c>
      <c r="R18" s="17">
        <v>2032</v>
      </c>
    </row>
    <row r="19" spans="3:18">
      <c r="K19" s="21" t="s">
        <v>219</v>
      </c>
      <c r="N19" s="16">
        <v>17</v>
      </c>
      <c r="R19" s="17">
        <v>2033</v>
      </c>
    </row>
    <row r="20" spans="3:18">
      <c r="K20" s="21" t="s">
        <v>220</v>
      </c>
      <c r="N20" s="16">
        <v>18</v>
      </c>
      <c r="R20" s="17">
        <v>2034</v>
      </c>
    </row>
    <row r="21" spans="3:18">
      <c r="K21" s="21" t="s">
        <v>221</v>
      </c>
      <c r="N21" s="16">
        <v>19</v>
      </c>
      <c r="R21" s="17">
        <v>2035</v>
      </c>
    </row>
    <row r="22" spans="3:18">
      <c r="K22" s="21" t="s">
        <v>222</v>
      </c>
      <c r="N22" s="16">
        <v>20</v>
      </c>
      <c r="R22" s="17">
        <v>2036</v>
      </c>
    </row>
    <row r="23" spans="3:18">
      <c r="K23" s="21" t="s">
        <v>223</v>
      </c>
      <c r="N23" s="16">
        <v>21</v>
      </c>
      <c r="R23" s="17">
        <v>2037</v>
      </c>
    </row>
    <row r="24" spans="3:18">
      <c r="K24" s="21" t="s">
        <v>224</v>
      </c>
      <c r="N24" s="16">
        <v>22</v>
      </c>
      <c r="R24" s="17">
        <v>2038</v>
      </c>
    </row>
    <row r="25" spans="3:18">
      <c r="K25" s="21" t="s">
        <v>225</v>
      </c>
      <c r="N25" s="16">
        <v>23</v>
      </c>
      <c r="R25" s="17">
        <v>2039</v>
      </c>
    </row>
    <row r="26" spans="3:18">
      <c r="K26" s="21" t="s">
        <v>226</v>
      </c>
      <c r="N26" s="16">
        <v>24</v>
      </c>
      <c r="R26" s="17">
        <v>2040</v>
      </c>
    </row>
    <row r="27" spans="3:18">
      <c r="K27" s="21" t="s">
        <v>227</v>
      </c>
      <c r="N27" s="16">
        <v>25</v>
      </c>
      <c r="R27" s="17">
        <v>2041</v>
      </c>
    </row>
    <row r="28" spans="3:18">
      <c r="K28" s="21" t="s">
        <v>228</v>
      </c>
      <c r="N28" s="16">
        <v>26</v>
      </c>
      <c r="R28" s="17">
        <v>2042</v>
      </c>
    </row>
    <row r="29" spans="3:18" ht="15">
      <c r="C29" s="19" t="s">
        <v>165</v>
      </c>
      <c r="N29" s="16">
        <v>27</v>
      </c>
      <c r="R29" s="17">
        <v>2043</v>
      </c>
    </row>
    <row r="30" spans="3:18">
      <c r="N30" s="16">
        <v>28</v>
      </c>
      <c r="R30" s="17">
        <v>2044</v>
      </c>
    </row>
    <row r="31" spans="3:18">
      <c r="C31" s="18" t="s">
        <v>166</v>
      </c>
      <c r="N31" s="16">
        <v>29</v>
      </c>
      <c r="R31" s="17">
        <v>2045</v>
      </c>
    </row>
    <row r="32" spans="3:18">
      <c r="C32" s="18" t="s">
        <v>167</v>
      </c>
      <c r="N32" s="16">
        <v>30</v>
      </c>
      <c r="R32" s="17">
        <v>2046</v>
      </c>
    </row>
    <row r="33" spans="3:18">
      <c r="C33" s="18" t="s">
        <v>168</v>
      </c>
      <c r="N33" s="16">
        <v>31</v>
      </c>
      <c r="R33" s="17">
        <v>2047</v>
      </c>
    </row>
    <row r="34" spans="3:18">
      <c r="C34" s="18" t="s">
        <v>169</v>
      </c>
      <c r="N34" s="16">
        <v>32</v>
      </c>
      <c r="R34" s="17">
        <v>2048</v>
      </c>
    </row>
    <row r="35" spans="3:18">
      <c r="C35" s="18" t="s">
        <v>170</v>
      </c>
      <c r="N35" s="16">
        <v>33</v>
      </c>
      <c r="R35" s="17">
        <v>2049</v>
      </c>
    </row>
    <row r="36" spans="3:18">
      <c r="C36" s="18" t="s">
        <v>171</v>
      </c>
      <c r="N36" s="16">
        <v>34</v>
      </c>
    </row>
    <row r="37" spans="3:18">
      <c r="C37" s="18" t="s">
        <v>172</v>
      </c>
      <c r="N37" s="16">
        <v>35</v>
      </c>
    </row>
    <row r="38" spans="3:18">
      <c r="C38" s="18" t="s">
        <v>173</v>
      </c>
      <c r="N38" s="16">
        <v>36</v>
      </c>
    </row>
    <row r="39" spans="3:18">
      <c r="C39" s="18" t="s">
        <v>174</v>
      </c>
      <c r="N39" s="16">
        <v>37</v>
      </c>
    </row>
    <row r="40" spans="3:18">
      <c r="C40" s="18" t="s">
        <v>175</v>
      </c>
      <c r="N40" s="16">
        <v>38</v>
      </c>
    </row>
    <row r="41" spans="3:18">
      <c r="N41" s="16">
        <v>39</v>
      </c>
    </row>
    <row r="42" spans="3:18" ht="15">
      <c r="C42" s="19" t="s">
        <v>176</v>
      </c>
      <c r="N42" s="16">
        <v>40</v>
      </c>
    </row>
    <row r="43" spans="3:18">
      <c r="N43" s="16">
        <v>41</v>
      </c>
    </row>
    <row r="44" spans="3:18">
      <c r="C44" s="18" t="s">
        <v>177</v>
      </c>
      <c r="N44" s="16">
        <v>42</v>
      </c>
    </row>
    <row r="45" spans="3:18">
      <c r="C45" s="18" t="s">
        <v>178</v>
      </c>
      <c r="N45" s="16">
        <v>43</v>
      </c>
    </row>
    <row r="46" spans="3:18">
      <c r="C46" s="18" t="s">
        <v>179</v>
      </c>
      <c r="N46" s="16">
        <v>44</v>
      </c>
    </row>
    <row r="47" spans="3:18">
      <c r="C47" s="18" t="s">
        <v>180</v>
      </c>
      <c r="N47" s="16">
        <v>45</v>
      </c>
    </row>
    <row r="48" spans="3:18">
      <c r="C48" s="18" t="s">
        <v>181</v>
      </c>
      <c r="N48" s="16">
        <v>46</v>
      </c>
    </row>
    <row r="49" spans="3:14">
      <c r="C49" s="18" t="s">
        <v>182</v>
      </c>
      <c r="N49" s="16">
        <v>47</v>
      </c>
    </row>
    <row r="50" spans="3:14">
      <c r="C50" s="18" t="s">
        <v>183</v>
      </c>
      <c r="N50" s="16">
        <v>48</v>
      </c>
    </row>
    <row r="51" spans="3:14">
      <c r="C51" s="18" t="s">
        <v>184</v>
      </c>
      <c r="N51" s="16">
        <v>49</v>
      </c>
    </row>
    <row r="52" spans="3:14">
      <c r="C52" s="18" t="s">
        <v>185</v>
      </c>
      <c r="N52" s="16">
        <v>50</v>
      </c>
    </row>
    <row r="53" spans="3:14">
      <c r="C53" s="18" t="s">
        <v>186</v>
      </c>
      <c r="N53" s="16">
        <v>51</v>
      </c>
    </row>
    <row r="54" spans="3:14">
      <c r="C54" s="18" t="s">
        <v>187</v>
      </c>
      <c r="N54" s="16">
        <v>52</v>
      </c>
    </row>
    <row r="55" spans="3:14">
      <c r="C55" s="18" t="s">
        <v>188</v>
      </c>
      <c r="N55" s="16">
        <v>53</v>
      </c>
    </row>
    <row r="56" spans="3:14">
      <c r="N56" s="16">
        <v>54</v>
      </c>
    </row>
    <row r="57" spans="3:14">
      <c r="N57" s="16">
        <v>55</v>
      </c>
    </row>
    <row r="58" spans="3:14">
      <c r="N58" s="16">
        <v>56</v>
      </c>
    </row>
    <row r="59" spans="3:14">
      <c r="N59" s="16">
        <v>57</v>
      </c>
    </row>
    <row r="60" spans="3:14">
      <c r="N60" s="16">
        <v>58</v>
      </c>
    </row>
    <row r="61" spans="3:14">
      <c r="D61" s="18" t="str">
        <f>+E61&amp;F61</f>
        <v>SERVICIO DE EDUCACIÓN INICIALCALIDAD</v>
      </c>
      <c r="E61" s="24" t="s">
        <v>119</v>
      </c>
      <c r="F61" s="10" t="s">
        <v>1311</v>
      </c>
      <c r="G61" s="24" t="s">
        <v>190</v>
      </c>
      <c r="H61" s="10" t="s">
        <v>761</v>
      </c>
      <c r="J61" s="20"/>
      <c r="N61" s="16">
        <v>59</v>
      </c>
    </row>
    <row r="62" spans="3:14">
      <c r="D62" s="18" t="str">
        <f t="shared" ref="D62:D72" si="0">+E62&amp;F62</f>
        <v>SERVICIO DE EDUCACIÓN PRIMARIACALIDAD</v>
      </c>
      <c r="E62" s="24" t="s">
        <v>130</v>
      </c>
      <c r="F62" s="10" t="s">
        <v>1311</v>
      </c>
      <c r="G62" s="24" t="s">
        <v>192</v>
      </c>
      <c r="H62" s="10" t="s">
        <v>761</v>
      </c>
      <c r="J62" s="20"/>
      <c r="N62" s="16">
        <v>60</v>
      </c>
    </row>
    <row r="63" spans="3:14">
      <c r="D63" s="18" t="str">
        <f t="shared" si="0"/>
        <v>SERVICIO DE EDUCACIÓN SECUNDARIACALIDAD</v>
      </c>
      <c r="E63" s="24" t="s">
        <v>142</v>
      </c>
      <c r="F63" s="10" t="s">
        <v>1311</v>
      </c>
      <c r="G63" s="24" t="s">
        <v>194</v>
      </c>
      <c r="H63" s="10" t="s">
        <v>761</v>
      </c>
      <c r="J63" s="20"/>
      <c r="N63" s="16">
        <v>61</v>
      </c>
    </row>
    <row r="64" spans="3:14">
      <c r="D64" s="18" t="str">
        <f t="shared" si="0"/>
        <v>SERVICIO DE EDUCACIÓN INICIALCOBERTURA</v>
      </c>
      <c r="E64" s="24" t="s">
        <v>119</v>
      </c>
      <c r="F64" s="10" t="s">
        <v>1312</v>
      </c>
      <c r="G64" s="24" t="s">
        <v>191</v>
      </c>
      <c r="H64" s="10" t="s">
        <v>761</v>
      </c>
      <c r="J64" s="20"/>
      <c r="N64" s="16">
        <v>62</v>
      </c>
    </row>
    <row r="65" spans="4:14">
      <c r="D65" s="18" t="str">
        <f t="shared" si="0"/>
        <v>SERVICIO DE EDUCACIÓN PRIMARIACOBERTURA</v>
      </c>
      <c r="E65" s="24" t="s">
        <v>130</v>
      </c>
      <c r="F65" s="10" t="s">
        <v>1312</v>
      </c>
      <c r="G65" s="24" t="s">
        <v>193</v>
      </c>
      <c r="H65" s="10" t="s">
        <v>761</v>
      </c>
      <c r="J65" s="20"/>
      <c r="N65" s="16">
        <v>63</v>
      </c>
    </row>
    <row r="66" spans="4:14">
      <c r="D66" s="18" t="str">
        <f t="shared" si="0"/>
        <v>SERVICIO DE EDUCACIÓN SECUNDARIACOBERTURA</v>
      </c>
      <c r="E66" s="24" t="s">
        <v>142</v>
      </c>
      <c r="F66" s="10" t="s">
        <v>1312</v>
      </c>
      <c r="G66" s="24" t="s">
        <v>195</v>
      </c>
      <c r="H66" s="10" t="s">
        <v>761</v>
      </c>
      <c r="J66" s="20"/>
      <c r="N66" s="16">
        <v>64</v>
      </c>
    </row>
    <row r="67" spans="4:14">
      <c r="D67" s="18" t="str">
        <f t="shared" si="0"/>
        <v>SERVICIO DE EDUCACIÓN INICIALCOBERTURA</v>
      </c>
      <c r="E67" s="24" t="s">
        <v>119</v>
      </c>
      <c r="F67" s="10" t="s">
        <v>1312</v>
      </c>
      <c r="G67" s="24" t="s">
        <v>191</v>
      </c>
      <c r="H67" s="10" t="s">
        <v>761</v>
      </c>
      <c r="N67" s="16">
        <v>65</v>
      </c>
    </row>
    <row r="68" spans="4:14">
      <c r="D68" s="18" t="str">
        <f t="shared" si="0"/>
        <v>SERVICIO DE EDUCACIÓN PRIMARIACOBERTURA</v>
      </c>
      <c r="E68" s="24" t="s">
        <v>130</v>
      </c>
      <c r="F68" s="10" t="s">
        <v>1312</v>
      </c>
      <c r="G68" s="24" t="s">
        <v>193</v>
      </c>
      <c r="H68" s="10" t="s">
        <v>761</v>
      </c>
      <c r="N68" s="16">
        <v>66</v>
      </c>
    </row>
    <row r="69" spans="4:14">
      <c r="D69" s="18" t="str">
        <f t="shared" si="0"/>
        <v>SERVICIO DE EDUCACIÓN SECUNDARIACOBERTURA</v>
      </c>
      <c r="E69" s="24" t="s">
        <v>142</v>
      </c>
      <c r="F69" s="10" t="s">
        <v>1312</v>
      </c>
      <c r="G69" s="24" t="s">
        <v>195</v>
      </c>
      <c r="H69" s="10" t="s">
        <v>761</v>
      </c>
      <c r="N69" s="16">
        <v>67</v>
      </c>
    </row>
    <row r="70" spans="4:14">
      <c r="D70" s="18" t="str">
        <f t="shared" si="0"/>
        <v>SERVICIO DE EDUCACIÓN INICIALCALIDAD Y COBERTURA</v>
      </c>
      <c r="E70" s="24" t="s">
        <v>119</v>
      </c>
      <c r="F70" s="10" t="s">
        <v>1313</v>
      </c>
      <c r="G70" s="24" t="s">
        <v>190</v>
      </c>
      <c r="H70" s="24" t="s">
        <v>191</v>
      </c>
      <c r="N70" s="16">
        <v>68</v>
      </c>
    </row>
    <row r="71" spans="4:14">
      <c r="D71" s="18" t="str">
        <f t="shared" si="0"/>
        <v>SERVICIO DE EDUCACIÓN PRIMARIACALIDAD Y COBERTURA</v>
      </c>
      <c r="E71" s="24" t="s">
        <v>130</v>
      </c>
      <c r="F71" s="10" t="s">
        <v>1313</v>
      </c>
      <c r="G71" s="24" t="s">
        <v>192</v>
      </c>
      <c r="H71" s="24" t="s">
        <v>193</v>
      </c>
      <c r="N71" s="16">
        <v>69</v>
      </c>
    </row>
    <row r="72" spans="4:14">
      <c r="D72" s="18" t="str">
        <f t="shared" si="0"/>
        <v>SERVICIO DE EDUCACIÓN SECUNDARIACALIDAD Y COBERTURA</v>
      </c>
      <c r="E72" s="24" t="s">
        <v>142</v>
      </c>
      <c r="F72" s="10" t="s">
        <v>1313</v>
      </c>
      <c r="G72" s="24" t="s">
        <v>194</v>
      </c>
      <c r="H72" s="24" t="s">
        <v>195</v>
      </c>
      <c r="N72" s="16">
        <v>70</v>
      </c>
    </row>
    <row r="73" spans="4:14">
      <c r="N73" s="16">
        <v>71</v>
      </c>
    </row>
    <row r="74" spans="4:14">
      <c r="N74" s="16">
        <v>72</v>
      </c>
    </row>
    <row r="75" spans="4:14">
      <c r="N75" s="16">
        <v>73</v>
      </c>
    </row>
    <row r="76" spans="4:14">
      <c r="D76" s="10" t="s">
        <v>1329</v>
      </c>
      <c r="E76" s="10" t="s">
        <v>1330</v>
      </c>
      <c r="F76" s="922" t="s">
        <v>1331</v>
      </c>
      <c r="G76" s="922" t="s">
        <v>1382</v>
      </c>
      <c r="H76" s="20" t="s">
        <v>1393</v>
      </c>
      <c r="I76" s="922" t="s">
        <v>1399</v>
      </c>
      <c r="J76" s="922" t="s">
        <v>1282</v>
      </c>
      <c r="N76" s="16">
        <v>74</v>
      </c>
    </row>
    <row r="77" spans="4:14">
      <c r="D77" s="1072" t="s">
        <v>1337</v>
      </c>
      <c r="E77" s="1072"/>
      <c r="F77" s="932"/>
      <c r="G77" s="1075" t="s">
        <v>1394</v>
      </c>
      <c r="H77" s="17" t="str">
        <f t="shared" ref="H77:H88" si="1">+MID($G$76,1,2)&amp;0&amp;I77</f>
        <v>AC01</v>
      </c>
      <c r="I77" s="17">
        <v>1</v>
      </c>
      <c r="J77" s="922" t="s">
        <v>1395</v>
      </c>
      <c r="N77" s="16">
        <v>75</v>
      </c>
    </row>
    <row r="78" spans="4:14">
      <c r="D78" s="1072" t="s">
        <v>1339</v>
      </c>
      <c r="E78" s="1072" t="s">
        <v>1340</v>
      </c>
      <c r="F78" s="10" t="s">
        <v>1350</v>
      </c>
      <c r="G78" s="1075" t="s">
        <v>1398</v>
      </c>
      <c r="H78" s="17" t="str">
        <f t="shared" si="1"/>
        <v>AC02</v>
      </c>
      <c r="I78" s="17">
        <v>2</v>
      </c>
      <c r="J78" s="922" t="s">
        <v>1395</v>
      </c>
      <c r="N78" s="16">
        <v>76</v>
      </c>
    </row>
    <row r="79" spans="4:14">
      <c r="D79" s="10" t="s">
        <v>1401</v>
      </c>
      <c r="E79" s="1072" t="s">
        <v>1341</v>
      </c>
      <c r="F79" s="10" t="s">
        <v>1351</v>
      </c>
      <c r="G79" s="1075" t="s">
        <v>1383</v>
      </c>
      <c r="H79" s="17" t="str">
        <f t="shared" si="1"/>
        <v>AC03</v>
      </c>
      <c r="I79" s="17">
        <v>3</v>
      </c>
      <c r="J79" s="922" t="s">
        <v>1395</v>
      </c>
      <c r="N79" s="16">
        <v>77</v>
      </c>
    </row>
    <row r="80" spans="4:14">
      <c r="D80" s="1073" t="s">
        <v>1338</v>
      </c>
      <c r="E80" s="1072" t="s">
        <v>1345</v>
      </c>
      <c r="F80" s="10" t="s">
        <v>1352</v>
      </c>
      <c r="G80" s="1075" t="s">
        <v>1384</v>
      </c>
      <c r="H80" s="17" t="str">
        <f t="shared" si="1"/>
        <v>AC04</v>
      </c>
      <c r="I80" s="17">
        <v>4</v>
      </c>
      <c r="J80" s="922" t="s">
        <v>1395</v>
      </c>
      <c r="N80" s="16">
        <v>78</v>
      </c>
    </row>
    <row r="81" spans="4:14">
      <c r="D81" s="10" t="s">
        <v>1404</v>
      </c>
      <c r="E81" s="1072" t="s">
        <v>1342</v>
      </c>
      <c r="F81" s="10" t="s">
        <v>1353</v>
      </c>
      <c r="G81" s="1075" t="s">
        <v>1388</v>
      </c>
      <c r="H81" s="17" t="str">
        <f t="shared" si="1"/>
        <v>AC05</v>
      </c>
      <c r="I81" s="17">
        <v>5</v>
      </c>
      <c r="J81" s="922" t="s">
        <v>1395</v>
      </c>
      <c r="N81" s="16">
        <v>79</v>
      </c>
    </row>
    <row r="82" spans="4:14">
      <c r="E82" s="1072" t="s">
        <v>1344</v>
      </c>
      <c r="F82" s="10" t="s">
        <v>1354</v>
      </c>
      <c r="G82" s="1075" t="s">
        <v>1389</v>
      </c>
      <c r="H82" s="17" t="str">
        <f t="shared" si="1"/>
        <v>AC06</v>
      </c>
      <c r="I82" s="17">
        <v>6</v>
      </c>
      <c r="J82" s="922" t="s">
        <v>1395</v>
      </c>
      <c r="N82" s="16">
        <v>80</v>
      </c>
    </row>
    <row r="83" spans="4:14">
      <c r="E83" s="1072" t="s">
        <v>1343</v>
      </c>
      <c r="F83" s="10" t="s">
        <v>1355</v>
      </c>
      <c r="G83" s="1074" t="s">
        <v>1385</v>
      </c>
      <c r="H83" s="17" t="str">
        <f t="shared" si="1"/>
        <v>AC07</v>
      </c>
      <c r="I83" s="17">
        <v>7</v>
      </c>
      <c r="J83" s="922" t="s">
        <v>258</v>
      </c>
      <c r="N83" s="16">
        <v>81</v>
      </c>
    </row>
    <row r="84" spans="4:14">
      <c r="E84" s="1072" t="s">
        <v>1346</v>
      </c>
      <c r="F84" s="10" t="s">
        <v>1356</v>
      </c>
      <c r="G84" s="1074" t="s">
        <v>1386</v>
      </c>
      <c r="H84" s="17" t="str">
        <f t="shared" si="1"/>
        <v>AC08</v>
      </c>
      <c r="I84" s="17">
        <v>8</v>
      </c>
      <c r="J84" s="922" t="s">
        <v>258</v>
      </c>
      <c r="N84" s="16">
        <v>82</v>
      </c>
    </row>
    <row r="85" spans="4:14">
      <c r="E85" s="1073" t="s">
        <v>1347</v>
      </c>
      <c r="F85" s="10" t="s">
        <v>1357</v>
      </c>
      <c r="G85" s="1074" t="s">
        <v>1390</v>
      </c>
      <c r="H85" s="17" t="str">
        <f t="shared" si="1"/>
        <v>AC09</v>
      </c>
      <c r="I85" s="17">
        <v>9</v>
      </c>
      <c r="J85" s="922" t="s">
        <v>258</v>
      </c>
      <c r="N85" s="16">
        <v>83</v>
      </c>
    </row>
    <row r="86" spans="4:14">
      <c r="E86" s="1073" t="s">
        <v>1348</v>
      </c>
      <c r="F86" s="10" t="s">
        <v>1358</v>
      </c>
      <c r="G86" s="1074" t="s">
        <v>1387</v>
      </c>
      <c r="H86" s="17" t="str">
        <f t="shared" si="1"/>
        <v>AC010</v>
      </c>
      <c r="I86" s="17">
        <v>10</v>
      </c>
      <c r="J86" s="922" t="s">
        <v>1396</v>
      </c>
      <c r="N86" s="16">
        <v>84</v>
      </c>
    </row>
    <row r="87" spans="4:14">
      <c r="E87" s="10" t="s">
        <v>1404</v>
      </c>
      <c r="G87" s="1074" t="s">
        <v>1391</v>
      </c>
      <c r="H87" s="17" t="str">
        <f t="shared" si="1"/>
        <v>AC011</v>
      </c>
      <c r="I87" s="17">
        <v>11</v>
      </c>
      <c r="J87" s="922" t="s">
        <v>1397</v>
      </c>
      <c r="N87" s="16">
        <v>85</v>
      </c>
    </row>
    <row r="88" spans="4:14">
      <c r="G88" s="1074" t="s">
        <v>1392</v>
      </c>
      <c r="H88" s="17" t="str">
        <f t="shared" si="1"/>
        <v>AC012</v>
      </c>
      <c r="I88" s="17">
        <v>12</v>
      </c>
      <c r="J88" s="922" t="s">
        <v>1397</v>
      </c>
      <c r="N88" s="16">
        <v>86</v>
      </c>
    </row>
    <row r="89" spans="4:14">
      <c r="N89" s="16">
        <v>87</v>
      </c>
    </row>
    <row r="90" spans="4:14">
      <c r="N90" s="16">
        <v>88</v>
      </c>
    </row>
    <row r="91" spans="4:14">
      <c r="F91" s="922" t="s">
        <v>1331</v>
      </c>
      <c r="G91" s="922" t="s">
        <v>1382</v>
      </c>
      <c r="H91" s="20" t="s">
        <v>1393</v>
      </c>
      <c r="I91" s="922" t="s">
        <v>1399</v>
      </c>
      <c r="J91" s="922" t="s">
        <v>1282</v>
      </c>
      <c r="N91" s="16">
        <v>89</v>
      </c>
    </row>
    <row r="92" spans="4:14">
      <c r="F92" s="932" t="s">
        <v>1349</v>
      </c>
      <c r="G92" s="1075" t="s">
        <v>1394</v>
      </c>
      <c r="H92" s="17" t="str">
        <f t="shared" ref="H92:H103" si="2">+MID($G$76,1,2)&amp;0&amp;I92</f>
        <v>AC01</v>
      </c>
      <c r="I92" s="17">
        <v>1</v>
      </c>
      <c r="J92" s="922" t="s">
        <v>1395</v>
      </c>
      <c r="K92" s="21" t="e">
        <f>+HLOOKUP($F$77,$F$92:$G$97,1,FALSE)</f>
        <v>#N/A</v>
      </c>
      <c r="N92" s="16">
        <v>90</v>
      </c>
    </row>
    <row r="93" spans="4:14">
      <c r="F93" s="932" t="s">
        <v>1349</v>
      </c>
      <c r="G93" s="1075" t="s">
        <v>1398</v>
      </c>
      <c r="H93" s="17" t="str">
        <f t="shared" si="2"/>
        <v>AC02</v>
      </c>
      <c r="I93" s="17">
        <v>2</v>
      </c>
      <c r="J93" s="922" t="s">
        <v>1395</v>
      </c>
      <c r="K93" s="21" t="e">
        <f>+VLOOKUP($F$77,$F$92:$G$97,3,FALSE)</f>
        <v>#N/A</v>
      </c>
      <c r="N93" s="16">
        <v>91</v>
      </c>
    </row>
    <row r="94" spans="4:14">
      <c r="D94" s="10" t="s">
        <v>1332</v>
      </c>
      <c r="E94" s="10" t="s">
        <v>1333</v>
      </c>
      <c r="F94" s="932" t="s">
        <v>1349</v>
      </c>
      <c r="G94" s="1075" t="s">
        <v>1383</v>
      </c>
      <c r="H94" s="17" t="str">
        <f t="shared" si="2"/>
        <v>AC03</v>
      </c>
      <c r="I94" s="17">
        <v>3</v>
      </c>
      <c r="J94" s="922" t="s">
        <v>1395</v>
      </c>
      <c r="K94" s="21" t="e">
        <f>+VLOOKUP($F$77,$F$92:$G$97,2,FALSE)</f>
        <v>#N/A</v>
      </c>
      <c r="N94" s="16">
        <v>92</v>
      </c>
    </row>
    <row r="95" spans="4:14">
      <c r="D95" s="10" t="s">
        <v>1364</v>
      </c>
      <c r="E95" s="10" t="s">
        <v>1365</v>
      </c>
      <c r="F95" s="932" t="s">
        <v>1349</v>
      </c>
      <c r="G95" s="1075" t="s">
        <v>1384</v>
      </c>
      <c r="H95" s="17" t="str">
        <f t="shared" si="2"/>
        <v>AC04</v>
      </c>
      <c r="I95" s="17">
        <v>4</v>
      </c>
      <c r="J95" s="922" t="s">
        <v>1395</v>
      </c>
      <c r="K95" s="21" t="e">
        <f>+VLOOKUP($F$77,$F$92:$G$97,2,FALSE)</f>
        <v>#N/A</v>
      </c>
      <c r="N95" s="16">
        <v>93</v>
      </c>
    </row>
    <row r="96" spans="4:14">
      <c r="D96" s="10" t="s">
        <v>1366</v>
      </c>
      <c r="E96" s="10" t="s">
        <v>1367</v>
      </c>
      <c r="F96" s="932" t="s">
        <v>1349</v>
      </c>
      <c r="G96" s="1075" t="s">
        <v>1388</v>
      </c>
      <c r="H96" s="17" t="str">
        <f t="shared" si="2"/>
        <v>AC05</v>
      </c>
      <c r="I96" s="17">
        <v>5</v>
      </c>
      <c r="J96" s="922" t="s">
        <v>1395</v>
      </c>
      <c r="K96" s="21" t="e">
        <f>+VLOOKUP($F$77,$F$92:$G$97,2,FALSE)</f>
        <v>#N/A</v>
      </c>
      <c r="N96" s="16">
        <v>94</v>
      </c>
    </row>
    <row r="97" spans="3:16">
      <c r="E97" s="1071" t="s">
        <v>1363</v>
      </c>
      <c r="F97" s="932" t="s">
        <v>1349</v>
      </c>
      <c r="G97" s="1075" t="s">
        <v>1389</v>
      </c>
      <c r="H97" s="17" t="str">
        <f t="shared" si="2"/>
        <v>AC06</v>
      </c>
      <c r="I97" s="17">
        <v>6</v>
      </c>
      <c r="J97" s="922" t="s">
        <v>1395</v>
      </c>
      <c r="K97" s="21" t="e">
        <f>+VLOOKUP($F$77,$F$92:$G$97,2,FALSE)</f>
        <v>#N/A</v>
      </c>
      <c r="N97" s="16">
        <v>95</v>
      </c>
    </row>
    <row r="98" spans="3:16">
      <c r="G98" s="1074" t="s">
        <v>1385</v>
      </c>
      <c r="H98" s="17" t="str">
        <f t="shared" si="2"/>
        <v>AC07</v>
      </c>
      <c r="I98" s="17">
        <v>7</v>
      </c>
      <c r="J98" s="922" t="s">
        <v>258</v>
      </c>
      <c r="N98" s="16">
        <v>96</v>
      </c>
    </row>
    <row r="99" spans="3:16" ht="12.75" customHeight="1">
      <c r="C99" s="10" t="s">
        <v>1418</v>
      </c>
      <c r="D99" s="16" t="s">
        <v>87</v>
      </c>
      <c r="E99" s="922" t="s">
        <v>1377</v>
      </c>
      <c r="G99" s="1074" t="s">
        <v>1386</v>
      </c>
      <c r="H99" s="17" t="str">
        <f t="shared" si="2"/>
        <v>AC08</v>
      </c>
      <c r="I99" s="17">
        <v>8</v>
      </c>
      <c r="J99" s="922" t="s">
        <v>258</v>
      </c>
      <c r="K99" s="17"/>
      <c r="L99" s="17"/>
      <c r="M99" s="17"/>
      <c r="N99" s="16" t="s">
        <v>88</v>
      </c>
      <c r="O99" s="17"/>
      <c r="P99" s="17"/>
    </row>
    <row r="100" spans="3:16">
      <c r="C100" s="10" t="s">
        <v>1419</v>
      </c>
      <c r="D100" s="10" t="s">
        <v>1371</v>
      </c>
      <c r="E100" s="10" t="s">
        <v>1378</v>
      </c>
      <c r="G100" s="1074" t="s">
        <v>1390</v>
      </c>
      <c r="H100" s="17" t="str">
        <f t="shared" si="2"/>
        <v>AC09</v>
      </c>
      <c r="I100" s="17">
        <v>9</v>
      </c>
      <c r="J100" s="922" t="s">
        <v>258</v>
      </c>
      <c r="N100" s="16">
        <v>98</v>
      </c>
    </row>
    <row r="101" spans="3:16">
      <c r="C101" s="10" t="s">
        <v>1420</v>
      </c>
      <c r="D101" s="10" t="s">
        <v>1370</v>
      </c>
      <c r="E101" s="10" t="s">
        <v>1379</v>
      </c>
      <c r="G101" s="1074" t="s">
        <v>1387</v>
      </c>
      <c r="H101" s="17" t="str">
        <f t="shared" si="2"/>
        <v>AC010</v>
      </c>
      <c r="I101" s="17">
        <v>10</v>
      </c>
      <c r="J101" s="922" t="s">
        <v>1396</v>
      </c>
      <c r="N101" s="16">
        <v>99</v>
      </c>
    </row>
    <row r="102" spans="3:16">
      <c r="C102" s="10" t="s">
        <v>1421</v>
      </c>
      <c r="D102" s="10" t="s">
        <v>1372</v>
      </c>
      <c r="E102" s="10" t="s">
        <v>1380</v>
      </c>
      <c r="G102" s="1074" t="s">
        <v>1391</v>
      </c>
      <c r="H102" s="17" t="str">
        <f t="shared" si="2"/>
        <v>AC011</v>
      </c>
      <c r="I102" s="17">
        <v>11</v>
      </c>
      <c r="J102" s="922" t="s">
        <v>1397</v>
      </c>
    </row>
    <row r="103" spans="3:16">
      <c r="C103" s="10" t="s">
        <v>1423</v>
      </c>
      <c r="D103" s="10" t="s">
        <v>1373</v>
      </c>
      <c r="E103" s="10" t="s">
        <v>1381</v>
      </c>
      <c r="G103" s="1074" t="s">
        <v>1392</v>
      </c>
      <c r="H103" s="17" t="str">
        <f t="shared" si="2"/>
        <v>AC012</v>
      </c>
      <c r="I103" s="17">
        <v>12</v>
      </c>
      <c r="J103" s="922" t="s">
        <v>1397</v>
      </c>
    </row>
    <row r="104" spans="3:16">
      <c r="C104" s="10" t="s">
        <v>1422</v>
      </c>
      <c r="D104" s="10" t="s">
        <v>1374</v>
      </c>
      <c r="E104" s="10" t="s">
        <v>1295</v>
      </c>
    </row>
    <row r="105" spans="3:16">
      <c r="C105" s="10" t="s">
        <v>1424</v>
      </c>
      <c r="D105" s="10" t="s">
        <v>1375</v>
      </c>
      <c r="E105" s="10" t="s">
        <v>1297</v>
      </c>
      <c r="F105" s="10" t="s">
        <v>1350</v>
      </c>
    </row>
    <row r="106" spans="3:16">
      <c r="C106" s="10" t="s">
        <v>1425</v>
      </c>
      <c r="D106" s="10" t="s">
        <v>834</v>
      </c>
    </row>
    <row r="107" spans="3:16">
      <c r="C107" s="10" t="s">
        <v>1426</v>
      </c>
      <c r="D107" s="10" t="s">
        <v>1376</v>
      </c>
    </row>
    <row r="108" spans="3:16">
      <c r="D108" s="10" t="s">
        <v>22</v>
      </c>
    </row>
    <row r="114" spans="6:6">
      <c r="F114" s="10" t="s">
        <v>1351</v>
      </c>
    </row>
    <row r="118" spans="6:6">
      <c r="F118" s="10" t="s">
        <v>1352</v>
      </c>
    </row>
    <row r="119" spans="6:6">
      <c r="F119" s="10" t="s">
        <v>1353</v>
      </c>
    </row>
    <row r="120" spans="6:6">
      <c r="F120" s="10" t="s">
        <v>1354</v>
      </c>
    </row>
    <row r="121" spans="6:6">
      <c r="F121" s="10" t="s">
        <v>1355</v>
      </c>
    </row>
    <row r="122" spans="6:6">
      <c r="F122" s="10" t="s">
        <v>1356</v>
      </c>
    </row>
    <row r="123" spans="6:6">
      <c r="F123" s="10" t="s">
        <v>1357</v>
      </c>
    </row>
    <row r="124" spans="6:6">
      <c r="F124" s="10" t="s">
        <v>1358</v>
      </c>
    </row>
    <row r="129" spans="4:7">
      <c r="D129" s="10" t="s">
        <v>791</v>
      </c>
    </row>
    <row r="130" spans="4:7">
      <c r="D130" s="10" t="s">
        <v>910</v>
      </c>
    </row>
    <row r="131" spans="4:7">
      <c r="D131" s="10" t="s">
        <v>1263</v>
      </c>
    </row>
    <row r="132" spans="4:7">
      <c r="D132" s="10" t="s">
        <v>1414</v>
      </c>
    </row>
    <row r="133" spans="4:7">
      <c r="D133" s="10" t="s">
        <v>1415</v>
      </c>
    </row>
    <row r="137" spans="4:7">
      <c r="D137" s="10" t="s">
        <v>1441</v>
      </c>
    </row>
    <row r="138" spans="4:7">
      <c r="D138" s="10" t="s">
        <v>64</v>
      </c>
      <c r="E138" s="10" t="s">
        <v>1442</v>
      </c>
      <c r="F138" s="932" t="s">
        <v>1443</v>
      </c>
      <c r="G138" s="10" t="s">
        <v>60</v>
      </c>
    </row>
    <row r="139" spans="4:7">
      <c r="D139" s="10" t="s">
        <v>1444</v>
      </c>
    </row>
  </sheetData>
  <sheetProtection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5" tint="-0.249977111117893"/>
  </sheetPr>
  <dimension ref="A1:AR121"/>
  <sheetViews>
    <sheetView showGridLines="0" topLeftCell="E1" zoomScale="90" zoomScaleNormal="90" workbookViewId="0">
      <selection activeCell="M33" sqref="M33"/>
    </sheetView>
  </sheetViews>
  <sheetFormatPr baseColWidth="10" defaultRowHeight="15" customHeight="1"/>
  <cols>
    <col min="1" max="1" width="1" style="735" customWidth="1"/>
    <col min="2" max="2" width="1.42578125" style="735" customWidth="1"/>
    <col min="3" max="3" width="2.140625" style="735" customWidth="1"/>
    <col min="4" max="4" width="3.7109375" style="735" customWidth="1"/>
    <col min="5" max="5" width="3.7109375" style="736" customWidth="1"/>
    <col min="6" max="6" width="6.85546875" style="736" customWidth="1"/>
    <col min="7" max="7" width="12.7109375" style="735" customWidth="1"/>
    <col min="8" max="8" width="14.5703125" style="735" customWidth="1"/>
    <col min="9" max="9" width="9.85546875" style="735" customWidth="1"/>
    <col min="10" max="10" width="10.42578125" style="735" customWidth="1"/>
    <col min="11" max="13" width="8.5703125" style="735" customWidth="1"/>
    <col min="14" max="14" width="8" style="735" customWidth="1"/>
    <col min="15" max="17" width="8.28515625" style="735" customWidth="1"/>
    <col min="18" max="18" width="27.7109375" style="735" customWidth="1"/>
    <col min="19" max="19" width="7.140625" style="735" customWidth="1"/>
    <col min="20" max="21" width="6.85546875" style="735" customWidth="1"/>
    <col min="22" max="22" width="22.7109375" style="735" customWidth="1"/>
    <col min="23" max="23" width="11.5703125" style="735" customWidth="1"/>
    <col min="24" max="24" width="7.5703125" style="735" customWidth="1"/>
    <col min="25" max="25" width="3.5703125" style="735" customWidth="1"/>
    <col min="26" max="26" width="3.7109375" style="735" customWidth="1"/>
    <col min="27" max="27" width="11" style="735" customWidth="1"/>
    <col min="28" max="28" width="14.5703125" style="735" customWidth="1"/>
    <col min="29" max="29" width="19.28515625" style="735" customWidth="1"/>
    <col min="30" max="30" width="18.42578125" style="735" customWidth="1"/>
    <col min="31" max="256" width="11.42578125" style="735"/>
    <col min="257" max="257" width="3.7109375" style="735" customWidth="1"/>
    <col min="258" max="258" width="23.42578125" style="735" customWidth="1"/>
    <col min="259" max="261" width="3.7109375" style="735" customWidth="1"/>
    <col min="262" max="262" width="6.85546875" style="735" customWidth="1"/>
    <col min="263" max="263" width="12.7109375" style="735" customWidth="1"/>
    <col min="264" max="264" width="14.5703125" style="735" customWidth="1"/>
    <col min="265" max="265" width="9.85546875" style="735" customWidth="1"/>
    <col min="266" max="266" width="10.42578125" style="735" customWidth="1"/>
    <col min="267" max="269" width="8.5703125" style="735" customWidth="1"/>
    <col min="270" max="270" width="8" style="735" customWidth="1"/>
    <col min="271" max="273" width="8.28515625" style="735" customWidth="1"/>
    <col min="274" max="274" width="27.7109375" style="735" customWidth="1"/>
    <col min="275" max="275" width="7.140625" style="735" customWidth="1"/>
    <col min="276" max="277" width="6.85546875" style="735" customWidth="1"/>
    <col min="278" max="278" width="22.7109375" style="735" customWidth="1"/>
    <col min="279" max="279" width="11.5703125" style="735" customWidth="1"/>
    <col min="280" max="280" width="7.5703125" style="735" customWidth="1"/>
    <col min="281" max="281" width="3.5703125" style="735" customWidth="1"/>
    <col min="282" max="282" width="3.7109375" style="735" customWidth="1"/>
    <col min="283" max="283" width="11" style="735" customWidth="1"/>
    <col min="284" max="284" width="14.5703125" style="735" customWidth="1"/>
    <col min="285" max="285" width="19.28515625" style="735" customWidth="1"/>
    <col min="286" max="286" width="18.42578125" style="735" customWidth="1"/>
    <col min="287" max="512" width="11.42578125" style="735"/>
    <col min="513" max="513" width="3.7109375" style="735" customWidth="1"/>
    <col min="514" max="514" width="23.42578125" style="735" customWidth="1"/>
    <col min="515" max="517" width="3.7109375" style="735" customWidth="1"/>
    <col min="518" max="518" width="6.85546875" style="735" customWidth="1"/>
    <col min="519" max="519" width="12.7109375" style="735" customWidth="1"/>
    <col min="520" max="520" width="14.5703125" style="735" customWidth="1"/>
    <col min="521" max="521" width="9.85546875" style="735" customWidth="1"/>
    <col min="522" max="522" width="10.42578125" style="735" customWidth="1"/>
    <col min="523" max="525" width="8.5703125" style="735" customWidth="1"/>
    <col min="526" max="526" width="8" style="735" customWidth="1"/>
    <col min="527" max="529" width="8.28515625" style="735" customWidth="1"/>
    <col min="530" max="530" width="27.7109375" style="735" customWidth="1"/>
    <col min="531" max="531" width="7.140625" style="735" customWidth="1"/>
    <col min="532" max="533" width="6.85546875" style="735" customWidth="1"/>
    <col min="534" max="534" width="22.7109375" style="735" customWidth="1"/>
    <col min="535" max="535" width="11.5703125" style="735" customWidth="1"/>
    <col min="536" max="536" width="7.5703125" style="735" customWidth="1"/>
    <col min="537" max="537" width="3.5703125" style="735" customWidth="1"/>
    <col min="538" max="538" width="3.7109375" style="735" customWidth="1"/>
    <col min="539" max="539" width="11" style="735" customWidth="1"/>
    <col min="540" max="540" width="14.5703125" style="735" customWidth="1"/>
    <col min="541" max="541" width="19.28515625" style="735" customWidth="1"/>
    <col min="542" max="542" width="18.42578125" style="735" customWidth="1"/>
    <col min="543" max="768" width="11.42578125" style="735"/>
    <col min="769" max="769" width="3.7109375" style="735" customWidth="1"/>
    <col min="770" max="770" width="23.42578125" style="735" customWidth="1"/>
    <col min="771" max="773" width="3.7109375" style="735" customWidth="1"/>
    <col min="774" max="774" width="6.85546875" style="735" customWidth="1"/>
    <col min="775" max="775" width="12.7109375" style="735" customWidth="1"/>
    <col min="776" max="776" width="14.5703125" style="735" customWidth="1"/>
    <col min="777" max="777" width="9.85546875" style="735" customWidth="1"/>
    <col min="778" max="778" width="10.42578125" style="735" customWidth="1"/>
    <col min="779" max="781" width="8.5703125" style="735" customWidth="1"/>
    <col min="782" max="782" width="8" style="735" customWidth="1"/>
    <col min="783" max="785" width="8.28515625" style="735" customWidth="1"/>
    <col min="786" max="786" width="27.7109375" style="735" customWidth="1"/>
    <col min="787" max="787" width="7.140625" style="735" customWidth="1"/>
    <col min="788" max="789" width="6.85546875" style="735" customWidth="1"/>
    <col min="790" max="790" width="22.7109375" style="735" customWidth="1"/>
    <col min="791" max="791" width="11.5703125" style="735" customWidth="1"/>
    <col min="792" max="792" width="7.5703125" style="735" customWidth="1"/>
    <col min="793" max="793" width="3.5703125" style="735" customWidth="1"/>
    <col min="794" max="794" width="3.7109375" style="735" customWidth="1"/>
    <col min="795" max="795" width="11" style="735" customWidth="1"/>
    <col min="796" max="796" width="14.5703125" style="735" customWidth="1"/>
    <col min="797" max="797" width="19.28515625" style="735" customWidth="1"/>
    <col min="798" max="798" width="18.42578125" style="735" customWidth="1"/>
    <col min="799" max="1024" width="11.42578125" style="735"/>
    <col min="1025" max="1025" width="3.7109375" style="735" customWidth="1"/>
    <col min="1026" max="1026" width="23.42578125" style="735" customWidth="1"/>
    <col min="1027" max="1029" width="3.7109375" style="735" customWidth="1"/>
    <col min="1030" max="1030" width="6.85546875" style="735" customWidth="1"/>
    <col min="1031" max="1031" width="12.7109375" style="735" customWidth="1"/>
    <col min="1032" max="1032" width="14.5703125" style="735" customWidth="1"/>
    <col min="1033" max="1033" width="9.85546875" style="735" customWidth="1"/>
    <col min="1034" max="1034" width="10.42578125" style="735" customWidth="1"/>
    <col min="1035" max="1037" width="8.5703125" style="735" customWidth="1"/>
    <col min="1038" max="1038" width="8" style="735" customWidth="1"/>
    <col min="1039" max="1041" width="8.28515625" style="735" customWidth="1"/>
    <col min="1042" max="1042" width="27.7109375" style="735" customWidth="1"/>
    <col min="1043" max="1043" width="7.140625" style="735" customWidth="1"/>
    <col min="1044" max="1045" width="6.85546875" style="735" customWidth="1"/>
    <col min="1046" max="1046" width="22.7109375" style="735" customWidth="1"/>
    <col min="1047" max="1047" width="11.5703125" style="735" customWidth="1"/>
    <col min="1048" max="1048" width="7.5703125" style="735" customWidth="1"/>
    <col min="1049" max="1049" width="3.5703125" style="735" customWidth="1"/>
    <col min="1050" max="1050" width="3.7109375" style="735" customWidth="1"/>
    <col min="1051" max="1051" width="11" style="735" customWidth="1"/>
    <col min="1052" max="1052" width="14.5703125" style="735" customWidth="1"/>
    <col min="1053" max="1053" width="19.28515625" style="735" customWidth="1"/>
    <col min="1054" max="1054" width="18.42578125" style="735" customWidth="1"/>
    <col min="1055" max="1280" width="11.42578125" style="735"/>
    <col min="1281" max="1281" width="3.7109375" style="735" customWidth="1"/>
    <col min="1282" max="1282" width="23.42578125" style="735" customWidth="1"/>
    <col min="1283" max="1285" width="3.7109375" style="735" customWidth="1"/>
    <col min="1286" max="1286" width="6.85546875" style="735" customWidth="1"/>
    <col min="1287" max="1287" width="12.7109375" style="735" customWidth="1"/>
    <col min="1288" max="1288" width="14.5703125" style="735" customWidth="1"/>
    <col min="1289" max="1289" width="9.85546875" style="735" customWidth="1"/>
    <col min="1290" max="1290" width="10.42578125" style="735" customWidth="1"/>
    <col min="1291" max="1293" width="8.5703125" style="735" customWidth="1"/>
    <col min="1294" max="1294" width="8" style="735" customWidth="1"/>
    <col min="1295" max="1297" width="8.28515625" style="735" customWidth="1"/>
    <col min="1298" max="1298" width="27.7109375" style="735" customWidth="1"/>
    <col min="1299" max="1299" width="7.140625" style="735" customWidth="1"/>
    <col min="1300" max="1301" width="6.85546875" style="735" customWidth="1"/>
    <col min="1302" max="1302" width="22.7109375" style="735" customWidth="1"/>
    <col min="1303" max="1303" width="11.5703125" style="735" customWidth="1"/>
    <col min="1304" max="1304" width="7.5703125" style="735" customWidth="1"/>
    <col min="1305" max="1305" width="3.5703125" style="735" customWidth="1"/>
    <col min="1306" max="1306" width="3.7109375" style="735" customWidth="1"/>
    <col min="1307" max="1307" width="11" style="735" customWidth="1"/>
    <col min="1308" max="1308" width="14.5703125" style="735" customWidth="1"/>
    <col min="1309" max="1309" width="19.28515625" style="735" customWidth="1"/>
    <col min="1310" max="1310" width="18.42578125" style="735" customWidth="1"/>
    <col min="1311" max="1536" width="11.42578125" style="735"/>
    <col min="1537" max="1537" width="3.7109375" style="735" customWidth="1"/>
    <col min="1538" max="1538" width="23.42578125" style="735" customWidth="1"/>
    <col min="1539" max="1541" width="3.7109375" style="735" customWidth="1"/>
    <col min="1542" max="1542" width="6.85546875" style="735" customWidth="1"/>
    <col min="1543" max="1543" width="12.7109375" style="735" customWidth="1"/>
    <col min="1544" max="1544" width="14.5703125" style="735" customWidth="1"/>
    <col min="1545" max="1545" width="9.85546875" style="735" customWidth="1"/>
    <col min="1546" max="1546" width="10.42578125" style="735" customWidth="1"/>
    <col min="1547" max="1549" width="8.5703125" style="735" customWidth="1"/>
    <col min="1550" max="1550" width="8" style="735" customWidth="1"/>
    <col min="1551" max="1553" width="8.28515625" style="735" customWidth="1"/>
    <col min="1554" max="1554" width="27.7109375" style="735" customWidth="1"/>
    <col min="1555" max="1555" width="7.140625" style="735" customWidth="1"/>
    <col min="1556" max="1557" width="6.85546875" style="735" customWidth="1"/>
    <col min="1558" max="1558" width="22.7109375" style="735" customWidth="1"/>
    <col min="1559" max="1559" width="11.5703125" style="735" customWidth="1"/>
    <col min="1560" max="1560" width="7.5703125" style="735" customWidth="1"/>
    <col min="1561" max="1561" width="3.5703125" style="735" customWidth="1"/>
    <col min="1562" max="1562" width="3.7109375" style="735" customWidth="1"/>
    <col min="1563" max="1563" width="11" style="735" customWidth="1"/>
    <col min="1564" max="1564" width="14.5703125" style="735" customWidth="1"/>
    <col min="1565" max="1565" width="19.28515625" style="735" customWidth="1"/>
    <col min="1566" max="1566" width="18.42578125" style="735" customWidth="1"/>
    <col min="1567" max="1792" width="11.42578125" style="735"/>
    <col min="1793" max="1793" width="3.7109375" style="735" customWidth="1"/>
    <col min="1794" max="1794" width="23.42578125" style="735" customWidth="1"/>
    <col min="1795" max="1797" width="3.7109375" style="735" customWidth="1"/>
    <col min="1798" max="1798" width="6.85546875" style="735" customWidth="1"/>
    <col min="1799" max="1799" width="12.7109375" style="735" customWidth="1"/>
    <col min="1800" max="1800" width="14.5703125" style="735" customWidth="1"/>
    <col min="1801" max="1801" width="9.85546875" style="735" customWidth="1"/>
    <col min="1802" max="1802" width="10.42578125" style="735" customWidth="1"/>
    <col min="1803" max="1805" width="8.5703125" style="735" customWidth="1"/>
    <col min="1806" max="1806" width="8" style="735" customWidth="1"/>
    <col min="1807" max="1809" width="8.28515625" style="735" customWidth="1"/>
    <col min="1810" max="1810" width="27.7109375" style="735" customWidth="1"/>
    <col min="1811" max="1811" width="7.140625" style="735" customWidth="1"/>
    <col min="1812" max="1813" width="6.85546875" style="735" customWidth="1"/>
    <col min="1814" max="1814" width="22.7109375" style="735" customWidth="1"/>
    <col min="1815" max="1815" width="11.5703125" style="735" customWidth="1"/>
    <col min="1816" max="1816" width="7.5703125" style="735" customWidth="1"/>
    <col min="1817" max="1817" width="3.5703125" style="735" customWidth="1"/>
    <col min="1818" max="1818" width="3.7109375" style="735" customWidth="1"/>
    <col min="1819" max="1819" width="11" style="735" customWidth="1"/>
    <col min="1820" max="1820" width="14.5703125" style="735" customWidth="1"/>
    <col min="1821" max="1821" width="19.28515625" style="735" customWidth="1"/>
    <col min="1822" max="1822" width="18.42578125" style="735" customWidth="1"/>
    <col min="1823" max="2048" width="11.42578125" style="735"/>
    <col min="2049" max="2049" width="3.7109375" style="735" customWidth="1"/>
    <col min="2050" max="2050" width="23.42578125" style="735" customWidth="1"/>
    <col min="2051" max="2053" width="3.7109375" style="735" customWidth="1"/>
    <col min="2054" max="2054" width="6.85546875" style="735" customWidth="1"/>
    <col min="2055" max="2055" width="12.7109375" style="735" customWidth="1"/>
    <col min="2056" max="2056" width="14.5703125" style="735" customWidth="1"/>
    <col min="2057" max="2057" width="9.85546875" style="735" customWidth="1"/>
    <col min="2058" max="2058" width="10.42578125" style="735" customWidth="1"/>
    <col min="2059" max="2061" width="8.5703125" style="735" customWidth="1"/>
    <col min="2062" max="2062" width="8" style="735" customWidth="1"/>
    <col min="2063" max="2065" width="8.28515625" style="735" customWidth="1"/>
    <col min="2066" max="2066" width="27.7109375" style="735" customWidth="1"/>
    <col min="2067" max="2067" width="7.140625" style="735" customWidth="1"/>
    <col min="2068" max="2069" width="6.85546875" style="735" customWidth="1"/>
    <col min="2070" max="2070" width="22.7109375" style="735" customWidth="1"/>
    <col min="2071" max="2071" width="11.5703125" style="735" customWidth="1"/>
    <col min="2072" max="2072" width="7.5703125" style="735" customWidth="1"/>
    <col min="2073" max="2073" width="3.5703125" style="735" customWidth="1"/>
    <col min="2074" max="2074" width="3.7109375" style="735" customWidth="1"/>
    <col min="2075" max="2075" width="11" style="735" customWidth="1"/>
    <col min="2076" max="2076" width="14.5703125" style="735" customWidth="1"/>
    <col min="2077" max="2077" width="19.28515625" style="735" customWidth="1"/>
    <col min="2078" max="2078" width="18.42578125" style="735" customWidth="1"/>
    <col min="2079" max="2304" width="11.42578125" style="735"/>
    <col min="2305" max="2305" width="3.7109375" style="735" customWidth="1"/>
    <col min="2306" max="2306" width="23.42578125" style="735" customWidth="1"/>
    <col min="2307" max="2309" width="3.7109375" style="735" customWidth="1"/>
    <col min="2310" max="2310" width="6.85546875" style="735" customWidth="1"/>
    <col min="2311" max="2311" width="12.7109375" style="735" customWidth="1"/>
    <col min="2312" max="2312" width="14.5703125" style="735" customWidth="1"/>
    <col min="2313" max="2313" width="9.85546875" style="735" customWidth="1"/>
    <col min="2314" max="2314" width="10.42578125" style="735" customWidth="1"/>
    <col min="2315" max="2317" width="8.5703125" style="735" customWidth="1"/>
    <col min="2318" max="2318" width="8" style="735" customWidth="1"/>
    <col min="2319" max="2321" width="8.28515625" style="735" customWidth="1"/>
    <col min="2322" max="2322" width="27.7109375" style="735" customWidth="1"/>
    <col min="2323" max="2323" width="7.140625" style="735" customWidth="1"/>
    <col min="2324" max="2325" width="6.85546875" style="735" customWidth="1"/>
    <col min="2326" max="2326" width="22.7109375" style="735" customWidth="1"/>
    <col min="2327" max="2327" width="11.5703125" style="735" customWidth="1"/>
    <col min="2328" max="2328" width="7.5703125" style="735" customWidth="1"/>
    <col min="2329" max="2329" width="3.5703125" style="735" customWidth="1"/>
    <col min="2330" max="2330" width="3.7109375" style="735" customWidth="1"/>
    <col min="2331" max="2331" width="11" style="735" customWidth="1"/>
    <col min="2332" max="2332" width="14.5703125" style="735" customWidth="1"/>
    <col min="2333" max="2333" width="19.28515625" style="735" customWidth="1"/>
    <col min="2334" max="2334" width="18.42578125" style="735" customWidth="1"/>
    <col min="2335" max="2560" width="11.42578125" style="735"/>
    <col min="2561" max="2561" width="3.7109375" style="735" customWidth="1"/>
    <col min="2562" max="2562" width="23.42578125" style="735" customWidth="1"/>
    <col min="2563" max="2565" width="3.7109375" style="735" customWidth="1"/>
    <col min="2566" max="2566" width="6.85546875" style="735" customWidth="1"/>
    <col min="2567" max="2567" width="12.7109375" style="735" customWidth="1"/>
    <col min="2568" max="2568" width="14.5703125" style="735" customWidth="1"/>
    <col min="2569" max="2569" width="9.85546875" style="735" customWidth="1"/>
    <col min="2570" max="2570" width="10.42578125" style="735" customWidth="1"/>
    <col min="2571" max="2573" width="8.5703125" style="735" customWidth="1"/>
    <col min="2574" max="2574" width="8" style="735" customWidth="1"/>
    <col min="2575" max="2577" width="8.28515625" style="735" customWidth="1"/>
    <col min="2578" max="2578" width="27.7109375" style="735" customWidth="1"/>
    <col min="2579" max="2579" width="7.140625" style="735" customWidth="1"/>
    <col min="2580" max="2581" width="6.85546875" style="735" customWidth="1"/>
    <col min="2582" max="2582" width="22.7109375" style="735" customWidth="1"/>
    <col min="2583" max="2583" width="11.5703125" style="735" customWidth="1"/>
    <col min="2584" max="2584" width="7.5703125" style="735" customWidth="1"/>
    <col min="2585" max="2585" width="3.5703125" style="735" customWidth="1"/>
    <col min="2586" max="2586" width="3.7109375" style="735" customWidth="1"/>
    <col min="2587" max="2587" width="11" style="735" customWidth="1"/>
    <col min="2588" max="2588" width="14.5703125" style="735" customWidth="1"/>
    <col min="2589" max="2589" width="19.28515625" style="735" customWidth="1"/>
    <col min="2590" max="2590" width="18.42578125" style="735" customWidth="1"/>
    <col min="2591" max="2816" width="11.42578125" style="735"/>
    <col min="2817" max="2817" width="3.7109375" style="735" customWidth="1"/>
    <col min="2818" max="2818" width="23.42578125" style="735" customWidth="1"/>
    <col min="2819" max="2821" width="3.7109375" style="735" customWidth="1"/>
    <col min="2822" max="2822" width="6.85546875" style="735" customWidth="1"/>
    <col min="2823" max="2823" width="12.7109375" style="735" customWidth="1"/>
    <col min="2824" max="2824" width="14.5703125" style="735" customWidth="1"/>
    <col min="2825" max="2825" width="9.85546875" style="735" customWidth="1"/>
    <col min="2826" max="2826" width="10.42578125" style="735" customWidth="1"/>
    <col min="2827" max="2829" width="8.5703125" style="735" customWidth="1"/>
    <col min="2830" max="2830" width="8" style="735" customWidth="1"/>
    <col min="2831" max="2833" width="8.28515625" style="735" customWidth="1"/>
    <col min="2834" max="2834" width="27.7109375" style="735" customWidth="1"/>
    <col min="2835" max="2835" width="7.140625" style="735" customWidth="1"/>
    <col min="2836" max="2837" width="6.85546875" style="735" customWidth="1"/>
    <col min="2838" max="2838" width="22.7109375" style="735" customWidth="1"/>
    <col min="2839" max="2839" width="11.5703125" style="735" customWidth="1"/>
    <col min="2840" max="2840" width="7.5703125" style="735" customWidth="1"/>
    <col min="2841" max="2841" width="3.5703125" style="735" customWidth="1"/>
    <col min="2842" max="2842" width="3.7109375" style="735" customWidth="1"/>
    <col min="2843" max="2843" width="11" style="735" customWidth="1"/>
    <col min="2844" max="2844" width="14.5703125" style="735" customWidth="1"/>
    <col min="2845" max="2845" width="19.28515625" style="735" customWidth="1"/>
    <col min="2846" max="2846" width="18.42578125" style="735" customWidth="1"/>
    <col min="2847" max="3072" width="11.42578125" style="735"/>
    <col min="3073" max="3073" width="3.7109375" style="735" customWidth="1"/>
    <col min="3074" max="3074" width="23.42578125" style="735" customWidth="1"/>
    <col min="3075" max="3077" width="3.7109375" style="735" customWidth="1"/>
    <col min="3078" max="3078" width="6.85546875" style="735" customWidth="1"/>
    <col min="3079" max="3079" width="12.7109375" style="735" customWidth="1"/>
    <col min="3080" max="3080" width="14.5703125" style="735" customWidth="1"/>
    <col min="3081" max="3081" width="9.85546875" style="735" customWidth="1"/>
    <col min="3082" max="3082" width="10.42578125" style="735" customWidth="1"/>
    <col min="3083" max="3085" width="8.5703125" style="735" customWidth="1"/>
    <col min="3086" max="3086" width="8" style="735" customWidth="1"/>
    <col min="3087" max="3089" width="8.28515625" style="735" customWidth="1"/>
    <col min="3090" max="3090" width="27.7109375" style="735" customWidth="1"/>
    <col min="3091" max="3091" width="7.140625" style="735" customWidth="1"/>
    <col min="3092" max="3093" width="6.85546875" style="735" customWidth="1"/>
    <col min="3094" max="3094" width="22.7109375" style="735" customWidth="1"/>
    <col min="3095" max="3095" width="11.5703125" style="735" customWidth="1"/>
    <col min="3096" max="3096" width="7.5703125" style="735" customWidth="1"/>
    <col min="3097" max="3097" width="3.5703125" style="735" customWidth="1"/>
    <col min="3098" max="3098" width="3.7109375" style="735" customWidth="1"/>
    <col min="3099" max="3099" width="11" style="735" customWidth="1"/>
    <col min="3100" max="3100" width="14.5703125" style="735" customWidth="1"/>
    <col min="3101" max="3101" width="19.28515625" style="735" customWidth="1"/>
    <col min="3102" max="3102" width="18.42578125" style="735" customWidth="1"/>
    <col min="3103" max="3328" width="11.42578125" style="735"/>
    <col min="3329" max="3329" width="3.7109375" style="735" customWidth="1"/>
    <col min="3330" max="3330" width="23.42578125" style="735" customWidth="1"/>
    <col min="3331" max="3333" width="3.7109375" style="735" customWidth="1"/>
    <col min="3334" max="3334" width="6.85546875" style="735" customWidth="1"/>
    <col min="3335" max="3335" width="12.7109375" style="735" customWidth="1"/>
    <col min="3336" max="3336" width="14.5703125" style="735" customWidth="1"/>
    <col min="3337" max="3337" width="9.85546875" style="735" customWidth="1"/>
    <col min="3338" max="3338" width="10.42578125" style="735" customWidth="1"/>
    <col min="3339" max="3341" width="8.5703125" style="735" customWidth="1"/>
    <col min="3342" max="3342" width="8" style="735" customWidth="1"/>
    <col min="3343" max="3345" width="8.28515625" style="735" customWidth="1"/>
    <col min="3346" max="3346" width="27.7109375" style="735" customWidth="1"/>
    <col min="3347" max="3347" width="7.140625" style="735" customWidth="1"/>
    <col min="3348" max="3349" width="6.85546875" style="735" customWidth="1"/>
    <col min="3350" max="3350" width="22.7109375" style="735" customWidth="1"/>
    <col min="3351" max="3351" width="11.5703125" style="735" customWidth="1"/>
    <col min="3352" max="3352" width="7.5703125" style="735" customWidth="1"/>
    <col min="3353" max="3353" width="3.5703125" style="735" customWidth="1"/>
    <col min="3354" max="3354" width="3.7109375" style="735" customWidth="1"/>
    <col min="3355" max="3355" width="11" style="735" customWidth="1"/>
    <col min="3356" max="3356" width="14.5703125" style="735" customWidth="1"/>
    <col min="3357" max="3357" width="19.28515625" style="735" customWidth="1"/>
    <col min="3358" max="3358" width="18.42578125" style="735" customWidth="1"/>
    <col min="3359" max="3584" width="11.42578125" style="735"/>
    <col min="3585" max="3585" width="3.7109375" style="735" customWidth="1"/>
    <col min="3586" max="3586" width="23.42578125" style="735" customWidth="1"/>
    <col min="3587" max="3589" width="3.7109375" style="735" customWidth="1"/>
    <col min="3590" max="3590" width="6.85546875" style="735" customWidth="1"/>
    <col min="3591" max="3591" width="12.7109375" style="735" customWidth="1"/>
    <col min="3592" max="3592" width="14.5703125" style="735" customWidth="1"/>
    <col min="3593" max="3593" width="9.85546875" style="735" customWidth="1"/>
    <col min="3594" max="3594" width="10.42578125" style="735" customWidth="1"/>
    <col min="3595" max="3597" width="8.5703125" style="735" customWidth="1"/>
    <col min="3598" max="3598" width="8" style="735" customWidth="1"/>
    <col min="3599" max="3601" width="8.28515625" style="735" customWidth="1"/>
    <col min="3602" max="3602" width="27.7109375" style="735" customWidth="1"/>
    <col min="3603" max="3603" width="7.140625" style="735" customWidth="1"/>
    <col min="3604" max="3605" width="6.85546875" style="735" customWidth="1"/>
    <col min="3606" max="3606" width="22.7109375" style="735" customWidth="1"/>
    <col min="3607" max="3607" width="11.5703125" style="735" customWidth="1"/>
    <col min="3608" max="3608" width="7.5703125" style="735" customWidth="1"/>
    <col min="3609" max="3609" width="3.5703125" style="735" customWidth="1"/>
    <col min="3610" max="3610" width="3.7109375" style="735" customWidth="1"/>
    <col min="3611" max="3611" width="11" style="735" customWidth="1"/>
    <col min="3612" max="3612" width="14.5703125" style="735" customWidth="1"/>
    <col min="3613" max="3613" width="19.28515625" style="735" customWidth="1"/>
    <col min="3614" max="3614" width="18.42578125" style="735" customWidth="1"/>
    <col min="3615" max="3840" width="11.42578125" style="735"/>
    <col min="3841" max="3841" width="3.7109375" style="735" customWidth="1"/>
    <col min="3842" max="3842" width="23.42578125" style="735" customWidth="1"/>
    <col min="3843" max="3845" width="3.7109375" style="735" customWidth="1"/>
    <col min="3846" max="3846" width="6.85546875" style="735" customWidth="1"/>
    <col min="3847" max="3847" width="12.7109375" style="735" customWidth="1"/>
    <col min="3848" max="3848" width="14.5703125" style="735" customWidth="1"/>
    <col min="3849" max="3849" width="9.85546875" style="735" customWidth="1"/>
    <col min="3850" max="3850" width="10.42578125" style="735" customWidth="1"/>
    <col min="3851" max="3853" width="8.5703125" style="735" customWidth="1"/>
    <col min="3854" max="3854" width="8" style="735" customWidth="1"/>
    <col min="3855" max="3857" width="8.28515625" style="735" customWidth="1"/>
    <col min="3858" max="3858" width="27.7109375" style="735" customWidth="1"/>
    <col min="3859" max="3859" width="7.140625" style="735" customWidth="1"/>
    <col min="3860" max="3861" width="6.85546875" style="735" customWidth="1"/>
    <col min="3862" max="3862" width="22.7109375" style="735" customWidth="1"/>
    <col min="3863" max="3863" width="11.5703125" style="735" customWidth="1"/>
    <col min="3864" max="3864" width="7.5703125" style="735" customWidth="1"/>
    <col min="3865" max="3865" width="3.5703125" style="735" customWidth="1"/>
    <col min="3866" max="3866" width="3.7109375" style="735" customWidth="1"/>
    <col min="3867" max="3867" width="11" style="735" customWidth="1"/>
    <col min="3868" max="3868" width="14.5703125" style="735" customWidth="1"/>
    <col min="3869" max="3869" width="19.28515625" style="735" customWidth="1"/>
    <col min="3870" max="3870" width="18.42578125" style="735" customWidth="1"/>
    <col min="3871" max="4096" width="11.42578125" style="735"/>
    <col min="4097" max="4097" width="3.7109375" style="735" customWidth="1"/>
    <col min="4098" max="4098" width="23.42578125" style="735" customWidth="1"/>
    <col min="4099" max="4101" width="3.7109375" style="735" customWidth="1"/>
    <col min="4102" max="4102" width="6.85546875" style="735" customWidth="1"/>
    <col min="4103" max="4103" width="12.7109375" style="735" customWidth="1"/>
    <col min="4104" max="4104" width="14.5703125" style="735" customWidth="1"/>
    <col min="4105" max="4105" width="9.85546875" style="735" customWidth="1"/>
    <col min="4106" max="4106" width="10.42578125" style="735" customWidth="1"/>
    <col min="4107" max="4109" width="8.5703125" style="735" customWidth="1"/>
    <col min="4110" max="4110" width="8" style="735" customWidth="1"/>
    <col min="4111" max="4113" width="8.28515625" style="735" customWidth="1"/>
    <col min="4114" max="4114" width="27.7109375" style="735" customWidth="1"/>
    <col min="4115" max="4115" width="7.140625" style="735" customWidth="1"/>
    <col min="4116" max="4117" width="6.85546875" style="735" customWidth="1"/>
    <col min="4118" max="4118" width="22.7109375" style="735" customWidth="1"/>
    <col min="4119" max="4119" width="11.5703125" style="735" customWidth="1"/>
    <col min="4120" max="4120" width="7.5703125" style="735" customWidth="1"/>
    <col min="4121" max="4121" width="3.5703125" style="735" customWidth="1"/>
    <col min="4122" max="4122" width="3.7109375" style="735" customWidth="1"/>
    <col min="4123" max="4123" width="11" style="735" customWidth="1"/>
    <col min="4124" max="4124" width="14.5703125" style="735" customWidth="1"/>
    <col min="4125" max="4125" width="19.28515625" style="735" customWidth="1"/>
    <col min="4126" max="4126" width="18.42578125" style="735" customWidth="1"/>
    <col min="4127" max="4352" width="11.42578125" style="735"/>
    <col min="4353" max="4353" width="3.7109375" style="735" customWidth="1"/>
    <col min="4354" max="4354" width="23.42578125" style="735" customWidth="1"/>
    <col min="4355" max="4357" width="3.7109375" style="735" customWidth="1"/>
    <col min="4358" max="4358" width="6.85546875" style="735" customWidth="1"/>
    <col min="4359" max="4359" width="12.7109375" style="735" customWidth="1"/>
    <col min="4360" max="4360" width="14.5703125" style="735" customWidth="1"/>
    <col min="4361" max="4361" width="9.85546875" style="735" customWidth="1"/>
    <col min="4362" max="4362" width="10.42578125" style="735" customWidth="1"/>
    <col min="4363" max="4365" width="8.5703125" style="735" customWidth="1"/>
    <col min="4366" max="4366" width="8" style="735" customWidth="1"/>
    <col min="4367" max="4369" width="8.28515625" style="735" customWidth="1"/>
    <col min="4370" max="4370" width="27.7109375" style="735" customWidth="1"/>
    <col min="4371" max="4371" width="7.140625" style="735" customWidth="1"/>
    <col min="4372" max="4373" width="6.85546875" style="735" customWidth="1"/>
    <col min="4374" max="4374" width="22.7109375" style="735" customWidth="1"/>
    <col min="4375" max="4375" width="11.5703125" style="735" customWidth="1"/>
    <col min="4376" max="4376" width="7.5703125" style="735" customWidth="1"/>
    <col min="4377" max="4377" width="3.5703125" style="735" customWidth="1"/>
    <col min="4378" max="4378" width="3.7109375" style="735" customWidth="1"/>
    <col min="4379" max="4379" width="11" style="735" customWidth="1"/>
    <col min="4380" max="4380" width="14.5703125" style="735" customWidth="1"/>
    <col min="4381" max="4381" width="19.28515625" style="735" customWidth="1"/>
    <col min="4382" max="4382" width="18.42578125" style="735" customWidth="1"/>
    <col min="4383" max="4608" width="11.42578125" style="735"/>
    <col min="4609" max="4609" width="3.7109375" style="735" customWidth="1"/>
    <col min="4610" max="4610" width="23.42578125" style="735" customWidth="1"/>
    <col min="4611" max="4613" width="3.7109375" style="735" customWidth="1"/>
    <col min="4614" max="4614" width="6.85546875" style="735" customWidth="1"/>
    <col min="4615" max="4615" width="12.7109375" style="735" customWidth="1"/>
    <col min="4616" max="4616" width="14.5703125" style="735" customWidth="1"/>
    <col min="4617" max="4617" width="9.85546875" style="735" customWidth="1"/>
    <col min="4618" max="4618" width="10.42578125" style="735" customWidth="1"/>
    <col min="4619" max="4621" width="8.5703125" style="735" customWidth="1"/>
    <col min="4622" max="4622" width="8" style="735" customWidth="1"/>
    <col min="4623" max="4625" width="8.28515625" style="735" customWidth="1"/>
    <col min="4626" max="4626" width="27.7109375" style="735" customWidth="1"/>
    <col min="4627" max="4627" width="7.140625" style="735" customWidth="1"/>
    <col min="4628" max="4629" width="6.85546875" style="735" customWidth="1"/>
    <col min="4630" max="4630" width="22.7109375" style="735" customWidth="1"/>
    <col min="4631" max="4631" width="11.5703125" style="735" customWidth="1"/>
    <col min="4632" max="4632" width="7.5703125" style="735" customWidth="1"/>
    <col min="4633" max="4633" width="3.5703125" style="735" customWidth="1"/>
    <col min="4634" max="4634" width="3.7109375" style="735" customWidth="1"/>
    <col min="4635" max="4635" width="11" style="735" customWidth="1"/>
    <col min="4636" max="4636" width="14.5703125" style="735" customWidth="1"/>
    <col min="4637" max="4637" width="19.28515625" style="735" customWidth="1"/>
    <col min="4638" max="4638" width="18.42578125" style="735" customWidth="1"/>
    <col min="4639" max="4864" width="11.42578125" style="735"/>
    <col min="4865" max="4865" width="3.7109375" style="735" customWidth="1"/>
    <col min="4866" max="4866" width="23.42578125" style="735" customWidth="1"/>
    <col min="4867" max="4869" width="3.7109375" style="735" customWidth="1"/>
    <col min="4870" max="4870" width="6.85546875" style="735" customWidth="1"/>
    <col min="4871" max="4871" width="12.7109375" style="735" customWidth="1"/>
    <col min="4872" max="4872" width="14.5703125" style="735" customWidth="1"/>
    <col min="4873" max="4873" width="9.85546875" style="735" customWidth="1"/>
    <col min="4874" max="4874" width="10.42578125" style="735" customWidth="1"/>
    <col min="4875" max="4877" width="8.5703125" style="735" customWidth="1"/>
    <col min="4878" max="4878" width="8" style="735" customWidth="1"/>
    <col min="4879" max="4881" width="8.28515625" style="735" customWidth="1"/>
    <col min="4882" max="4882" width="27.7109375" style="735" customWidth="1"/>
    <col min="4883" max="4883" width="7.140625" style="735" customWidth="1"/>
    <col min="4884" max="4885" width="6.85546875" style="735" customWidth="1"/>
    <col min="4886" max="4886" width="22.7109375" style="735" customWidth="1"/>
    <col min="4887" max="4887" width="11.5703125" style="735" customWidth="1"/>
    <col min="4888" max="4888" width="7.5703125" style="735" customWidth="1"/>
    <col min="4889" max="4889" width="3.5703125" style="735" customWidth="1"/>
    <col min="4890" max="4890" width="3.7109375" style="735" customWidth="1"/>
    <col min="4891" max="4891" width="11" style="735" customWidth="1"/>
    <col min="4892" max="4892" width="14.5703125" style="735" customWidth="1"/>
    <col min="4893" max="4893" width="19.28515625" style="735" customWidth="1"/>
    <col min="4894" max="4894" width="18.42578125" style="735" customWidth="1"/>
    <col min="4895" max="5120" width="11.42578125" style="735"/>
    <col min="5121" max="5121" width="3.7109375" style="735" customWidth="1"/>
    <col min="5122" max="5122" width="23.42578125" style="735" customWidth="1"/>
    <col min="5123" max="5125" width="3.7109375" style="735" customWidth="1"/>
    <col min="5126" max="5126" width="6.85546875" style="735" customWidth="1"/>
    <col min="5127" max="5127" width="12.7109375" style="735" customWidth="1"/>
    <col min="5128" max="5128" width="14.5703125" style="735" customWidth="1"/>
    <col min="5129" max="5129" width="9.85546875" style="735" customWidth="1"/>
    <col min="5130" max="5130" width="10.42578125" style="735" customWidth="1"/>
    <col min="5131" max="5133" width="8.5703125" style="735" customWidth="1"/>
    <col min="5134" max="5134" width="8" style="735" customWidth="1"/>
    <col min="5135" max="5137" width="8.28515625" style="735" customWidth="1"/>
    <col min="5138" max="5138" width="27.7109375" style="735" customWidth="1"/>
    <col min="5139" max="5139" width="7.140625" style="735" customWidth="1"/>
    <col min="5140" max="5141" width="6.85546875" style="735" customWidth="1"/>
    <col min="5142" max="5142" width="22.7109375" style="735" customWidth="1"/>
    <col min="5143" max="5143" width="11.5703125" style="735" customWidth="1"/>
    <col min="5144" max="5144" width="7.5703125" style="735" customWidth="1"/>
    <col min="5145" max="5145" width="3.5703125" style="735" customWidth="1"/>
    <col min="5146" max="5146" width="3.7109375" style="735" customWidth="1"/>
    <col min="5147" max="5147" width="11" style="735" customWidth="1"/>
    <col min="5148" max="5148" width="14.5703125" style="735" customWidth="1"/>
    <col min="5149" max="5149" width="19.28515625" style="735" customWidth="1"/>
    <col min="5150" max="5150" width="18.42578125" style="735" customWidth="1"/>
    <col min="5151" max="5376" width="11.42578125" style="735"/>
    <col min="5377" max="5377" width="3.7109375" style="735" customWidth="1"/>
    <col min="5378" max="5378" width="23.42578125" style="735" customWidth="1"/>
    <col min="5379" max="5381" width="3.7109375" style="735" customWidth="1"/>
    <col min="5382" max="5382" width="6.85546875" style="735" customWidth="1"/>
    <col min="5383" max="5383" width="12.7109375" style="735" customWidth="1"/>
    <col min="5384" max="5384" width="14.5703125" style="735" customWidth="1"/>
    <col min="5385" max="5385" width="9.85546875" style="735" customWidth="1"/>
    <col min="5386" max="5386" width="10.42578125" style="735" customWidth="1"/>
    <col min="5387" max="5389" width="8.5703125" style="735" customWidth="1"/>
    <col min="5390" max="5390" width="8" style="735" customWidth="1"/>
    <col min="5391" max="5393" width="8.28515625" style="735" customWidth="1"/>
    <col min="5394" max="5394" width="27.7109375" style="735" customWidth="1"/>
    <col min="5395" max="5395" width="7.140625" style="735" customWidth="1"/>
    <col min="5396" max="5397" width="6.85546875" style="735" customWidth="1"/>
    <col min="5398" max="5398" width="22.7109375" style="735" customWidth="1"/>
    <col min="5399" max="5399" width="11.5703125" style="735" customWidth="1"/>
    <col min="5400" max="5400" width="7.5703125" style="735" customWidth="1"/>
    <col min="5401" max="5401" width="3.5703125" style="735" customWidth="1"/>
    <col min="5402" max="5402" width="3.7109375" style="735" customWidth="1"/>
    <col min="5403" max="5403" width="11" style="735" customWidth="1"/>
    <col min="5404" max="5404" width="14.5703125" style="735" customWidth="1"/>
    <col min="5405" max="5405" width="19.28515625" style="735" customWidth="1"/>
    <col min="5406" max="5406" width="18.42578125" style="735" customWidth="1"/>
    <col min="5407" max="5632" width="11.42578125" style="735"/>
    <col min="5633" max="5633" width="3.7109375" style="735" customWidth="1"/>
    <col min="5634" max="5634" width="23.42578125" style="735" customWidth="1"/>
    <col min="5635" max="5637" width="3.7109375" style="735" customWidth="1"/>
    <col min="5638" max="5638" width="6.85546875" style="735" customWidth="1"/>
    <col min="5639" max="5639" width="12.7109375" style="735" customWidth="1"/>
    <col min="5640" max="5640" width="14.5703125" style="735" customWidth="1"/>
    <col min="5641" max="5641" width="9.85546875" style="735" customWidth="1"/>
    <col min="5642" max="5642" width="10.42578125" style="735" customWidth="1"/>
    <col min="5643" max="5645" width="8.5703125" style="735" customWidth="1"/>
    <col min="5646" max="5646" width="8" style="735" customWidth="1"/>
    <col min="5647" max="5649" width="8.28515625" style="735" customWidth="1"/>
    <col min="5650" max="5650" width="27.7109375" style="735" customWidth="1"/>
    <col min="5651" max="5651" width="7.140625" style="735" customWidth="1"/>
    <col min="5652" max="5653" width="6.85546875" style="735" customWidth="1"/>
    <col min="5654" max="5654" width="22.7109375" style="735" customWidth="1"/>
    <col min="5655" max="5655" width="11.5703125" style="735" customWidth="1"/>
    <col min="5656" max="5656" width="7.5703125" style="735" customWidth="1"/>
    <col min="5657" max="5657" width="3.5703125" style="735" customWidth="1"/>
    <col min="5658" max="5658" width="3.7109375" style="735" customWidth="1"/>
    <col min="5659" max="5659" width="11" style="735" customWidth="1"/>
    <col min="5660" max="5660" width="14.5703125" style="735" customWidth="1"/>
    <col min="5661" max="5661" width="19.28515625" style="735" customWidth="1"/>
    <col min="5662" max="5662" width="18.42578125" style="735" customWidth="1"/>
    <col min="5663" max="5888" width="11.42578125" style="735"/>
    <col min="5889" max="5889" width="3.7109375" style="735" customWidth="1"/>
    <col min="5890" max="5890" width="23.42578125" style="735" customWidth="1"/>
    <col min="5891" max="5893" width="3.7109375" style="735" customWidth="1"/>
    <col min="5894" max="5894" width="6.85546875" style="735" customWidth="1"/>
    <col min="5895" max="5895" width="12.7109375" style="735" customWidth="1"/>
    <col min="5896" max="5896" width="14.5703125" style="735" customWidth="1"/>
    <col min="5897" max="5897" width="9.85546875" style="735" customWidth="1"/>
    <col min="5898" max="5898" width="10.42578125" style="735" customWidth="1"/>
    <col min="5899" max="5901" width="8.5703125" style="735" customWidth="1"/>
    <col min="5902" max="5902" width="8" style="735" customWidth="1"/>
    <col min="5903" max="5905" width="8.28515625" style="735" customWidth="1"/>
    <col min="5906" max="5906" width="27.7109375" style="735" customWidth="1"/>
    <col min="5907" max="5907" width="7.140625" style="735" customWidth="1"/>
    <col min="5908" max="5909" width="6.85546875" style="735" customWidth="1"/>
    <col min="5910" max="5910" width="22.7109375" style="735" customWidth="1"/>
    <col min="5911" max="5911" width="11.5703125" style="735" customWidth="1"/>
    <col min="5912" max="5912" width="7.5703125" style="735" customWidth="1"/>
    <col min="5913" max="5913" width="3.5703125" style="735" customWidth="1"/>
    <col min="5914" max="5914" width="3.7109375" style="735" customWidth="1"/>
    <col min="5915" max="5915" width="11" style="735" customWidth="1"/>
    <col min="5916" max="5916" width="14.5703125" style="735" customWidth="1"/>
    <col min="5917" max="5917" width="19.28515625" style="735" customWidth="1"/>
    <col min="5918" max="5918" width="18.42578125" style="735" customWidth="1"/>
    <col min="5919" max="6144" width="11.42578125" style="735"/>
    <col min="6145" max="6145" width="3.7109375" style="735" customWidth="1"/>
    <col min="6146" max="6146" width="23.42578125" style="735" customWidth="1"/>
    <col min="6147" max="6149" width="3.7109375" style="735" customWidth="1"/>
    <col min="6150" max="6150" width="6.85546875" style="735" customWidth="1"/>
    <col min="6151" max="6151" width="12.7109375" style="735" customWidth="1"/>
    <col min="6152" max="6152" width="14.5703125" style="735" customWidth="1"/>
    <col min="6153" max="6153" width="9.85546875" style="735" customWidth="1"/>
    <col min="6154" max="6154" width="10.42578125" style="735" customWidth="1"/>
    <col min="6155" max="6157" width="8.5703125" style="735" customWidth="1"/>
    <col min="6158" max="6158" width="8" style="735" customWidth="1"/>
    <col min="6159" max="6161" width="8.28515625" style="735" customWidth="1"/>
    <col min="6162" max="6162" width="27.7109375" style="735" customWidth="1"/>
    <col min="6163" max="6163" width="7.140625" style="735" customWidth="1"/>
    <col min="6164" max="6165" width="6.85546875" style="735" customWidth="1"/>
    <col min="6166" max="6166" width="22.7109375" style="735" customWidth="1"/>
    <col min="6167" max="6167" width="11.5703125" style="735" customWidth="1"/>
    <col min="6168" max="6168" width="7.5703125" style="735" customWidth="1"/>
    <col min="6169" max="6169" width="3.5703125" style="735" customWidth="1"/>
    <col min="6170" max="6170" width="3.7109375" style="735" customWidth="1"/>
    <col min="6171" max="6171" width="11" style="735" customWidth="1"/>
    <col min="6172" max="6172" width="14.5703125" style="735" customWidth="1"/>
    <col min="6173" max="6173" width="19.28515625" style="735" customWidth="1"/>
    <col min="6174" max="6174" width="18.42578125" style="735" customWidth="1"/>
    <col min="6175" max="6400" width="11.42578125" style="735"/>
    <col min="6401" max="6401" width="3.7109375" style="735" customWidth="1"/>
    <col min="6402" max="6402" width="23.42578125" style="735" customWidth="1"/>
    <col min="6403" max="6405" width="3.7109375" style="735" customWidth="1"/>
    <col min="6406" max="6406" width="6.85546875" style="735" customWidth="1"/>
    <col min="6407" max="6407" width="12.7109375" style="735" customWidth="1"/>
    <col min="6408" max="6408" width="14.5703125" style="735" customWidth="1"/>
    <col min="6409" max="6409" width="9.85546875" style="735" customWidth="1"/>
    <col min="6410" max="6410" width="10.42578125" style="735" customWidth="1"/>
    <col min="6411" max="6413" width="8.5703125" style="735" customWidth="1"/>
    <col min="6414" max="6414" width="8" style="735" customWidth="1"/>
    <col min="6415" max="6417" width="8.28515625" style="735" customWidth="1"/>
    <col min="6418" max="6418" width="27.7109375" style="735" customWidth="1"/>
    <col min="6419" max="6419" width="7.140625" style="735" customWidth="1"/>
    <col min="6420" max="6421" width="6.85546875" style="735" customWidth="1"/>
    <col min="6422" max="6422" width="22.7109375" style="735" customWidth="1"/>
    <col min="6423" max="6423" width="11.5703125" style="735" customWidth="1"/>
    <col min="6424" max="6424" width="7.5703125" style="735" customWidth="1"/>
    <col min="6425" max="6425" width="3.5703125" style="735" customWidth="1"/>
    <col min="6426" max="6426" width="3.7109375" style="735" customWidth="1"/>
    <col min="6427" max="6427" width="11" style="735" customWidth="1"/>
    <col min="6428" max="6428" width="14.5703125" style="735" customWidth="1"/>
    <col min="6429" max="6429" width="19.28515625" style="735" customWidth="1"/>
    <col min="6430" max="6430" width="18.42578125" style="735" customWidth="1"/>
    <col min="6431" max="6656" width="11.42578125" style="735"/>
    <col min="6657" max="6657" width="3.7109375" style="735" customWidth="1"/>
    <col min="6658" max="6658" width="23.42578125" style="735" customWidth="1"/>
    <col min="6659" max="6661" width="3.7109375" style="735" customWidth="1"/>
    <col min="6662" max="6662" width="6.85546875" style="735" customWidth="1"/>
    <col min="6663" max="6663" width="12.7109375" style="735" customWidth="1"/>
    <col min="6664" max="6664" width="14.5703125" style="735" customWidth="1"/>
    <col min="6665" max="6665" width="9.85546875" style="735" customWidth="1"/>
    <col min="6666" max="6666" width="10.42578125" style="735" customWidth="1"/>
    <col min="6667" max="6669" width="8.5703125" style="735" customWidth="1"/>
    <col min="6670" max="6670" width="8" style="735" customWidth="1"/>
    <col min="6671" max="6673" width="8.28515625" style="735" customWidth="1"/>
    <col min="6674" max="6674" width="27.7109375" style="735" customWidth="1"/>
    <col min="6675" max="6675" width="7.140625" style="735" customWidth="1"/>
    <col min="6676" max="6677" width="6.85546875" style="735" customWidth="1"/>
    <col min="6678" max="6678" width="22.7109375" style="735" customWidth="1"/>
    <col min="6679" max="6679" width="11.5703125" style="735" customWidth="1"/>
    <col min="6680" max="6680" width="7.5703125" style="735" customWidth="1"/>
    <col min="6681" max="6681" width="3.5703125" style="735" customWidth="1"/>
    <col min="6682" max="6682" width="3.7109375" style="735" customWidth="1"/>
    <col min="6683" max="6683" width="11" style="735" customWidth="1"/>
    <col min="6684" max="6684" width="14.5703125" style="735" customWidth="1"/>
    <col min="6685" max="6685" width="19.28515625" style="735" customWidth="1"/>
    <col min="6686" max="6686" width="18.42578125" style="735" customWidth="1"/>
    <col min="6687" max="6912" width="11.42578125" style="735"/>
    <col min="6913" max="6913" width="3.7109375" style="735" customWidth="1"/>
    <col min="6914" max="6914" width="23.42578125" style="735" customWidth="1"/>
    <col min="6915" max="6917" width="3.7109375" style="735" customWidth="1"/>
    <col min="6918" max="6918" width="6.85546875" style="735" customWidth="1"/>
    <col min="6919" max="6919" width="12.7109375" style="735" customWidth="1"/>
    <col min="6920" max="6920" width="14.5703125" style="735" customWidth="1"/>
    <col min="6921" max="6921" width="9.85546875" style="735" customWidth="1"/>
    <col min="6922" max="6922" width="10.42578125" style="735" customWidth="1"/>
    <col min="6923" max="6925" width="8.5703125" style="735" customWidth="1"/>
    <col min="6926" max="6926" width="8" style="735" customWidth="1"/>
    <col min="6927" max="6929" width="8.28515625" style="735" customWidth="1"/>
    <col min="6930" max="6930" width="27.7109375" style="735" customWidth="1"/>
    <col min="6931" max="6931" width="7.140625" style="735" customWidth="1"/>
    <col min="6932" max="6933" width="6.85546875" style="735" customWidth="1"/>
    <col min="6934" max="6934" width="22.7109375" style="735" customWidth="1"/>
    <col min="6935" max="6935" width="11.5703125" style="735" customWidth="1"/>
    <col min="6936" max="6936" width="7.5703125" style="735" customWidth="1"/>
    <col min="6937" max="6937" width="3.5703125" style="735" customWidth="1"/>
    <col min="6938" max="6938" width="3.7109375" style="735" customWidth="1"/>
    <col min="6939" max="6939" width="11" style="735" customWidth="1"/>
    <col min="6940" max="6940" width="14.5703125" style="735" customWidth="1"/>
    <col min="6941" max="6941" width="19.28515625" style="735" customWidth="1"/>
    <col min="6942" max="6942" width="18.42578125" style="735" customWidth="1"/>
    <col min="6943" max="7168" width="11.42578125" style="735"/>
    <col min="7169" max="7169" width="3.7109375" style="735" customWidth="1"/>
    <col min="7170" max="7170" width="23.42578125" style="735" customWidth="1"/>
    <col min="7171" max="7173" width="3.7109375" style="735" customWidth="1"/>
    <col min="7174" max="7174" width="6.85546875" style="735" customWidth="1"/>
    <col min="7175" max="7175" width="12.7109375" style="735" customWidth="1"/>
    <col min="7176" max="7176" width="14.5703125" style="735" customWidth="1"/>
    <col min="7177" max="7177" width="9.85546875" style="735" customWidth="1"/>
    <col min="7178" max="7178" width="10.42578125" style="735" customWidth="1"/>
    <col min="7179" max="7181" width="8.5703125" style="735" customWidth="1"/>
    <col min="7182" max="7182" width="8" style="735" customWidth="1"/>
    <col min="7183" max="7185" width="8.28515625" style="735" customWidth="1"/>
    <col min="7186" max="7186" width="27.7109375" style="735" customWidth="1"/>
    <col min="7187" max="7187" width="7.140625" style="735" customWidth="1"/>
    <col min="7188" max="7189" width="6.85546875" style="735" customWidth="1"/>
    <col min="7190" max="7190" width="22.7109375" style="735" customWidth="1"/>
    <col min="7191" max="7191" width="11.5703125" style="735" customWidth="1"/>
    <col min="7192" max="7192" width="7.5703125" style="735" customWidth="1"/>
    <col min="7193" max="7193" width="3.5703125" style="735" customWidth="1"/>
    <col min="7194" max="7194" width="3.7109375" style="735" customWidth="1"/>
    <col min="7195" max="7195" width="11" style="735" customWidth="1"/>
    <col min="7196" max="7196" width="14.5703125" style="735" customWidth="1"/>
    <col min="7197" max="7197" width="19.28515625" style="735" customWidth="1"/>
    <col min="7198" max="7198" width="18.42578125" style="735" customWidth="1"/>
    <col min="7199" max="7424" width="11.42578125" style="735"/>
    <col min="7425" max="7425" width="3.7109375" style="735" customWidth="1"/>
    <col min="7426" max="7426" width="23.42578125" style="735" customWidth="1"/>
    <col min="7427" max="7429" width="3.7109375" style="735" customWidth="1"/>
    <col min="7430" max="7430" width="6.85546875" style="735" customWidth="1"/>
    <col min="7431" max="7431" width="12.7109375" style="735" customWidth="1"/>
    <col min="7432" max="7432" width="14.5703125" style="735" customWidth="1"/>
    <col min="7433" max="7433" width="9.85546875" style="735" customWidth="1"/>
    <col min="7434" max="7434" width="10.42578125" style="735" customWidth="1"/>
    <col min="7435" max="7437" width="8.5703125" style="735" customWidth="1"/>
    <col min="7438" max="7438" width="8" style="735" customWidth="1"/>
    <col min="7439" max="7441" width="8.28515625" style="735" customWidth="1"/>
    <col min="7442" max="7442" width="27.7109375" style="735" customWidth="1"/>
    <col min="7443" max="7443" width="7.140625" style="735" customWidth="1"/>
    <col min="7444" max="7445" width="6.85546875" style="735" customWidth="1"/>
    <col min="7446" max="7446" width="22.7109375" style="735" customWidth="1"/>
    <col min="7447" max="7447" width="11.5703125" style="735" customWidth="1"/>
    <col min="7448" max="7448" width="7.5703125" style="735" customWidth="1"/>
    <col min="7449" max="7449" width="3.5703125" style="735" customWidth="1"/>
    <col min="7450" max="7450" width="3.7109375" style="735" customWidth="1"/>
    <col min="7451" max="7451" width="11" style="735" customWidth="1"/>
    <col min="7452" max="7452" width="14.5703125" style="735" customWidth="1"/>
    <col min="7453" max="7453" width="19.28515625" style="735" customWidth="1"/>
    <col min="7454" max="7454" width="18.42578125" style="735" customWidth="1"/>
    <col min="7455" max="7680" width="11.42578125" style="735"/>
    <col min="7681" max="7681" width="3.7109375" style="735" customWidth="1"/>
    <col min="7682" max="7682" width="23.42578125" style="735" customWidth="1"/>
    <col min="7683" max="7685" width="3.7109375" style="735" customWidth="1"/>
    <col min="7686" max="7686" width="6.85546875" style="735" customWidth="1"/>
    <col min="7687" max="7687" width="12.7109375" style="735" customWidth="1"/>
    <col min="7688" max="7688" width="14.5703125" style="735" customWidth="1"/>
    <col min="7689" max="7689" width="9.85546875" style="735" customWidth="1"/>
    <col min="7690" max="7690" width="10.42578125" style="735" customWidth="1"/>
    <col min="7691" max="7693" width="8.5703125" style="735" customWidth="1"/>
    <col min="7694" max="7694" width="8" style="735" customWidth="1"/>
    <col min="7695" max="7697" width="8.28515625" style="735" customWidth="1"/>
    <col min="7698" max="7698" width="27.7109375" style="735" customWidth="1"/>
    <col min="7699" max="7699" width="7.140625" style="735" customWidth="1"/>
    <col min="7700" max="7701" width="6.85546875" style="735" customWidth="1"/>
    <col min="7702" max="7702" width="22.7109375" style="735" customWidth="1"/>
    <col min="7703" max="7703" width="11.5703125" style="735" customWidth="1"/>
    <col min="7704" max="7704" width="7.5703125" style="735" customWidth="1"/>
    <col min="7705" max="7705" width="3.5703125" style="735" customWidth="1"/>
    <col min="7706" max="7706" width="3.7109375" style="735" customWidth="1"/>
    <col min="7707" max="7707" width="11" style="735" customWidth="1"/>
    <col min="7708" max="7708" width="14.5703125" style="735" customWidth="1"/>
    <col min="7709" max="7709" width="19.28515625" style="735" customWidth="1"/>
    <col min="7710" max="7710" width="18.42578125" style="735" customWidth="1"/>
    <col min="7711" max="7936" width="11.42578125" style="735"/>
    <col min="7937" max="7937" width="3.7109375" style="735" customWidth="1"/>
    <col min="7938" max="7938" width="23.42578125" style="735" customWidth="1"/>
    <col min="7939" max="7941" width="3.7109375" style="735" customWidth="1"/>
    <col min="7942" max="7942" width="6.85546875" style="735" customWidth="1"/>
    <col min="7943" max="7943" width="12.7109375" style="735" customWidth="1"/>
    <col min="7944" max="7944" width="14.5703125" style="735" customWidth="1"/>
    <col min="7945" max="7945" width="9.85546875" style="735" customWidth="1"/>
    <col min="7946" max="7946" width="10.42578125" style="735" customWidth="1"/>
    <col min="7947" max="7949" width="8.5703125" style="735" customWidth="1"/>
    <col min="7950" max="7950" width="8" style="735" customWidth="1"/>
    <col min="7951" max="7953" width="8.28515625" style="735" customWidth="1"/>
    <col min="7954" max="7954" width="27.7109375" style="735" customWidth="1"/>
    <col min="7955" max="7955" width="7.140625" style="735" customWidth="1"/>
    <col min="7956" max="7957" width="6.85546875" style="735" customWidth="1"/>
    <col min="7958" max="7958" width="22.7109375" style="735" customWidth="1"/>
    <col min="7959" max="7959" width="11.5703125" style="735" customWidth="1"/>
    <col min="7960" max="7960" width="7.5703125" style="735" customWidth="1"/>
    <col min="7961" max="7961" width="3.5703125" style="735" customWidth="1"/>
    <col min="7962" max="7962" width="3.7109375" style="735" customWidth="1"/>
    <col min="7963" max="7963" width="11" style="735" customWidth="1"/>
    <col min="7964" max="7964" width="14.5703125" style="735" customWidth="1"/>
    <col min="7965" max="7965" width="19.28515625" style="735" customWidth="1"/>
    <col min="7966" max="7966" width="18.42578125" style="735" customWidth="1"/>
    <col min="7967" max="8192" width="11.42578125" style="735"/>
    <col min="8193" max="8193" width="3.7109375" style="735" customWidth="1"/>
    <col min="8194" max="8194" width="23.42578125" style="735" customWidth="1"/>
    <col min="8195" max="8197" width="3.7109375" style="735" customWidth="1"/>
    <col min="8198" max="8198" width="6.85546875" style="735" customWidth="1"/>
    <col min="8199" max="8199" width="12.7109375" style="735" customWidth="1"/>
    <col min="8200" max="8200" width="14.5703125" style="735" customWidth="1"/>
    <col min="8201" max="8201" width="9.85546875" style="735" customWidth="1"/>
    <col min="8202" max="8202" width="10.42578125" style="735" customWidth="1"/>
    <col min="8203" max="8205" width="8.5703125" style="735" customWidth="1"/>
    <col min="8206" max="8206" width="8" style="735" customWidth="1"/>
    <col min="8207" max="8209" width="8.28515625" style="735" customWidth="1"/>
    <col min="8210" max="8210" width="27.7109375" style="735" customWidth="1"/>
    <col min="8211" max="8211" width="7.140625" style="735" customWidth="1"/>
    <col min="8212" max="8213" width="6.85546875" style="735" customWidth="1"/>
    <col min="8214" max="8214" width="22.7109375" style="735" customWidth="1"/>
    <col min="8215" max="8215" width="11.5703125" style="735" customWidth="1"/>
    <col min="8216" max="8216" width="7.5703125" style="735" customWidth="1"/>
    <col min="8217" max="8217" width="3.5703125" style="735" customWidth="1"/>
    <col min="8218" max="8218" width="3.7109375" style="735" customWidth="1"/>
    <col min="8219" max="8219" width="11" style="735" customWidth="1"/>
    <col min="8220" max="8220" width="14.5703125" style="735" customWidth="1"/>
    <col min="8221" max="8221" width="19.28515625" style="735" customWidth="1"/>
    <col min="8222" max="8222" width="18.42578125" style="735" customWidth="1"/>
    <col min="8223" max="8448" width="11.42578125" style="735"/>
    <col min="8449" max="8449" width="3.7109375" style="735" customWidth="1"/>
    <col min="8450" max="8450" width="23.42578125" style="735" customWidth="1"/>
    <col min="8451" max="8453" width="3.7109375" style="735" customWidth="1"/>
    <col min="8454" max="8454" width="6.85546875" style="735" customWidth="1"/>
    <col min="8455" max="8455" width="12.7109375" style="735" customWidth="1"/>
    <col min="8456" max="8456" width="14.5703125" style="735" customWidth="1"/>
    <col min="8457" max="8457" width="9.85546875" style="735" customWidth="1"/>
    <col min="8458" max="8458" width="10.42578125" style="735" customWidth="1"/>
    <col min="8459" max="8461" width="8.5703125" style="735" customWidth="1"/>
    <col min="8462" max="8462" width="8" style="735" customWidth="1"/>
    <col min="8463" max="8465" width="8.28515625" style="735" customWidth="1"/>
    <col min="8466" max="8466" width="27.7109375" style="735" customWidth="1"/>
    <col min="8467" max="8467" width="7.140625" style="735" customWidth="1"/>
    <col min="8468" max="8469" width="6.85546875" style="735" customWidth="1"/>
    <col min="8470" max="8470" width="22.7109375" style="735" customWidth="1"/>
    <col min="8471" max="8471" width="11.5703125" style="735" customWidth="1"/>
    <col min="8472" max="8472" width="7.5703125" style="735" customWidth="1"/>
    <col min="8473" max="8473" width="3.5703125" style="735" customWidth="1"/>
    <col min="8474" max="8474" width="3.7109375" style="735" customWidth="1"/>
    <col min="8475" max="8475" width="11" style="735" customWidth="1"/>
    <col min="8476" max="8476" width="14.5703125" style="735" customWidth="1"/>
    <col min="8477" max="8477" width="19.28515625" style="735" customWidth="1"/>
    <col min="8478" max="8478" width="18.42578125" style="735" customWidth="1"/>
    <col min="8479" max="8704" width="11.42578125" style="735"/>
    <col min="8705" max="8705" width="3.7109375" style="735" customWidth="1"/>
    <col min="8706" max="8706" width="23.42578125" style="735" customWidth="1"/>
    <col min="8707" max="8709" width="3.7109375" style="735" customWidth="1"/>
    <col min="8710" max="8710" width="6.85546875" style="735" customWidth="1"/>
    <col min="8711" max="8711" width="12.7109375" style="735" customWidth="1"/>
    <col min="8712" max="8712" width="14.5703125" style="735" customWidth="1"/>
    <col min="8713" max="8713" width="9.85546875" style="735" customWidth="1"/>
    <col min="8714" max="8714" width="10.42578125" style="735" customWidth="1"/>
    <col min="8715" max="8717" width="8.5703125" style="735" customWidth="1"/>
    <col min="8718" max="8718" width="8" style="735" customWidth="1"/>
    <col min="8719" max="8721" width="8.28515625" style="735" customWidth="1"/>
    <col min="8722" max="8722" width="27.7109375" style="735" customWidth="1"/>
    <col min="8723" max="8723" width="7.140625" style="735" customWidth="1"/>
    <col min="8724" max="8725" width="6.85546875" style="735" customWidth="1"/>
    <col min="8726" max="8726" width="22.7109375" style="735" customWidth="1"/>
    <col min="8727" max="8727" width="11.5703125" style="735" customWidth="1"/>
    <col min="8728" max="8728" width="7.5703125" style="735" customWidth="1"/>
    <col min="8729" max="8729" width="3.5703125" style="735" customWidth="1"/>
    <col min="8730" max="8730" width="3.7109375" style="735" customWidth="1"/>
    <col min="8731" max="8731" width="11" style="735" customWidth="1"/>
    <col min="8732" max="8732" width="14.5703125" style="735" customWidth="1"/>
    <col min="8733" max="8733" width="19.28515625" style="735" customWidth="1"/>
    <col min="8734" max="8734" width="18.42578125" style="735" customWidth="1"/>
    <col min="8735" max="8960" width="11.42578125" style="735"/>
    <col min="8961" max="8961" width="3.7109375" style="735" customWidth="1"/>
    <col min="8962" max="8962" width="23.42578125" style="735" customWidth="1"/>
    <col min="8963" max="8965" width="3.7109375" style="735" customWidth="1"/>
    <col min="8966" max="8966" width="6.85546875" style="735" customWidth="1"/>
    <col min="8967" max="8967" width="12.7109375" style="735" customWidth="1"/>
    <col min="8968" max="8968" width="14.5703125" style="735" customWidth="1"/>
    <col min="8969" max="8969" width="9.85546875" style="735" customWidth="1"/>
    <col min="8970" max="8970" width="10.42578125" style="735" customWidth="1"/>
    <col min="8971" max="8973" width="8.5703125" style="735" customWidth="1"/>
    <col min="8974" max="8974" width="8" style="735" customWidth="1"/>
    <col min="8975" max="8977" width="8.28515625" style="735" customWidth="1"/>
    <col min="8978" max="8978" width="27.7109375" style="735" customWidth="1"/>
    <col min="8979" max="8979" width="7.140625" style="735" customWidth="1"/>
    <col min="8980" max="8981" width="6.85546875" style="735" customWidth="1"/>
    <col min="8982" max="8982" width="22.7109375" style="735" customWidth="1"/>
    <col min="8983" max="8983" width="11.5703125" style="735" customWidth="1"/>
    <col min="8984" max="8984" width="7.5703125" style="735" customWidth="1"/>
    <col min="8985" max="8985" width="3.5703125" style="735" customWidth="1"/>
    <col min="8986" max="8986" width="3.7109375" style="735" customWidth="1"/>
    <col min="8987" max="8987" width="11" style="735" customWidth="1"/>
    <col min="8988" max="8988" width="14.5703125" style="735" customWidth="1"/>
    <col min="8989" max="8989" width="19.28515625" style="735" customWidth="1"/>
    <col min="8990" max="8990" width="18.42578125" style="735" customWidth="1"/>
    <col min="8991" max="9216" width="11.42578125" style="735"/>
    <col min="9217" max="9217" width="3.7109375" style="735" customWidth="1"/>
    <col min="9218" max="9218" width="23.42578125" style="735" customWidth="1"/>
    <col min="9219" max="9221" width="3.7109375" style="735" customWidth="1"/>
    <col min="9222" max="9222" width="6.85546875" style="735" customWidth="1"/>
    <col min="9223" max="9223" width="12.7109375" style="735" customWidth="1"/>
    <col min="9224" max="9224" width="14.5703125" style="735" customWidth="1"/>
    <col min="9225" max="9225" width="9.85546875" style="735" customWidth="1"/>
    <col min="9226" max="9226" width="10.42578125" style="735" customWidth="1"/>
    <col min="9227" max="9229" width="8.5703125" style="735" customWidth="1"/>
    <col min="9230" max="9230" width="8" style="735" customWidth="1"/>
    <col min="9231" max="9233" width="8.28515625" style="735" customWidth="1"/>
    <col min="9234" max="9234" width="27.7109375" style="735" customWidth="1"/>
    <col min="9235" max="9235" width="7.140625" style="735" customWidth="1"/>
    <col min="9236" max="9237" width="6.85546875" style="735" customWidth="1"/>
    <col min="9238" max="9238" width="22.7109375" style="735" customWidth="1"/>
    <col min="9239" max="9239" width="11.5703125" style="735" customWidth="1"/>
    <col min="9240" max="9240" width="7.5703125" style="735" customWidth="1"/>
    <col min="9241" max="9241" width="3.5703125" style="735" customWidth="1"/>
    <col min="9242" max="9242" width="3.7109375" style="735" customWidth="1"/>
    <col min="9243" max="9243" width="11" style="735" customWidth="1"/>
    <col min="9244" max="9244" width="14.5703125" style="735" customWidth="1"/>
    <col min="9245" max="9245" width="19.28515625" style="735" customWidth="1"/>
    <col min="9246" max="9246" width="18.42578125" style="735" customWidth="1"/>
    <col min="9247" max="9472" width="11.42578125" style="735"/>
    <col min="9473" max="9473" width="3.7109375" style="735" customWidth="1"/>
    <col min="9474" max="9474" width="23.42578125" style="735" customWidth="1"/>
    <col min="9475" max="9477" width="3.7109375" style="735" customWidth="1"/>
    <col min="9478" max="9478" width="6.85546875" style="735" customWidth="1"/>
    <col min="9479" max="9479" width="12.7109375" style="735" customWidth="1"/>
    <col min="9480" max="9480" width="14.5703125" style="735" customWidth="1"/>
    <col min="9481" max="9481" width="9.85546875" style="735" customWidth="1"/>
    <col min="9482" max="9482" width="10.42578125" style="735" customWidth="1"/>
    <col min="9483" max="9485" width="8.5703125" style="735" customWidth="1"/>
    <col min="9486" max="9486" width="8" style="735" customWidth="1"/>
    <col min="9487" max="9489" width="8.28515625" style="735" customWidth="1"/>
    <col min="9490" max="9490" width="27.7109375" style="735" customWidth="1"/>
    <col min="9491" max="9491" width="7.140625" style="735" customWidth="1"/>
    <col min="9492" max="9493" width="6.85546875" style="735" customWidth="1"/>
    <col min="9494" max="9494" width="22.7109375" style="735" customWidth="1"/>
    <col min="9495" max="9495" width="11.5703125" style="735" customWidth="1"/>
    <col min="9496" max="9496" width="7.5703125" style="735" customWidth="1"/>
    <col min="9497" max="9497" width="3.5703125" style="735" customWidth="1"/>
    <col min="9498" max="9498" width="3.7109375" style="735" customWidth="1"/>
    <col min="9499" max="9499" width="11" style="735" customWidth="1"/>
    <col min="9500" max="9500" width="14.5703125" style="735" customWidth="1"/>
    <col min="9501" max="9501" width="19.28515625" style="735" customWidth="1"/>
    <col min="9502" max="9502" width="18.42578125" style="735" customWidth="1"/>
    <col min="9503" max="9728" width="11.42578125" style="735"/>
    <col min="9729" max="9729" width="3.7109375" style="735" customWidth="1"/>
    <col min="9730" max="9730" width="23.42578125" style="735" customWidth="1"/>
    <col min="9731" max="9733" width="3.7109375" style="735" customWidth="1"/>
    <col min="9734" max="9734" width="6.85546875" style="735" customWidth="1"/>
    <col min="9735" max="9735" width="12.7109375" style="735" customWidth="1"/>
    <col min="9736" max="9736" width="14.5703125" style="735" customWidth="1"/>
    <col min="9737" max="9737" width="9.85546875" style="735" customWidth="1"/>
    <col min="9738" max="9738" width="10.42578125" style="735" customWidth="1"/>
    <col min="9739" max="9741" width="8.5703125" style="735" customWidth="1"/>
    <col min="9742" max="9742" width="8" style="735" customWidth="1"/>
    <col min="9743" max="9745" width="8.28515625" style="735" customWidth="1"/>
    <col min="9746" max="9746" width="27.7109375" style="735" customWidth="1"/>
    <col min="9747" max="9747" width="7.140625" style="735" customWidth="1"/>
    <col min="9748" max="9749" width="6.85546875" style="735" customWidth="1"/>
    <col min="9750" max="9750" width="22.7109375" style="735" customWidth="1"/>
    <col min="9751" max="9751" width="11.5703125" style="735" customWidth="1"/>
    <col min="9752" max="9752" width="7.5703125" style="735" customWidth="1"/>
    <col min="9753" max="9753" width="3.5703125" style="735" customWidth="1"/>
    <col min="9754" max="9754" width="3.7109375" style="735" customWidth="1"/>
    <col min="9755" max="9755" width="11" style="735" customWidth="1"/>
    <col min="9756" max="9756" width="14.5703125" style="735" customWidth="1"/>
    <col min="9757" max="9757" width="19.28515625" style="735" customWidth="1"/>
    <col min="9758" max="9758" width="18.42578125" style="735" customWidth="1"/>
    <col min="9759" max="9984" width="11.42578125" style="735"/>
    <col min="9985" max="9985" width="3.7109375" style="735" customWidth="1"/>
    <col min="9986" max="9986" width="23.42578125" style="735" customWidth="1"/>
    <col min="9987" max="9989" width="3.7109375" style="735" customWidth="1"/>
    <col min="9990" max="9990" width="6.85546875" style="735" customWidth="1"/>
    <col min="9991" max="9991" width="12.7109375" style="735" customWidth="1"/>
    <col min="9992" max="9992" width="14.5703125" style="735" customWidth="1"/>
    <col min="9993" max="9993" width="9.85546875" style="735" customWidth="1"/>
    <col min="9994" max="9994" width="10.42578125" style="735" customWidth="1"/>
    <col min="9995" max="9997" width="8.5703125" style="735" customWidth="1"/>
    <col min="9998" max="9998" width="8" style="735" customWidth="1"/>
    <col min="9999" max="10001" width="8.28515625" style="735" customWidth="1"/>
    <col min="10002" max="10002" width="27.7109375" style="735" customWidth="1"/>
    <col min="10003" max="10003" width="7.140625" style="735" customWidth="1"/>
    <col min="10004" max="10005" width="6.85546875" style="735" customWidth="1"/>
    <col min="10006" max="10006" width="22.7109375" style="735" customWidth="1"/>
    <col min="10007" max="10007" width="11.5703125" style="735" customWidth="1"/>
    <col min="10008" max="10008" width="7.5703125" style="735" customWidth="1"/>
    <col min="10009" max="10009" width="3.5703125" style="735" customWidth="1"/>
    <col min="10010" max="10010" width="3.7109375" style="735" customWidth="1"/>
    <col min="10011" max="10011" width="11" style="735" customWidth="1"/>
    <col min="10012" max="10012" width="14.5703125" style="735" customWidth="1"/>
    <col min="10013" max="10013" width="19.28515625" style="735" customWidth="1"/>
    <col min="10014" max="10014" width="18.42578125" style="735" customWidth="1"/>
    <col min="10015" max="10240" width="11.42578125" style="735"/>
    <col min="10241" max="10241" width="3.7109375" style="735" customWidth="1"/>
    <col min="10242" max="10242" width="23.42578125" style="735" customWidth="1"/>
    <col min="10243" max="10245" width="3.7109375" style="735" customWidth="1"/>
    <col min="10246" max="10246" width="6.85546875" style="735" customWidth="1"/>
    <col min="10247" max="10247" width="12.7109375" style="735" customWidth="1"/>
    <col min="10248" max="10248" width="14.5703125" style="735" customWidth="1"/>
    <col min="10249" max="10249" width="9.85546875" style="735" customWidth="1"/>
    <col min="10250" max="10250" width="10.42578125" style="735" customWidth="1"/>
    <col min="10251" max="10253" width="8.5703125" style="735" customWidth="1"/>
    <col min="10254" max="10254" width="8" style="735" customWidth="1"/>
    <col min="10255" max="10257" width="8.28515625" style="735" customWidth="1"/>
    <col min="10258" max="10258" width="27.7109375" style="735" customWidth="1"/>
    <col min="10259" max="10259" width="7.140625" style="735" customWidth="1"/>
    <col min="10260" max="10261" width="6.85546875" style="735" customWidth="1"/>
    <col min="10262" max="10262" width="22.7109375" style="735" customWidth="1"/>
    <col min="10263" max="10263" width="11.5703125" style="735" customWidth="1"/>
    <col min="10264" max="10264" width="7.5703125" style="735" customWidth="1"/>
    <col min="10265" max="10265" width="3.5703125" style="735" customWidth="1"/>
    <col min="10266" max="10266" width="3.7109375" style="735" customWidth="1"/>
    <col min="10267" max="10267" width="11" style="735" customWidth="1"/>
    <col min="10268" max="10268" width="14.5703125" style="735" customWidth="1"/>
    <col min="10269" max="10269" width="19.28515625" style="735" customWidth="1"/>
    <col min="10270" max="10270" width="18.42578125" style="735" customWidth="1"/>
    <col min="10271" max="10496" width="11.42578125" style="735"/>
    <col min="10497" max="10497" width="3.7109375" style="735" customWidth="1"/>
    <col min="10498" max="10498" width="23.42578125" style="735" customWidth="1"/>
    <col min="10499" max="10501" width="3.7109375" style="735" customWidth="1"/>
    <col min="10502" max="10502" width="6.85546875" style="735" customWidth="1"/>
    <col min="10503" max="10503" width="12.7109375" style="735" customWidth="1"/>
    <col min="10504" max="10504" width="14.5703125" style="735" customWidth="1"/>
    <col min="10505" max="10505" width="9.85546875" style="735" customWidth="1"/>
    <col min="10506" max="10506" width="10.42578125" style="735" customWidth="1"/>
    <col min="10507" max="10509" width="8.5703125" style="735" customWidth="1"/>
    <col min="10510" max="10510" width="8" style="735" customWidth="1"/>
    <col min="10511" max="10513" width="8.28515625" style="735" customWidth="1"/>
    <col min="10514" max="10514" width="27.7109375" style="735" customWidth="1"/>
    <col min="10515" max="10515" width="7.140625" style="735" customWidth="1"/>
    <col min="10516" max="10517" width="6.85546875" style="735" customWidth="1"/>
    <col min="10518" max="10518" width="22.7109375" style="735" customWidth="1"/>
    <col min="10519" max="10519" width="11.5703125" style="735" customWidth="1"/>
    <col min="10520" max="10520" width="7.5703125" style="735" customWidth="1"/>
    <col min="10521" max="10521" width="3.5703125" style="735" customWidth="1"/>
    <col min="10522" max="10522" width="3.7109375" style="735" customWidth="1"/>
    <col min="10523" max="10523" width="11" style="735" customWidth="1"/>
    <col min="10524" max="10524" width="14.5703125" style="735" customWidth="1"/>
    <col min="10525" max="10525" width="19.28515625" style="735" customWidth="1"/>
    <col min="10526" max="10526" width="18.42578125" style="735" customWidth="1"/>
    <col min="10527" max="10752" width="11.42578125" style="735"/>
    <col min="10753" max="10753" width="3.7109375" style="735" customWidth="1"/>
    <col min="10754" max="10754" width="23.42578125" style="735" customWidth="1"/>
    <col min="10755" max="10757" width="3.7109375" style="735" customWidth="1"/>
    <col min="10758" max="10758" width="6.85546875" style="735" customWidth="1"/>
    <col min="10759" max="10759" width="12.7109375" style="735" customWidth="1"/>
    <col min="10760" max="10760" width="14.5703125" style="735" customWidth="1"/>
    <col min="10761" max="10761" width="9.85546875" style="735" customWidth="1"/>
    <col min="10762" max="10762" width="10.42578125" style="735" customWidth="1"/>
    <col min="10763" max="10765" width="8.5703125" style="735" customWidth="1"/>
    <col min="10766" max="10766" width="8" style="735" customWidth="1"/>
    <col min="10767" max="10769" width="8.28515625" style="735" customWidth="1"/>
    <col min="10770" max="10770" width="27.7109375" style="735" customWidth="1"/>
    <col min="10771" max="10771" width="7.140625" style="735" customWidth="1"/>
    <col min="10772" max="10773" width="6.85546875" style="735" customWidth="1"/>
    <col min="10774" max="10774" width="22.7109375" style="735" customWidth="1"/>
    <col min="10775" max="10775" width="11.5703125" style="735" customWidth="1"/>
    <col min="10776" max="10776" width="7.5703125" style="735" customWidth="1"/>
    <col min="10777" max="10777" width="3.5703125" style="735" customWidth="1"/>
    <col min="10778" max="10778" width="3.7109375" style="735" customWidth="1"/>
    <col min="10779" max="10779" width="11" style="735" customWidth="1"/>
    <col min="10780" max="10780" width="14.5703125" style="735" customWidth="1"/>
    <col min="10781" max="10781" width="19.28515625" style="735" customWidth="1"/>
    <col min="10782" max="10782" width="18.42578125" style="735" customWidth="1"/>
    <col min="10783" max="11008" width="11.42578125" style="735"/>
    <col min="11009" max="11009" width="3.7109375" style="735" customWidth="1"/>
    <col min="11010" max="11010" width="23.42578125" style="735" customWidth="1"/>
    <col min="11011" max="11013" width="3.7109375" style="735" customWidth="1"/>
    <col min="11014" max="11014" width="6.85546875" style="735" customWidth="1"/>
    <col min="11015" max="11015" width="12.7109375" style="735" customWidth="1"/>
    <col min="11016" max="11016" width="14.5703125" style="735" customWidth="1"/>
    <col min="11017" max="11017" width="9.85546875" style="735" customWidth="1"/>
    <col min="11018" max="11018" width="10.42578125" style="735" customWidth="1"/>
    <col min="11019" max="11021" width="8.5703125" style="735" customWidth="1"/>
    <col min="11022" max="11022" width="8" style="735" customWidth="1"/>
    <col min="11023" max="11025" width="8.28515625" style="735" customWidth="1"/>
    <col min="11026" max="11026" width="27.7109375" style="735" customWidth="1"/>
    <col min="11027" max="11027" width="7.140625" style="735" customWidth="1"/>
    <col min="11028" max="11029" width="6.85546875" style="735" customWidth="1"/>
    <col min="11030" max="11030" width="22.7109375" style="735" customWidth="1"/>
    <col min="11031" max="11031" width="11.5703125" style="735" customWidth="1"/>
    <col min="11032" max="11032" width="7.5703125" style="735" customWidth="1"/>
    <col min="11033" max="11033" width="3.5703125" style="735" customWidth="1"/>
    <col min="11034" max="11034" width="3.7109375" style="735" customWidth="1"/>
    <col min="11035" max="11035" width="11" style="735" customWidth="1"/>
    <col min="11036" max="11036" width="14.5703125" style="735" customWidth="1"/>
    <col min="11037" max="11037" width="19.28515625" style="735" customWidth="1"/>
    <col min="11038" max="11038" width="18.42578125" style="735" customWidth="1"/>
    <col min="11039" max="11264" width="11.42578125" style="735"/>
    <col min="11265" max="11265" width="3.7109375" style="735" customWidth="1"/>
    <col min="11266" max="11266" width="23.42578125" style="735" customWidth="1"/>
    <col min="11267" max="11269" width="3.7109375" style="735" customWidth="1"/>
    <col min="11270" max="11270" width="6.85546875" style="735" customWidth="1"/>
    <col min="11271" max="11271" width="12.7109375" style="735" customWidth="1"/>
    <col min="11272" max="11272" width="14.5703125" style="735" customWidth="1"/>
    <col min="11273" max="11273" width="9.85546875" style="735" customWidth="1"/>
    <col min="11274" max="11274" width="10.42578125" style="735" customWidth="1"/>
    <col min="11275" max="11277" width="8.5703125" style="735" customWidth="1"/>
    <col min="11278" max="11278" width="8" style="735" customWidth="1"/>
    <col min="11279" max="11281" width="8.28515625" style="735" customWidth="1"/>
    <col min="11282" max="11282" width="27.7109375" style="735" customWidth="1"/>
    <col min="11283" max="11283" width="7.140625" style="735" customWidth="1"/>
    <col min="11284" max="11285" width="6.85546875" style="735" customWidth="1"/>
    <col min="11286" max="11286" width="22.7109375" style="735" customWidth="1"/>
    <col min="11287" max="11287" width="11.5703125" style="735" customWidth="1"/>
    <col min="11288" max="11288" width="7.5703125" style="735" customWidth="1"/>
    <col min="11289" max="11289" width="3.5703125" style="735" customWidth="1"/>
    <col min="11290" max="11290" width="3.7109375" style="735" customWidth="1"/>
    <col min="11291" max="11291" width="11" style="735" customWidth="1"/>
    <col min="11292" max="11292" width="14.5703125" style="735" customWidth="1"/>
    <col min="11293" max="11293" width="19.28515625" style="735" customWidth="1"/>
    <col min="11294" max="11294" width="18.42578125" style="735" customWidth="1"/>
    <col min="11295" max="11520" width="11.42578125" style="735"/>
    <col min="11521" max="11521" width="3.7109375" style="735" customWidth="1"/>
    <col min="11522" max="11522" width="23.42578125" style="735" customWidth="1"/>
    <col min="11523" max="11525" width="3.7109375" style="735" customWidth="1"/>
    <col min="11526" max="11526" width="6.85546875" style="735" customWidth="1"/>
    <col min="11527" max="11527" width="12.7109375" style="735" customWidth="1"/>
    <col min="11528" max="11528" width="14.5703125" style="735" customWidth="1"/>
    <col min="11529" max="11529" width="9.85546875" style="735" customWidth="1"/>
    <col min="11530" max="11530" width="10.42578125" style="735" customWidth="1"/>
    <col min="11531" max="11533" width="8.5703125" style="735" customWidth="1"/>
    <col min="11534" max="11534" width="8" style="735" customWidth="1"/>
    <col min="11535" max="11537" width="8.28515625" style="735" customWidth="1"/>
    <col min="11538" max="11538" width="27.7109375" style="735" customWidth="1"/>
    <col min="11539" max="11539" width="7.140625" style="735" customWidth="1"/>
    <col min="11540" max="11541" width="6.85546875" style="735" customWidth="1"/>
    <col min="11542" max="11542" width="22.7109375" style="735" customWidth="1"/>
    <col min="11543" max="11543" width="11.5703125" style="735" customWidth="1"/>
    <col min="11544" max="11544" width="7.5703125" style="735" customWidth="1"/>
    <col min="11545" max="11545" width="3.5703125" style="735" customWidth="1"/>
    <col min="11546" max="11546" width="3.7109375" style="735" customWidth="1"/>
    <col min="11547" max="11547" width="11" style="735" customWidth="1"/>
    <col min="11548" max="11548" width="14.5703125" style="735" customWidth="1"/>
    <col min="11549" max="11549" width="19.28515625" style="735" customWidth="1"/>
    <col min="11550" max="11550" width="18.42578125" style="735" customWidth="1"/>
    <col min="11551" max="11776" width="11.42578125" style="735"/>
    <col min="11777" max="11777" width="3.7109375" style="735" customWidth="1"/>
    <col min="11778" max="11778" width="23.42578125" style="735" customWidth="1"/>
    <col min="11779" max="11781" width="3.7109375" style="735" customWidth="1"/>
    <col min="11782" max="11782" width="6.85546875" style="735" customWidth="1"/>
    <col min="11783" max="11783" width="12.7109375" style="735" customWidth="1"/>
    <col min="11784" max="11784" width="14.5703125" style="735" customWidth="1"/>
    <col min="11785" max="11785" width="9.85546875" style="735" customWidth="1"/>
    <col min="11786" max="11786" width="10.42578125" style="735" customWidth="1"/>
    <col min="11787" max="11789" width="8.5703125" style="735" customWidth="1"/>
    <col min="11790" max="11790" width="8" style="735" customWidth="1"/>
    <col min="11791" max="11793" width="8.28515625" style="735" customWidth="1"/>
    <col min="11794" max="11794" width="27.7109375" style="735" customWidth="1"/>
    <col min="11795" max="11795" width="7.140625" style="735" customWidth="1"/>
    <col min="11796" max="11797" width="6.85546875" style="735" customWidth="1"/>
    <col min="11798" max="11798" width="22.7109375" style="735" customWidth="1"/>
    <col min="11799" max="11799" width="11.5703125" style="735" customWidth="1"/>
    <col min="11800" max="11800" width="7.5703125" style="735" customWidth="1"/>
    <col min="11801" max="11801" width="3.5703125" style="735" customWidth="1"/>
    <col min="11802" max="11802" width="3.7109375" style="735" customWidth="1"/>
    <col min="11803" max="11803" width="11" style="735" customWidth="1"/>
    <col min="11804" max="11804" width="14.5703125" style="735" customWidth="1"/>
    <col min="11805" max="11805" width="19.28515625" style="735" customWidth="1"/>
    <col min="11806" max="11806" width="18.42578125" style="735" customWidth="1"/>
    <col min="11807" max="12032" width="11.42578125" style="735"/>
    <col min="12033" max="12033" width="3.7109375" style="735" customWidth="1"/>
    <col min="12034" max="12034" width="23.42578125" style="735" customWidth="1"/>
    <col min="12035" max="12037" width="3.7109375" style="735" customWidth="1"/>
    <col min="12038" max="12038" width="6.85546875" style="735" customWidth="1"/>
    <col min="12039" max="12039" width="12.7109375" style="735" customWidth="1"/>
    <col min="12040" max="12040" width="14.5703125" style="735" customWidth="1"/>
    <col min="12041" max="12041" width="9.85546875" style="735" customWidth="1"/>
    <col min="12042" max="12042" width="10.42578125" style="735" customWidth="1"/>
    <col min="12043" max="12045" width="8.5703125" style="735" customWidth="1"/>
    <col min="12046" max="12046" width="8" style="735" customWidth="1"/>
    <col min="12047" max="12049" width="8.28515625" style="735" customWidth="1"/>
    <col min="12050" max="12050" width="27.7109375" style="735" customWidth="1"/>
    <col min="12051" max="12051" width="7.140625" style="735" customWidth="1"/>
    <col min="12052" max="12053" width="6.85546875" style="735" customWidth="1"/>
    <col min="12054" max="12054" width="22.7109375" style="735" customWidth="1"/>
    <col min="12055" max="12055" width="11.5703125" style="735" customWidth="1"/>
    <col min="12056" max="12056" width="7.5703125" style="735" customWidth="1"/>
    <col min="12057" max="12057" width="3.5703125" style="735" customWidth="1"/>
    <col min="12058" max="12058" width="3.7109375" style="735" customWidth="1"/>
    <col min="12059" max="12059" width="11" style="735" customWidth="1"/>
    <col min="12060" max="12060" width="14.5703125" style="735" customWidth="1"/>
    <col min="12061" max="12061" width="19.28515625" style="735" customWidth="1"/>
    <col min="12062" max="12062" width="18.42578125" style="735" customWidth="1"/>
    <col min="12063" max="12288" width="11.42578125" style="735"/>
    <col min="12289" max="12289" width="3.7109375" style="735" customWidth="1"/>
    <col min="12290" max="12290" width="23.42578125" style="735" customWidth="1"/>
    <col min="12291" max="12293" width="3.7109375" style="735" customWidth="1"/>
    <col min="12294" max="12294" width="6.85546875" style="735" customWidth="1"/>
    <col min="12295" max="12295" width="12.7109375" style="735" customWidth="1"/>
    <col min="12296" max="12296" width="14.5703125" style="735" customWidth="1"/>
    <col min="12297" max="12297" width="9.85546875" style="735" customWidth="1"/>
    <col min="12298" max="12298" width="10.42578125" style="735" customWidth="1"/>
    <col min="12299" max="12301" width="8.5703125" style="735" customWidth="1"/>
    <col min="12302" max="12302" width="8" style="735" customWidth="1"/>
    <col min="12303" max="12305" width="8.28515625" style="735" customWidth="1"/>
    <col min="12306" max="12306" width="27.7109375" style="735" customWidth="1"/>
    <col min="12307" max="12307" width="7.140625" style="735" customWidth="1"/>
    <col min="12308" max="12309" width="6.85546875" style="735" customWidth="1"/>
    <col min="12310" max="12310" width="22.7109375" style="735" customWidth="1"/>
    <col min="12311" max="12311" width="11.5703125" style="735" customWidth="1"/>
    <col min="12312" max="12312" width="7.5703125" style="735" customWidth="1"/>
    <col min="12313" max="12313" width="3.5703125" style="735" customWidth="1"/>
    <col min="12314" max="12314" width="3.7109375" style="735" customWidth="1"/>
    <col min="12315" max="12315" width="11" style="735" customWidth="1"/>
    <col min="12316" max="12316" width="14.5703125" style="735" customWidth="1"/>
    <col min="12317" max="12317" width="19.28515625" style="735" customWidth="1"/>
    <col min="12318" max="12318" width="18.42578125" style="735" customWidth="1"/>
    <col min="12319" max="12544" width="11.42578125" style="735"/>
    <col min="12545" max="12545" width="3.7109375" style="735" customWidth="1"/>
    <col min="12546" max="12546" width="23.42578125" style="735" customWidth="1"/>
    <col min="12547" max="12549" width="3.7109375" style="735" customWidth="1"/>
    <col min="12550" max="12550" width="6.85546875" style="735" customWidth="1"/>
    <col min="12551" max="12551" width="12.7109375" style="735" customWidth="1"/>
    <col min="12552" max="12552" width="14.5703125" style="735" customWidth="1"/>
    <col min="12553" max="12553" width="9.85546875" style="735" customWidth="1"/>
    <col min="12554" max="12554" width="10.42578125" style="735" customWidth="1"/>
    <col min="12555" max="12557" width="8.5703125" style="735" customWidth="1"/>
    <col min="12558" max="12558" width="8" style="735" customWidth="1"/>
    <col min="12559" max="12561" width="8.28515625" style="735" customWidth="1"/>
    <col min="12562" max="12562" width="27.7109375" style="735" customWidth="1"/>
    <col min="12563" max="12563" width="7.140625" style="735" customWidth="1"/>
    <col min="12564" max="12565" width="6.85546875" style="735" customWidth="1"/>
    <col min="12566" max="12566" width="22.7109375" style="735" customWidth="1"/>
    <col min="12567" max="12567" width="11.5703125" style="735" customWidth="1"/>
    <col min="12568" max="12568" width="7.5703125" style="735" customWidth="1"/>
    <col min="12569" max="12569" width="3.5703125" style="735" customWidth="1"/>
    <col min="12570" max="12570" width="3.7109375" style="735" customWidth="1"/>
    <col min="12571" max="12571" width="11" style="735" customWidth="1"/>
    <col min="12572" max="12572" width="14.5703125" style="735" customWidth="1"/>
    <col min="12573" max="12573" width="19.28515625" style="735" customWidth="1"/>
    <col min="12574" max="12574" width="18.42578125" style="735" customWidth="1"/>
    <col min="12575" max="12800" width="11.42578125" style="735"/>
    <col min="12801" max="12801" width="3.7109375" style="735" customWidth="1"/>
    <col min="12802" max="12802" width="23.42578125" style="735" customWidth="1"/>
    <col min="12803" max="12805" width="3.7109375" style="735" customWidth="1"/>
    <col min="12806" max="12806" width="6.85546875" style="735" customWidth="1"/>
    <col min="12807" max="12807" width="12.7109375" style="735" customWidth="1"/>
    <col min="12808" max="12808" width="14.5703125" style="735" customWidth="1"/>
    <col min="12809" max="12809" width="9.85546875" style="735" customWidth="1"/>
    <col min="12810" max="12810" width="10.42578125" style="735" customWidth="1"/>
    <col min="12811" max="12813" width="8.5703125" style="735" customWidth="1"/>
    <col min="12814" max="12814" width="8" style="735" customWidth="1"/>
    <col min="12815" max="12817" width="8.28515625" style="735" customWidth="1"/>
    <col min="12818" max="12818" width="27.7109375" style="735" customWidth="1"/>
    <col min="12819" max="12819" width="7.140625" style="735" customWidth="1"/>
    <col min="12820" max="12821" width="6.85546875" style="735" customWidth="1"/>
    <col min="12822" max="12822" width="22.7109375" style="735" customWidth="1"/>
    <col min="12823" max="12823" width="11.5703125" style="735" customWidth="1"/>
    <col min="12824" max="12824" width="7.5703125" style="735" customWidth="1"/>
    <col min="12825" max="12825" width="3.5703125" style="735" customWidth="1"/>
    <col min="12826" max="12826" width="3.7109375" style="735" customWidth="1"/>
    <col min="12827" max="12827" width="11" style="735" customWidth="1"/>
    <col min="12828" max="12828" width="14.5703125" style="735" customWidth="1"/>
    <col min="12829" max="12829" width="19.28515625" style="735" customWidth="1"/>
    <col min="12830" max="12830" width="18.42578125" style="735" customWidth="1"/>
    <col min="12831" max="13056" width="11.42578125" style="735"/>
    <col min="13057" max="13057" width="3.7109375" style="735" customWidth="1"/>
    <col min="13058" max="13058" width="23.42578125" style="735" customWidth="1"/>
    <col min="13059" max="13061" width="3.7109375" style="735" customWidth="1"/>
    <col min="13062" max="13062" width="6.85546875" style="735" customWidth="1"/>
    <col min="13063" max="13063" width="12.7109375" style="735" customWidth="1"/>
    <col min="13064" max="13064" width="14.5703125" style="735" customWidth="1"/>
    <col min="13065" max="13065" width="9.85546875" style="735" customWidth="1"/>
    <col min="13066" max="13066" width="10.42578125" style="735" customWidth="1"/>
    <col min="13067" max="13069" width="8.5703125" style="735" customWidth="1"/>
    <col min="13070" max="13070" width="8" style="735" customWidth="1"/>
    <col min="13071" max="13073" width="8.28515625" style="735" customWidth="1"/>
    <col min="13074" max="13074" width="27.7109375" style="735" customWidth="1"/>
    <col min="13075" max="13075" width="7.140625" style="735" customWidth="1"/>
    <col min="13076" max="13077" width="6.85546875" style="735" customWidth="1"/>
    <col min="13078" max="13078" width="22.7109375" style="735" customWidth="1"/>
    <col min="13079" max="13079" width="11.5703125" style="735" customWidth="1"/>
    <col min="13080" max="13080" width="7.5703125" style="735" customWidth="1"/>
    <col min="13081" max="13081" width="3.5703125" style="735" customWidth="1"/>
    <col min="13082" max="13082" width="3.7109375" style="735" customWidth="1"/>
    <col min="13083" max="13083" width="11" style="735" customWidth="1"/>
    <col min="13084" max="13084" width="14.5703125" style="735" customWidth="1"/>
    <col min="13085" max="13085" width="19.28515625" style="735" customWidth="1"/>
    <col min="13086" max="13086" width="18.42578125" style="735" customWidth="1"/>
    <col min="13087" max="13312" width="11.42578125" style="735"/>
    <col min="13313" max="13313" width="3.7109375" style="735" customWidth="1"/>
    <col min="13314" max="13314" width="23.42578125" style="735" customWidth="1"/>
    <col min="13315" max="13317" width="3.7109375" style="735" customWidth="1"/>
    <col min="13318" max="13318" width="6.85546875" style="735" customWidth="1"/>
    <col min="13319" max="13319" width="12.7109375" style="735" customWidth="1"/>
    <col min="13320" max="13320" width="14.5703125" style="735" customWidth="1"/>
    <col min="13321" max="13321" width="9.85546875" style="735" customWidth="1"/>
    <col min="13322" max="13322" width="10.42578125" style="735" customWidth="1"/>
    <col min="13323" max="13325" width="8.5703125" style="735" customWidth="1"/>
    <col min="13326" max="13326" width="8" style="735" customWidth="1"/>
    <col min="13327" max="13329" width="8.28515625" style="735" customWidth="1"/>
    <col min="13330" max="13330" width="27.7109375" style="735" customWidth="1"/>
    <col min="13331" max="13331" width="7.140625" style="735" customWidth="1"/>
    <col min="13332" max="13333" width="6.85546875" style="735" customWidth="1"/>
    <col min="13334" max="13334" width="22.7109375" style="735" customWidth="1"/>
    <col min="13335" max="13335" width="11.5703125" style="735" customWidth="1"/>
    <col min="13336" max="13336" width="7.5703125" style="735" customWidth="1"/>
    <col min="13337" max="13337" width="3.5703125" style="735" customWidth="1"/>
    <col min="13338" max="13338" width="3.7109375" style="735" customWidth="1"/>
    <col min="13339" max="13339" width="11" style="735" customWidth="1"/>
    <col min="13340" max="13340" width="14.5703125" style="735" customWidth="1"/>
    <col min="13341" max="13341" width="19.28515625" style="735" customWidth="1"/>
    <col min="13342" max="13342" width="18.42578125" style="735" customWidth="1"/>
    <col min="13343" max="13568" width="11.42578125" style="735"/>
    <col min="13569" max="13569" width="3.7109375" style="735" customWidth="1"/>
    <col min="13570" max="13570" width="23.42578125" style="735" customWidth="1"/>
    <col min="13571" max="13573" width="3.7109375" style="735" customWidth="1"/>
    <col min="13574" max="13574" width="6.85546875" style="735" customWidth="1"/>
    <col min="13575" max="13575" width="12.7109375" style="735" customWidth="1"/>
    <col min="13576" max="13576" width="14.5703125" style="735" customWidth="1"/>
    <col min="13577" max="13577" width="9.85546875" style="735" customWidth="1"/>
    <col min="13578" max="13578" width="10.42578125" style="735" customWidth="1"/>
    <col min="13579" max="13581" width="8.5703125" style="735" customWidth="1"/>
    <col min="13582" max="13582" width="8" style="735" customWidth="1"/>
    <col min="13583" max="13585" width="8.28515625" style="735" customWidth="1"/>
    <col min="13586" max="13586" width="27.7109375" style="735" customWidth="1"/>
    <col min="13587" max="13587" width="7.140625" style="735" customWidth="1"/>
    <col min="13588" max="13589" width="6.85546875" style="735" customWidth="1"/>
    <col min="13590" max="13590" width="22.7109375" style="735" customWidth="1"/>
    <col min="13591" max="13591" width="11.5703125" style="735" customWidth="1"/>
    <col min="13592" max="13592" width="7.5703125" style="735" customWidth="1"/>
    <col min="13593" max="13593" width="3.5703125" style="735" customWidth="1"/>
    <col min="13594" max="13594" width="3.7109375" style="735" customWidth="1"/>
    <col min="13595" max="13595" width="11" style="735" customWidth="1"/>
    <col min="13596" max="13596" width="14.5703125" style="735" customWidth="1"/>
    <col min="13597" max="13597" width="19.28515625" style="735" customWidth="1"/>
    <col min="13598" max="13598" width="18.42578125" style="735" customWidth="1"/>
    <col min="13599" max="13824" width="11.42578125" style="735"/>
    <col min="13825" max="13825" width="3.7109375" style="735" customWidth="1"/>
    <col min="13826" max="13826" width="23.42578125" style="735" customWidth="1"/>
    <col min="13827" max="13829" width="3.7109375" style="735" customWidth="1"/>
    <col min="13830" max="13830" width="6.85546875" style="735" customWidth="1"/>
    <col min="13831" max="13831" width="12.7109375" style="735" customWidth="1"/>
    <col min="13832" max="13832" width="14.5703125" style="735" customWidth="1"/>
    <col min="13833" max="13833" width="9.85546875" style="735" customWidth="1"/>
    <col min="13834" max="13834" width="10.42578125" style="735" customWidth="1"/>
    <col min="13835" max="13837" width="8.5703125" style="735" customWidth="1"/>
    <col min="13838" max="13838" width="8" style="735" customWidth="1"/>
    <col min="13839" max="13841" width="8.28515625" style="735" customWidth="1"/>
    <col min="13842" max="13842" width="27.7109375" style="735" customWidth="1"/>
    <col min="13843" max="13843" width="7.140625" style="735" customWidth="1"/>
    <col min="13844" max="13845" width="6.85546875" style="735" customWidth="1"/>
    <col min="13846" max="13846" width="22.7109375" style="735" customWidth="1"/>
    <col min="13847" max="13847" width="11.5703125" style="735" customWidth="1"/>
    <col min="13848" max="13848" width="7.5703125" style="735" customWidth="1"/>
    <col min="13849" max="13849" width="3.5703125" style="735" customWidth="1"/>
    <col min="13850" max="13850" width="3.7109375" style="735" customWidth="1"/>
    <col min="13851" max="13851" width="11" style="735" customWidth="1"/>
    <col min="13852" max="13852" width="14.5703125" style="735" customWidth="1"/>
    <col min="13853" max="13853" width="19.28515625" style="735" customWidth="1"/>
    <col min="13854" max="13854" width="18.42578125" style="735" customWidth="1"/>
    <col min="13855" max="14080" width="11.42578125" style="735"/>
    <col min="14081" max="14081" width="3.7109375" style="735" customWidth="1"/>
    <col min="14082" max="14082" width="23.42578125" style="735" customWidth="1"/>
    <col min="14083" max="14085" width="3.7109375" style="735" customWidth="1"/>
    <col min="14086" max="14086" width="6.85546875" style="735" customWidth="1"/>
    <col min="14087" max="14087" width="12.7109375" style="735" customWidth="1"/>
    <col min="14088" max="14088" width="14.5703125" style="735" customWidth="1"/>
    <col min="14089" max="14089" width="9.85546875" style="735" customWidth="1"/>
    <col min="14090" max="14090" width="10.42578125" style="735" customWidth="1"/>
    <col min="14091" max="14093" width="8.5703125" style="735" customWidth="1"/>
    <col min="14094" max="14094" width="8" style="735" customWidth="1"/>
    <col min="14095" max="14097" width="8.28515625" style="735" customWidth="1"/>
    <col min="14098" max="14098" width="27.7109375" style="735" customWidth="1"/>
    <col min="14099" max="14099" width="7.140625" style="735" customWidth="1"/>
    <col min="14100" max="14101" width="6.85546875" style="735" customWidth="1"/>
    <col min="14102" max="14102" width="22.7109375" style="735" customWidth="1"/>
    <col min="14103" max="14103" width="11.5703125" style="735" customWidth="1"/>
    <col min="14104" max="14104" width="7.5703125" style="735" customWidth="1"/>
    <col min="14105" max="14105" width="3.5703125" style="735" customWidth="1"/>
    <col min="14106" max="14106" width="3.7109375" style="735" customWidth="1"/>
    <col min="14107" max="14107" width="11" style="735" customWidth="1"/>
    <col min="14108" max="14108" width="14.5703125" style="735" customWidth="1"/>
    <col min="14109" max="14109" width="19.28515625" style="735" customWidth="1"/>
    <col min="14110" max="14110" width="18.42578125" style="735" customWidth="1"/>
    <col min="14111" max="14336" width="11.42578125" style="735"/>
    <col min="14337" max="14337" width="3.7109375" style="735" customWidth="1"/>
    <col min="14338" max="14338" width="23.42578125" style="735" customWidth="1"/>
    <col min="14339" max="14341" width="3.7109375" style="735" customWidth="1"/>
    <col min="14342" max="14342" width="6.85546875" style="735" customWidth="1"/>
    <col min="14343" max="14343" width="12.7109375" style="735" customWidth="1"/>
    <col min="14344" max="14344" width="14.5703125" style="735" customWidth="1"/>
    <col min="14345" max="14345" width="9.85546875" style="735" customWidth="1"/>
    <col min="14346" max="14346" width="10.42578125" style="735" customWidth="1"/>
    <col min="14347" max="14349" width="8.5703125" style="735" customWidth="1"/>
    <col min="14350" max="14350" width="8" style="735" customWidth="1"/>
    <col min="14351" max="14353" width="8.28515625" style="735" customWidth="1"/>
    <col min="14354" max="14354" width="27.7109375" style="735" customWidth="1"/>
    <col min="14355" max="14355" width="7.140625" style="735" customWidth="1"/>
    <col min="14356" max="14357" width="6.85546875" style="735" customWidth="1"/>
    <col min="14358" max="14358" width="22.7109375" style="735" customWidth="1"/>
    <col min="14359" max="14359" width="11.5703125" style="735" customWidth="1"/>
    <col min="14360" max="14360" width="7.5703125" style="735" customWidth="1"/>
    <col min="14361" max="14361" width="3.5703125" style="735" customWidth="1"/>
    <col min="14362" max="14362" width="3.7109375" style="735" customWidth="1"/>
    <col min="14363" max="14363" width="11" style="735" customWidth="1"/>
    <col min="14364" max="14364" width="14.5703125" style="735" customWidth="1"/>
    <col min="14365" max="14365" width="19.28515625" style="735" customWidth="1"/>
    <col min="14366" max="14366" width="18.42578125" style="735" customWidth="1"/>
    <col min="14367" max="14592" width="11.42578125" style="735"/>
    <col min="14593" max="14593" width="3.7109375" style="735" customWidth="1"/>
    <col min="14594" max="14594" width="23.42578125" style="735" customWidth="1"/>
    <col min="14595" max="14597" width="3.7109375" style="735" customWidth="1"/>
    <col min="14598" max="14598" width="6.85546875" style="735" customWidth="1"/>
    <col min="14599" max="14599" width="12.7109375" style="735" customWidth="1"/>
    <col min="14600" max="14600" width="14.5703125" style="735" customWidth="1"/>
    <col min="14601" max="14601" width="9.85546875" style="735" customWidth="1"/>
    <col min="14602" max="14602" width="10.42578125" style="735" customWidth="1"/>
    <col min="14603" max="14605" width="8.5703125" style="735" customWidth="1"/>
    <col min="14606" max="14606" width="8" style="735" customWidth="1"/>
    <col min="14607" max="14609" width="8.28515625" style="735" customWidth="1"/>
    <col min="14610" max="14610" width="27.7109375" style="735" customWidth="1"/>
    <col min="14611" max="14611" width="7.140625" style="735" customWidth="1"/>
    <col min="14612" max="14613" width="6.85546875" style="735" customWidth="1"/>
    <col min="14614" max="14614" width="22.7109375" style="735" customWidth="1"/>
    <col min="14615" max="14615" width="11.5703125" style="735" customWidth="1"/>
    <col min="14616" max="14616" width="7.5703125" style="735" customWidth="1"/>
    <col min="14617" max="14617" width="3.5703125" style="735" customWidth="1"/>
    <col min="14618" max="14618" width="3.7109375" style="735" customWidth="1"/>
    <col min="14619" max="14619" width="11" style="735" customWidth="1"/>
    <col min="14620" max="14620" width="14.5703125" style="735" customWidth="1"/>
    <col min="14621" max="14621" width="19.28515625" style="735" customWidth="1"/>
    <col min="14622" max="14622" width="18.42578125" style="735" customWidth="1"/>
    <col min="14623" max="14848" width="11.42578125" style="735"/>
    <col min="14849" max="14849" width="3.7109375" style="735" customWidth="1"/>
    <col min="14850" max="14850" width="23.42578125" style="735" customWidth="1"/>
    <col min="14851" max="14853" width="3.7109375" style="735" customWidth="1"/>
    <col min="14854" max="14854" width="6.85546875" style="735" customWidth="1"/>
    <col min="14855" max="14855" width="12.7109375" style="735" customWidth="1"/>
    <col min="14856" max="14856" width="14.5703125" style="735" customWidth="1"/>
    <col min="14857" max="14857" width="9.85546875" style="735" customWidth="1"/>
    <col min="14858" max="14858" width="10.42578125" style="735" customWidth="1"/>
    <col min="14859" max="14861" width="8.5703125" style="735" customWidth="1"/>
    <col min="14862" max="14862" width="8" style="735" customWidth="1"/>
    <col min="14863" max="14865" width="8.28515625" style="735" customWidth="1"/>
    <col min="14866" max="14866" width="27.7109375" style="735" customWidth="1"/>
    <col min="14867" max="14867" width="7.140625" style="735" customWidth="1"/>
    <col min="14868" max="14869" width="6.85546875" style="735" customWidth="1"/>
    <col min="14870" max="14870" width="22.7109375" style="735" customWidth="1"/>
    <col min="14871" max="14871" width="11.5703125" style="735" customWidth="1"/>
    <col min="14872" max="14872" width="7.5703125" style="735" customWidth="1"/>
    <col min="14873" max="14873" width="3.5703125" style="735" customWidth="1"/>
    <col min="14874" max="14874" width="3.7109375" style="735" customWidth="1"/>
    <col min="14875" max="14875" width="11" style="735" customWidth="1"/>
    <col min="14876" max="14876" width="14.5703125" style="735" customWidth="1"/>
    <col min="14877" max="14877" width="19.28515625" style="735" customWidth="1"/>
    <col min="14878" max="14878" width="18.42578125" style="735" customWidth="1"/>
    <col min="14879" max="15104" width="11.42578125" style="735"/>
    <col min="15105" max="15105" width="3.7109375" style="735" customWidth="1"/>
    <col min="15106" max="15106" width="23.42578125" style="735" customWidth="1"/>
    <col min="15107" max="15109" width="3.7109375" style="735" customWidth="1"/>
    <col min="15110" max="15110" width="6.85546875" style="735" customWidth="1"/>
    <col min="15111" max="15111" width="12.7109375" style="735" customWidth="1"/>
    <col min="15112" max="15112" width="14.5703125" style="735" customWidth="1"/>
    <col min="15113" max="15113" width="9.85546875" style="735" customWidth="1"/>
    <col min="15114" max="15114" width="10.42578125" style="735" customWidth="1"/>
    <col min="15115" max="15117" width="8.5703125" style="735" customWidth="1"/>
    <col min="15118" max="15118" width="8" style="735" customWidth="1"/>
    <col min="15119" max="15121" width="8.28515625" style="735" customWidth="1"/>
    <col min="15122" max="15122" width="27.7109375" style="735" customWidth="1"/>
    <col min="15123" max="15123" width="7.140625" style="735" customWidth="1"/>
    <col min="15124" max="15125" width="6.85546875" style="735" customWidth="1"/>
    <col min="15126" max="15126" width="22.7109375" style="735" customWidth="1"/>
    <col min="15127" max="15127" width="11.5703125" style="735" customWidth="1"/>
    <col min="15128" max="15128" width="7.5703125" style="735" customWidth="1"/>
    <col min="15129" max="15129" width="3.5703125" style="735" customWidth="1"/>
    <col min="15130" max="15130" width="3.7109375" style="735" customWidth="1"/>
    <col min="15131" max="15131" width="11" style="735" customWidth="1"/>
    <col min="15132" max="15132" width="14.5703125" style="735" customWidth="1"/>
    <col min="15133" max="15133" width="19.28515625" style="735" customWidth="1"/>
    <col min="15134" max="15134" width="18.42578125" style="735" customWidth="1"/>
    <col min="15135" max="15360" width="11.42578125" style="735"/>
    <col min="15361" max="15361" width="3.7109375" style="735" customWidth="1"/>
    <col min="15362" max="15362" width="23.42578125" style="735" customWidth="1"/>
    <col min="15363" max="15365" width="3.7109375" style="735" customWidth="1"/>
    <col min="15366" max="15366" width="6.85546875" style="735" customWidth="1"/>
    <col min="15367" max="15367" width="12.7109375" style="735" customWidth="1"/>
    <col min="15368" max="15368" width="14.5703125" style="735" customWidth="1"/>
    <col min="15369" max="15369" width="9.85546875" style="735" customWidth="1"/>
    <col min="15370" max="15370" width="10.42578125" style="735" customWidth="1"/>
    <col min="15371" max="15373" width="8.5703125" style="735" customWidth="1"/>
    <col min="15374" max="15374" width="8" style="735" customWidth="1"/>
    <col min="15375" max="15377" width="8.28515625" style="735" customWidth="1"/>
    <col min="15378" max="15378" width="27.7109375" style="735" customWidth="1"/>
    <col min="15379" max="15379" width="7.140625" style="735" customWidth="1"/>
    <col min="15380" max="15381" width="6.85546875" style="735" customWidth="1"/>
    <col min="15382" max="15382" width="22.7109375" style="735" customWidth="1"/>
    <col min="15383" max="15383" width="11.5703125" style="735" customWidth="1"/>
    <col min="15384" max="15384" width="7.5703125" style="735" customWidth="1"/>
    <col min="15385" max="15385" width="3.5703125" style="735" customWidth="1"/>
    <col min="15386" max="15386" width="3.7109375" style="735" customWidth="1"/>
    <col min="15387" max="15387" width="11" style="735" customWidth="1"/>
    <col min="15388" max="15388" width="14.5703125" style="735" customWidth="1"/>
    <col min="15389" max="15389" width="19.28515625" style="735" customWidth="1"/>
    <col min="15390" max="15390" width="18.42578125" style="735" customWidth="1"/>
    <col min="15391" max="15616" width="11.42578125" style="735"/>
    <col min="15617" max="15617" width="3.7109375" style="735" customWidth="1"/>
    <col min="15618" max="15618" width="23.42578125" style="735" customWidth="1"/>
    <col min="15619" max="15621" width="3.7109375" style="735" customWidth="1"/>
    <col min="15622" max="15622" width="6.85546875" style="735" customWidth="1"/>
    <col min="15623" max="15623" width="12.7109375" style="735" customWidth="1"/>
    <col min="15624" max="15624" width="14.5703125" style="735" customWidth="1"/>
    <col min="15625" max="15625" width="9.85546875" style="735" customWidth="1"/>
    <col min="15626" max="15626" width="10.42578125" style="735" customWidth="1"/>
    <col min="15627" max="15629" width="8.5703125" style="735" customWidth="1"/>
    <col min="15630" max="15630" width="8" style="735" customWidth="1"/>
    <col min="15631" max="15633" width="8.28515625" style="735" customWidth="1"/>
    <col min="15634" max="15634" width="27.7109375" style="735" customWidth="1"/>
    <col min="15635" max="15635" width="7.140625" style="735" customWidth="1"/>
    <col min="15636" max="15637" width="6.85546875" style="735" customWidth="1"/>
    <col min="15638" max="15638" width="22.7109375" style="735" customWidth="1"/>
    <col min="15639" max="15639" width="11.5703125" style="735" customWidth="1"/>
    <col min="15640" max="15640" width="7.5703125" style="735" customWidth="1"/>
    <col min="15641" max="15641" width="3.5703125" style="735" customWidth="1"/>
    <col min="15642" max="15642" width="3.7109375" style="735" customWidth="1"/>
    <col min="15643" max="15643" width="11" style="735" customWidth="1"/>
    <col min="15644" max="15644" width="14.5703125" style="735" customWidth="1"/>
    <col min="15645" max="15645" width="19.28515625" style="735" customWidth="1"/>
    <col min="15646" max="15646" width="18.42578125" style="735" customWidth="1"/>
    <col min="15647" max="15872" width="11.42578125" style="735"/>
    <col min="15873" max="15873" width="3.7109375" style="735" customWidth="1"/>
    <col min="15874" max="15874" width="23.42578125" style="735" customWidth="1"/>
    <col min="15875" max="15877" width="3.7109375" style="735" customWidth="1"/>
    <col min="15878" max="15878" width="6.85546875" style="735" customWidth="1"/>
    <col min="15879" max="15879" width="12.7109375" style="735" customWidth="1"/>
    <col min="15880" max="15880" width="14.5703125" style="735" customWidth="1"/>
    <col min="15881" max="15881" width="9.85546875" style="735" customWidth="1"/>
    <col min="15882" max="15882" width="10.42578125" style="735" customWidth="1"/>
    <col min="15883" max="15885" width="8.5703125" style="735" customWidth="1"/>
    <col min="15886" max="15886" width="8" style="735" customWidth="1"/>
    <col min="15887" max="15889" width="8.28515625" style="735" customWidth="1"/>
    <col min="15890" max="15890" width="27.7109375" style="735" customWidth="1"/>
    <col min="15891" max="15891" width="7.140625" style="735" customWidth="1"/>
    <col min="15892" max="15893" width="6.85546875" style="735" customWidth="1"/>
    <col min="15894" max="15894" width="22.7109375" style="735" customWidth="1"/>
    <col min="15895" max="15895" width="11.5703125" style="735" customWidth="1"/>
    <col min="15896" max="15896" width="7.5703125" style="735" customWidth="1"/>
    <col min="15897" max="15897" width="3.5703125" style="735" customWidth="1"/>
    <col min="15898" max="15898" width="3.7109375" style="735" customWidth="1"/>
    <col min="15899" max="15899" width="11" style="735" customWidth="1"/>
    <col min="15900" max="15900" width="14.5703125" style="735" customWidth="1"/>
    <col min="15901" max="15901" width="19.28515625" style="735" customWidth="1"/>
    <col min="15902" max="15902" width="18.42578125" style="735" customWidth="1"/>
    <col min="15903" max="16128" width="11.42578125" style="735"/>
    <col min="16129" max="16129" width="3.7109375" style="735" customWidth="1"/>
    <col min="16130" max="16130" width="23.42578125" style="735" customWidth="1"/>
    <col min="16131" max="16133" width="3.7109375" style="735" customWidth="1"/>
    <col min="16134" max="16134" width="6.85546875" style="735" customWidth="1"/>
    <col min="16135" max="16135" width="12.7109375" style="735" customWidth="1"/>
    <col min="16136" max="16136" width="14.5703125" style="735" customWidth="1"/>
    <col min="16137" max="16137" width="9.85546875" style="735" customWidth="1"/>
    <col min="16138" max="16138" width="10.42578125" style="735" customWidth="1"/>
    <col min="16139" max="16141" width="8.5703125" style="735" customWidth="1"/>
    <col min="16142" max="16142" width="8" style="735" customWidth="1"/>
    <col min="16143" max="16145" width="8.28515625" style="735" customWidth="1"/>
    <col min="16146" max="16146" width="27.7109375" style="735" customWidth="1"/>
    <col min="16147" max="16147" width="7.140625" style="735" customWidth="1"/>
    <col min="16148" max="16149" width="6.85546875" style="735" customWidth="1"/>
    <col min="16150" max="16150" width="22.7109375" style="735" customWidth="1"/>
    <col min="16151" max="16151" width="11.5703125" style="735" customWidth="1"/>
    <col min="16152" max="16152" width="7.5703125" style="735" customWidth="1"/>
    <col min="16153" max="16153" width="3.5703125" style="735" customWidth="1"/>
    <col min="16154" max="16154" width="3.7109375" style="735" customWidth="1"/>
    <col min="16155" max="16155" width="11" style="735" customWidth="1"/>
    <col min="16156" max="16156" width="14.5703125" style="735" customWidth="1"/>
    <col min="16157" max="16157" width="19.28515625" style="735" customWidth="1"/>
    <col min="16158" max="16158" width="18.42578125" style="735" customWidth="1"/>
    <col min="16159" max="16384" width="11.42578125" style="735"/>
  </cols>
  <sheetData>
    <row r="1" spans="1:31" ht="3.75" customHeight="1">
      <c r="A1" s="733"/>
      <c r="B1" s="734"/>
      <c r="C1" s="734"/>
      <c r="AA1" s="737"/>
    </row>
    <row r="2" spans="1:31" ht="6.75" customHeight="1"/>
    <row r="3" spans="1:31" ht="15" customHeight="1">
      <c r="E3" s="738"/>
      <c r="F3" s="739"/>
      <c r="G3" s="740"/>
      <c r="H3" s="741"/>
      <c r="I3" s="1888" t="s">
        <v>943</v>
      </c>
      <c r="J3" s="1889"/>
      <c r="K3" s="1889"/>
      <c r="L3" s="1889"/>
      <c r="M3" s="1889"/>
      <c r="N3" s="1889"/>
      <c r="O3" s="1889"/>
      <c r="P3" s="1889"/>
      <c r="Q3" s="1889"/>
      <c r="R3" s="1889"/>
      <c r="S3" s="1889"/>
      <c r="T3" s="1889"/>
      <c r="U3" s="1890"/>
      <c r="V3" s="742" t="s">
        <v>944</v>
      </c>
      <c r="W3" s="1897" t="s">
        <v>945</v>
      </c>
      <c r="X3" s="1898"/>
    </row>
    <row r="4" spans="1:31" ht="15" customHeight="1">
      <c r="E4" s="743"/>
      <c r="F4" s="744"/>
      <c r="G4" s="745"/>
      <c r="H4" s="746"/>
      <c r="I4" s="1891"/>
      <c r="J4" s="1892"/>
      <c r="K4" s="1892"/>
      <c r="L4" s="1892"/>
      <c r="M4" s="1892"/>
      <c r="N4" s="1892"/>
      <c r="O4" s="1892"/>
      <c r="P4" s="1892"/>
      <c r="Q4" s="1892"/>
      <c r="R4" s="1892"/>
      <c r="S4" s="1892"/>
      <c r="T4" s="1892"/>
      <c r="U4" s="1893"/>
      <c r="V4" s="742" t="s">
        <v>0</v>
      </c>
      <c r="W4" s="1899" t="s">
        <v>946</v>
      </c>
      <c r="X4" s="1900"/>
    </row>
    <row r="5" spans="1:31" ht="15" customHeight="1">
      <c r="E5" s="747"/>
      <c r="F5" s="748"/>
      <c r="G5" s="749"/>
      <c r="H5" s="750"/>
      <c r="I5" s="1894"/>
      <c r="J5" s="1895"/>
      <c r="K5" s="1895"/>
      <c r="L5" s="1895"/>
      <c r="M5" s="1895"/>
      <c r="N5" s="1895"/>
      <c r="O5" s="1895"/>
      <c r="P5" s="1895"/>
      <c r="Q5" s="1895"/>
      <c r="R5" s="1895"/>
      <c r="S5" s="1895"/>
      <c r="T5" s="1895"/>
      <c r="U5" s="1896"/>
      <c r="V5" s="751" t="s">
        <v>947</v>
      </c>
      <c r="W5" s="1901"/>
      <c r="X5" s="1902"/>
    </row>
    <row r="6" spans="1:31" ht="15" customHeight="1">
      <c r="I6" s="752"/>
      <c r="J6" s="752"/>
      <c r="K6" s="752"/>
      <c r="L6" s="752"/>
      <c r="M6" s="752"/>
      <c r="N6" s="752"/>
      <c r="O6" s="752"/>
      <c r="P6" s="752"/>
      <c r="Q6" s="752"/>
      <c r="R6" s="752"/>
      <c r="S6" s="752"/>
      <c r="T6" s="752"/>
      <c r="U6" s="752"/>
    </row>
    <row r="7" spans="1:31" ht="15" customHeight="1">
      <c r="E7" s="753">
        <v>10</v>
      </c>
      <c r="F7" s="754"/>
      <c r="G7" s="755" t="s">
        <v>948</v>
      </c>
      <c r="H7" s="756"/>
      <c r="I7" s="756"/>
      <c r="J7" s="757"/>
      <c r="K7" s="757"/>
      <c r="L7" s="757"/>
      <c r="M7" s="757"/>
      <c r="N7" s="757"/>
      <c r="O7" s="756"/>
      <c r="P7" s="756"/>
      <c r="Q7" s="756"/>
      <c r="R7" s="756"/>
      <c r="S7" s="756"/>
      <c r="T7" s="756"/>
      <c r="U7" s="756"/>
      <c r="V7" s="756"/>
      <c r="W7" s="756"/>
      <c r="X7" s="756"/>
      <c r="Y7" s="758"/>
      <c r="Z7" s="759"/>
      <c r="AC7" s="760"/>
      <c r="AD7" s="761"/>
    </row>
    <row r="8" spans="1:31" s="762" customFormat="1" ht="15" customHeight="1">
      <c r="E8" s="763"/>
      <c r="F8" s="764" t="s">
        <v>949</v>
      </c>
      <c r="H8" s="765"/>
      <c r="I8" s="765"/>
      <c r="J8" s="766"/>
      <c r="K8" s="766"/>
      <c r="L8" s="766"/>
      <c r="M8" s="766"/>
      <c r="N8" s="766"/>
      <c r="O8" s="765"/>
      <c r="P8" s="765"/>
      <c r="Q8" s="765"/>
      <c r="R8" s="764" t="s">
        <v>950</v>
      </c>
      <c r="S8" s="765"/>
      <c r="T8" s="765"/>
      <c r="U8" s="765"/>
      <c r="V8" s="765"/>
      <c r="W8" s="765"/>
      <c r="X8" s="765"/>
      <c r="Y8" s="767"/>
    </row>
    <row r="9" spans="1:31" ht="15" customHeight="1">
      <c r="E9" s="743"/>
      <c r="F9" s="1874" t="s">
        <v>951</v>
      </c>
      <c r="G9" s="1875"/>
      <c r="H9" s="1875"/>
      <c r="I9" s="1875"/>
      <c r="J9" s="1875"/>
      <c r="K9" s="1876"/>
      <c r="L9" s="1874" t="s">
        <v>952</v>
      </c>
      <c r="M9" s="1875"/>
      <c r="N9" s="1876"/>
      <c r="O9" s="1877" t="s">
        <v>953</v>
      </c>
      <c r="P9" s="1877"/>
      <c r="Q9" s="768"/>
      <c r="R9" s="1845" t="s">
        <v>954</v>
      </c>
      <c r="S9" s="1845"/>
      <c r="T9" s="1845"/>
      <c r="U9" s="1845"/>
      <c r="V9" s="1845"/>
      <c r="W9" s="1877" t="s">
        <v>955</v>
      </c>
      <c r="X9" s="1877"/>
      <c r="Y9" s="769"/>
    </row>
    <row r="10" spans="1:31" ht="21" customHeight="1">
      <c r="E10" s="743"/>
      <c r="F10" s="1860" t="s">
        <v>956</v>
      </c>
      <c r="G10" s="1860"/>
      <c r="H10" s="1884" t="s">
        <v>957</v>
      </c>
      <c r="I10" s="1886" t="s">
        <v>958</v>
      </c>
      <c r="J10" s="1886" t="s">
        <v>959</v>
      </c>
      <c r="K10" s="1886" t="s">
        <v>960</v>
      </c>
      <c r="L10" s="1861" t="s">
        <v>961</v>
      </c>
      <c r="M10" s="1863" t="s">
        <v>962</v>
      </c>
      <c r="N10" s="1846" t="s">
        <v>963</v>
      </c>
      <c r="O10" s="1848" t="s">
        <v>964</v>
      </c>
      <c r="P10" s="1848"/>
      <c r="Q10" s="1849"/>
      <c r="R10" s="1850" t="s">
        <v>965</v>
      </c>
      <c r="S10" s="1851" t="s">
        <v>966</v>
      </c>
      <c r="T10" s="1851"/>
      <c r="U10" s="1851"/>
      <c r="V10" s="1867" t="s">
        <v>967</v>
      </c>
      <c r="W10" s="1865" t="s">
        <v>77</v>
      </c>
      <c r="X10" s="1866" t="s">
        <v>968</v>
      </c>
      <c r="Y10" s="769"/>
    </row>
    <row r="11" spans="1:31" ht="21" customHeight="1">
      <c r="E11" s="743"/>
      <c r="F11" s="1860"/>
      <c r="G11" s="1860"/>
      <c r="H11" s="1885"/>
      <c r="I11" s="1860"/>
      <c r="J11" s="1860"/>
      <c r="K11" s="1860"/>
      <c r="L11" s="1862"/>
      <c r="M11" s="1864"/>
      <c r="N11" s="1847"/>
      <c r="O11" s="1848"/>
      <c r="P11" s="1848"/>
      <c r="Q11" s="1849"/>
      <c r="R11" s="1850"/>
      <c r="S11" s="1851"/>
      <c r="T11" s="1851"/>
      <c r="U11" s="1851"/>
      <c r="V11" s="1867"/>
      <c r="W11" s="1865"/>
      <c r="X11" s="1866"/>
      <c r="Y11" s="769"/>
      <c r="AB11" s="770" t="s">
        <v>969</v>
      </c>
      <c r="AC11" s="762"/>
      <c r="AD11" s="760"/>
      <c r="AE11" s="771"/>
    </row>
    <row r="12" spans="1:31" ht="21" customHeight="1">
      <c r="E12" s="743"/>
      <c r="F12" s="1880" t="s">
        <v>970</v>
      </c>
      <c r="G12" s="1880"/>
      <c r="H12" s="668" t="s">
        <v>971</v>
      </c>
      <c r="I12" s="670">
        <v>12</v>
      </c>
      <c r="J12" s="772"/>
      <c r="K12" s="773" t="s">
        <v>35</v>
      </c>
      <c r="L12" s="930"/>
      <c r="M12" s="930"/>
      <c r="N12" s="930" t="s">
        <v>972</v>
      </c>
      <c r="O12" s="1838"/>
      <c r="P12" s="1839"/>
      <c r="Q12" s="768"/>
      <c r="R12" s="775"/>
      <c r="S12" s="1844"/>
      <c r="T12" s="1844"/>
      <c r="U12" s="1844"/>
      <c r="V12" s="774" t="s">
        <v>972</v>
      </c>
      <c r="W12" s="773" t="s">
        <v>973</v>
      </c>
      <c r="X12" s="773">
        <v>9</v>
      </c>
      <c r="Y12" s="769"/>
      <c r="AB12" s="776" t="s">
        <v>77</v>
      </c>
      <c r="AC12" s="776" t="s">
        <v>960</v>
      </c>
      <c r="AD12" s="777" t="s">
        <v>48</v>
      </c>
      <c r="AE12" s="778" t="s">
        <v>974</v>
      </c>
    </row>
    <row r="13" spans="1:31" ht="21" customHeight="1">
      <c r="E13" s="743"/>
      <c r="F13" s="1880"/>
      <c r="G13" s="1880"/>
      <c r="H13" s="669" t="s">
        <v>975</v>
      </c>
      <c r="I13" s="670">
        <v>18</v>
      </c>
      <c r="J13" s="772"/>
      <c r="K13" s="773" t="s">
        <v>35</v>
      </c>
      <c r="L13" s="930"/>
      <c r="M13" s="930"/>
      <c r="N13" s="930" t="s">
        <v>972</v>
      </c>
      <c r="O13" s="1838"/>
      <c r="P13" s="1839"/>
      <c r="Q13" s="768"/>
      <c r="R13" s="775"/>
      <c r="S13" s="1844"/>
      <c r="T13" s="1844"/>
      <c r="U13" s="1844"/>
      <c r="V13" s="774" t="s">
        <v>972</v>
      </c>
      <c r="W13" s="773" t="s">
        <v>976</v>
      </c>
      <c r="X13" s="773">
        <v>9</v>
      </c>
      <c r="Y13" s="769"/>
      <c r="AB13" s="772" t="s">
        <v>977</v>
      </c>
      <c r="AC13" s="772" t="s">
        <v>35</v>
      </c>
      <c r="AD13" s="772"/>
      <c r="AE13" s="772"/>
    </row>
    <row r="14" spans="1:31" ht="21" customHeight="1">
      <c r="E14" s="743"/>
      <c r="F14" s="1880"/>
      <c r="G14" s="1880"/>
      <c r="H14" s="668" t="s">
        <v>978</v>
      </c>
      <c r="I14" s="670">
        <v>22</v>
      </c>
      <c r="J14" s="772"/>
      <c r="K14" s="773" t="s">
        <v>35</v>
      </c>
      <c r="L14" s="930"/>
      <c r="M14" s="930"/>
      <c r="N14" s="930" t="s">
        <v>972</v>
      </c>
      <c r="O14" s="1838"/>
      <c r="P14" s="1839"/>
      <c r="Q14" s="768"/>
      <c r="R14" s="775"/>
      <c r="S14" s="1881"/>
      <c r="T14" s="1882"/>
      <c r="U14" s="1883"/>
      <c r="V14" s="774" t="s">
        <v>972</v>
      </c>
      <c r="W14" s="773" t="s">
        <v>979</v>
      </c>
      <c r="X14" s="773">
        <v>9</v>
      </c>
      <c r="Y14" s="769"/>
      <c r="AB14" s="772" t="s">
        <v>980</v>
      </c>
      <c r="AC14" s="772" t="s">
        <v>35</v>
      </c>
      <c r="AD14" s="772"/>
      <c r="AE14" s="772"/>
    </row>
    <row r="15" spans="1:31" ht="21" customHeight="1">
      <c r="E15" s="743"/>
      <c r="F15" s="1880"/>
      <c r="G15" s="1880"/>
      <c r="H15" s="668" t="s">
        <v>981</v>
      </c>
      <c r="I15" s="670">
        <v>14</v>
      </c>
      <c r="J15" s="772"/>
      <c r="K15" s="773" t="s">
        <v>35</v>
      </c>
      <c r="L15" s="930"/>
      <c r="M15" s="930"/>
      <c r="N15" s="930" t="s">
        <v>972</v>
      </c>
      <c r="O15" s="1838"/>
      <c r="P15" s="1839"/>
      <c r="Q15" s="768"/>
      <c r="R15" s="775"/>
      <c r="S15" s="1844"/>
      <c r="T15" s="1844"/>
      <c r="U15" s="1844"/>
      <c r="V15" s="779" t="s">
        <v>972</v>
      </c>
      <c r="W15" s="773" t="s">
        <v>982</v>
      </c>
      <c r="X15" s="773">
        <v>9</v>
      </c>
      <c r="Y15" s="769"/>
      <c r="AB15" s="772" t="s">
        <v>42</v>
      </c>
      <c r="AC15" s="772" t="s">
        <v>35</v>
      </c>
      <c r="AD15" s="772"/>
      <c r="AE15" s="772"/>
    </row>
    <row r="16" spans="1:31" ht="21" customHeight="1">
      <c r="E16" s="743"/>
      <c r="F16" s="1880" t="s">
        <v>983</v>
      </c>
      <c r="G16" s="1880"/>
      <c r="H16" s="780" t="s">
        <v>980</v>
      </c>
      <c r="I16" s="670">
        <v>26</v>
      </c>
      <c r="J16" s="772"/>
      <c r="K16" s="773" t="s">
        <v>35</v>
      </c>
      <c r="L16" s="930"/>
      <c r="M16" s="930"/>
      <c r="N16" s="930" t="s">
        <v>972</v>
      </c>
      <c r="O16" s="1838"/>
      <c r="P16" s="1839"/>
      <c r="Q16" s="768"/>
      <c r="R16" s="781"/>
      <c r="S16" s="1844"/>
      <c r="T16" s="1844"/>
      <c r="U16" s="1844"/>
      <c r="V16" s="774" t="s">
        <v>972</v>
      </c>
      <c r="W16" s="773" t="s">
        <v>980</v>
      </c>
      <c r="X16" s="773">
        <v>9</v>
      </c>
      <c r="Y16" s="769"/>
    </row>
    <row r="17" spans="5:44" ht="21" customHeight="1">
      <c r="E17" s="743"/>
      <c r="F17" s="1880" t="s">
        <v>984</v>
      </c>
      <c r="G17" s="1880"/>
      <c r="H17" s="780" t="s">
        <v>985</v>
      </c>
      <c r="I17" s="670">
        <v>25</v>
      </c>
      <c r="J17" s="772"/>
      <c r="K17" s="773" t="s">
        <v>35</v>
      </c>
      <c r="L17" s="930"/>
      <c r="M17" s="930" t="s">
        <v>972</v>
      </c>
      <c r="N17" s="930"/>
      <c r="O17" s="1838"/>
      <c r="P17" s="1839"/>
      <c r="Q17" s="768"/>
      <c r="R17" s="781"/>
      <c r="S17" s="1845" t="s">
        <v>972</v>
      </c>
      <c r="T17" s="1845"/>
      <c r="U17" s="1845"/>
      <c r="V17" s="782"/>
      <c r="W17" s="773" t="s">
        <v>986</v>
      </c>
      <c r="X17" s="773">
        <v>9</v>
      </c>
      <c r="Y17" s="769"/>
      <c r="AB17" s="783" t="s">
        <v>987</v>
      </c>
    </row>
    <row r="18" spans="5:44" ht="21" customHeight="1">
      <c r="E18" s="743"/>
      <c r="F18" s="1880"/>
      <c r="G18" s="1880"/>
      <c r="H18" s="780" t="s">
        <v>980</v>
      </c>
      <c r="I18" s="670">
        <v>25</v>
      </c>
      <c r="J18" s="772"/>
      <c r="K18" s="773" t="s">
        <v>35</v>
      </c>
      <c r="L18" s="930"/>
      <c r="M18" s="930" t="s">
        <v>972</v>
      </c>
      <c r="N18" s="930"/>
      <c r="O18" s="1838"/>
      <c r="P18" s="1839"/>
      <c r="Q18" s="768"/>
      <c r="R18" s="781"/>
      <c r="S18" s="1845" t="s">
        <v>972</v>
      </c>
      <c r="T18" s="1845"/>
      <c r="U18" s="1845"/>
      <c r="V18" s="782"/>
      <c r="W18" s="773"/>
      <c r="X18" s="773"/>
      <c r="Y18" s="769"/>
    </row>
    <row r="19" spans="5:44" ht="21" customHeight="1">
      <c r="E19" s="743"/>
      <c r="F19" s="1880" t="s">
        <v>988</v>
      </c>
      <c r="G19" s="1880"/>
      <c r="H19" s="780" t="s">
        <v>17</v>
      </c>
      <c r="I19" s="670">
        <v>1</v>
      </c>
      <c r="J19" s="772"/>
      <c r="K19" s="773" t="s">
        <v>35</v>
      </c>
      <c r="L19" s="930"/>
      <c r="M19" s="930"/>
      <c r="N19" s="930" t="s">
        <v>972</v>
      </c>
      <c r="O19" s="1838"/>
      <c r="P19" s="1839"/>
      <c r="Q19" s="768"/>
      <c r="R19" s="775"/>
      <c r="S19" s="1844"/>
      <c r="T19" s="1844"/>
      <c r="U19" s="1844"/>
      <c r="V19" s="774" t="s">
        <v>972</v>
      </c>
      <c r="W19" s="773" t="str">
        <f>AB15</f>
        <v>Direccion</v>
      </c>
      <c r="X19" s="742">
        <v>9</v>
      </c>
      <c r="Y19" s="769"/>
    </row>
    <row r="20" spans="5:44" ht="21" customHeight="1">
      <c r="E20" s="785"/>
      <c r="F20" s="1870"/>
      <c r="G20" s="1870"/>
      <c r="H20" s="780" t="s">
        <v>89</v>
      </c>
      <c r="I20" s="3"/>
      <c r="J20" s="772"/>
      <c r="K20" s="773" t="s">
        <v>35</v>
      </c>
      <c r="L20" s="931"/>
      <c r="M20" s="931"/>
      <c r="N20" s="931"/>
      <c r="O20" s="1840" t="s">
        <v>20</v>
      </c>
      <c r="P20" s="1841"/>
      <c r="Q20" s="768"/>
      <c r="R20" s="775"/>
      <c r="S20" s="1837"/>
      <c r="T20" s="1837"/>
      <c r="U20" s="1837"/>
      <c r="V20" s="774" t="s">
        <v>972</v>
      </c>
      <c r="W20" s="773"/>
      <c r="X20" s="773"/>
      <c r="Y20" s="769"/>
      <c r="AC20" s="1869"/>
      <c r="AD20" s="1869"/>
      <c r="AE20" s="1879"/>
      <c r="AF20" s="1879"/>
      <c r="AG20" s="788"/>
      <c r="AH20" s="1869"/>
      <c r="AI20" s="1869"/>
      <c r="AJ20" s="1869"/>
      <c r="AK20" s="1869"/>
      <c r="AL20" s="1869"/>
      <c r="AM20" s="1869"/>
      <c r="AN20" s="1869"/>
      <c r="AO20" s="1869"/>
      <c r="AP20" s="1869"/>
      <c r="AQ20" s="1869"/>
      <c r="AR20" s="1869"/>
    </row>
    <row r="21" spans="5:44" ht="21" customHeight="1">
      <c r="E21" s="785"/>
      <c r="F21" s="1870"/>
      <c r="G21" s="1870"/>
      <c r="H21" s="780" t="s">
        <v>89</v>
      </c>
      <c r="I21" s="3"/>
      <c r="J21" s="772"/>
      <c r="K21" s="773" t="s">
        <v>35</v>
      </c>
      <c r="L21" s="931"/>
      <c r="M21" s="931"/>
      <c r="N21" s="931"/>
      <c r="O21" s="1871" t="s">
        <v>989</v>
      </c>
      <c r="P21" s="1872"/>
      <c r="Q21" s="768"/>
      <c r="R21" s="775"/>
      <c r="S21" s="1837"/>
      <c r="T21" s="1837"/>
      <c r="U21" s="1837"/>
      <c r="V21" s="774" t="s">
        <v>972</v>
      </c>
      <c r="W21" s="773"/>
      <c r="X21" s="773"/>
      <c r="Y21" s="769"/>
      <c r="AC21" s="1869"/>
      <c r="AD21" s="1869"/>
      <c r="AE21" s="789"/>
      <c r="AF21" s="789"/>
      <c r="AG21" s="789"/>
      <c r="AH21" s="788"/>
      <c r="AI21" s="788"/>
      <c r="AJ21" s="788"/>
      <c r="AK21" s="788"/>
      <c r="AL21" s="788"/>
      <c r="AM21" s="788"/>
      <c r="AN21" s="788"/>
      <c r="AO21" s="788"/>
      <c r="AP21" s="789"/>
      <c r="AQ21" s="789"/>
      <c r="AR21" s="788"/>
    </row>
    <row r="22" spans="5:44" ht="21" customHeight="1">
      <c r="E22" s="785"/>
      <c r="F22" s="1870"/>
      <c r="G22" s="1870"/>
      <c r="H22" s="780" t="s">
        <v>89</v>
      </c>
      <c r="I22" s="3"/>
      <c r="J22" s="772"/>
      <c r="K22" s="773"/>
      <c r="L22" s="931"/>
      <c r="M22" s="931"/>
      <c r="N22" s="931"/>
      <c r="O22" s="1836"/>
      <c r="P22" s="1836"/>
      <c r="Q22" s="768"/>
      <c r="R22" s="775"/>
      <c r="S22" s="1837"/>
      <c r="T22" s="1837"/>
      <c r="U22" s="1837"/>
      <c r="V22" s="774"/>
      <c r="W22" s="773"/>
      <c r="X22" s="773"/>
      <c r="Y22" s="769"/>
      <c r="AC22" s="789"/>
      <c r="AD22" s="789"/>
      <c r="AE22" s="789"/>
      <c r="AF22" s="789"/>
      <c r="AG22" s="789"/>
      <c r="AH22" s="788"/>
      <c r="AI22" s="788"/>
      <c r="AJ22" s="788"/>
      <c r="AK22" s="788"/>
      <c r="AL22" s="788"/>
      <c r="AM22" s="788"/>
      <c r="AN22" s="788"/>
      <c r="AO22" s="788"/>
      <c r="AP22" s="789"/>
      <c r="AQ22" s="789"/>
      <c r="AR22" s="788"/>
    </row>
    <row r="23" spans="5:44" ht="21" customHeight="1">
      <c r="E23" s="785"/>
      <c r="F23" s="1878" t="s">
        <v>990</v>
      </c>
      <c r="G23" s="1878"/>
      <c r="H23" s="780" t="s">
        <v>991</v>
      </c>
      <c r="I23" s="3"/>
      <c r="J23" s="772"/>
      <c r="K23" s="773"/>
      <c r="L23" s="931"/>
      <c r="M23" s="931"/>
      <c r="N23" s="931"/>
      <c r="O23" s="1838"/>
      <c r="P23" s="1839"/>
      <c r="Q23" s="768"/>
      <c r="R23" s="775"/>
      <c r="S23" s="1837"/>
      <c r="T23" s="1837"/>
      <c r="U23" s="1837"/>
      <c r="V23" s="774"/>
      <c r="W23" s="773"/>
      <c r="X23" s="773"/>
      <c r="Y23" s="769"/>
      <c r="AC23" s="789"/>
      <c r="AD23" s="789"/>
      <c r="AE23" s="789"/>
      <c r="AF23" s="789"/>
      <c r="AG23" s="789"/>
      <c r="AH23" s="788"/>
      <c r="AI23" s="788"/>
      <c r="AJ23" s="788"/>
      <c r="AK23" s="788"/>
      <c r="AL23" s="788"/>
      <c r="AM23" s="788"/>
      <c r="AN23" s="788"/>
      <c r="AO23" s="788"/>
      <c r="AP23" s="789"/>
      <c r="AQ23" s="789"/>
      <c r="AR23" s="788"/>
    </row>
    <row r="24" spans="5:44" ht="17.25" customHeight="1">
      <c r="E24" s="790"/>
      <c r="F24" s="791"/>
      <c r="G24" s="792" t="s">
        <v>992</v>
      </c>
      <c r="H24" s="793"/>
      <c r="I24" s="794"/>
      <c r="J24" s="795"/>
      <c r="K24" s="795"/>
      <c r="L24" s="795"/>
      <c r="M24" s="795"/>
      <c r="N24" s="795"/>
      <c r="O24" s="795"/>
      <c r="P24" s="795"/>
      <c r="Q24" s="795"/>
      <c r="R24" s="794"/>
      <c r="S24" s="794"/>
      <c r="T24" s="794"/>
      <c r="U24" s="794"/>
      <c r="V24" s="795"/>
      <c r="W24" s="795"/>
      <c r="X24" s="795"/>
      <c r="Y24" s="796"/>
      <c r="AC24" s="789"/>
      <c r="AD24" s="789"/>
      <c r="AE24" s="789"/>
      <c r="AF24" s="789"/>
      <c r="AG24" s="789"/>
      <c r="AH24" s="788"/>
      <c r="AI24" s="788"/>
      <c r="AJ24" s="788"/>
      <c r="AK24" s="788"/>
      <c r="AL24" s="788"/>
      <c r="AM24" s="788"/>
      <c r="AN24" s="788"/>
      <c r="AO24" s="788"/>
      <c r="AP24" s="789"/>
      <c r="AQ24" s="789"/>
      <c r="AR24" s="788"/>
    </row>
    <row r="25" spans="5:44" s="759" customFormat="1" ht="16.5" customHeight="1">
      <c r="E25" s="797"/>
      <c r="F25" s="764" t="s">
        <v>993</v>
      </c>
      <c r="G25" s="798"/>
      <c r="H25" s="799"/>
      <c r="I25" s="799"/>
      <c r="J25" s="799"/>
      <c r="K25" s="799"/>
      <c r="L25" s="799"/>
      <c r="M25" s="799"/>
      <c r="N25" s="800"/>
      <c r="O25" s="800"/>
      <c r="P25" s="800"/>
      <c r="Q25" s="800"/>
      <c r="R25" s="764" t="s">
        <v>994</v>
      </c>
      <c r="S25" s="800"/>
      <c r="T25" s="800"/>
      <c r="U25" s="800"/>
      <c r="V25" s="799"/>
      <c r="W25" s="799"/>
      <c r="X25" s="800"/>
      <c r="Y25" s="767"/>
      <c r="AB25" s="789"/>
      <c r="AJ25" s="788"/>
      <c r="AK25" s="788"/>
      <c r="AL25" s="789"/>
      <c r="AM25" s="788"/>
      <c r="AN25" s="762"/>
      <c r="AO25" s="762"/>
    </row>
    <row r="26" spans="5:44" s="759" customFormat="1" ht="14.25" customHeight="1">
      <c r="E26" s="801"/>
      <c r="F26" s="1873" t="s">
        <v>951</v>
      </c>
      <c r="G26" s="1873"/>
      <c r="H26" s="1873"/>
      <c r="I26" s="1873"/>
      <c r="J26" s="1873"/>
      <c r="K26" s="1873"/>
      <c r="L26" s="1874" t="s">
        <v>952</v>
      </c>
      <c r="M26" s="1875"/>
      <c r="N26" s="1876"/>
      <c r="O26" s="1877" t="s">
        <v>953</v>
      </c>
      <c r="P26" s="1877"/>
      <c r="Q26" s="768"/>
      <c r="R26" s="1845" t="s">
        <v>954</v>
      </c>
      <c r="S26" s="1845"/>
      <c r="T26" s="1845"/>
      <c r="U26" s="1845"/>
      <c r="V26" s="1845"/>
      <c r="W26" s="1877" t="s">
        <v>955</v>
      </c>
      <c r="X26" s="1877"/>
      <c r="Y26" s="802"/>
      <c r="AB26" s="789"/>
      <c r="AJ26" s="788"/>
      <c r="AK26" s="788"/>
      <c r="AL26" s="789"/>
      <c r="AM26" s="788"/>
      <c r="AN26" s="762"/>
      <c r="AO26" s="762"/>
    </row>
    <row r="27" spans="5:44" s="759" customFormat="1" ht="18.75" customHeight="1">
      <c r="E27" s="801"/>
      <c r="F27" s="1852" t="s">
        <v>995</v>
      </c>
      <c r="G27" s="1853"/>
      <c r="H27" s="1853"/>
      <c r="I27" s="1854"/>
      <c r="J27" s="1858" t="s">
        <v>996</v>
      </c>
      <c r="K27" s="1860" t="s">
        <v>960</v>
      </c>
      <c r="L27" s="1861" t="s">
        <v>961</v>
      </c>
      <c r="M27" s="1863" t="s">
        <v>962</v>
      </c>
      <c r="N27" s="1846" t="s">
        <v>963</v>
      </c>
      <c r="O27" s="1848" t="s">
        <v>997</v>
      </c>
      <c r="P27" s="1848"/>
      <c r="Q27" s="1849"/>
      <c r="R27" s="1850" t="s">
        <v>965</v>
      </c>
      <c r="S27" s="1851" t="s">
        <v>966</v>
      </c>
      <c r="T27" s="1851"/>
      <c r="U27" s="1851"/>
      <c r="V27" s="1867" t="s">
        <v>967</v>
      </c>
      <c r="W27" s="1865" t="s">
        <v>998</v>
      </c>
      <c r="X27" s="1866" t="s">
        <v>968</v>
      </c>
      <c r="Y27" s="802"/>
      <c r="AB27" s="770" t="s">
        <v>969</v>
      </c>
      <c r="AC27" s="762"/>
      <c r="AD27" s="760"/>
      <c r="AE27" s="771"/>
      <c r="AF27" s="789"/>
      <c r="AG27" s="789"/>
      <c r="AH27" s="789"/>
      <c r="AI27" s="788"/>
      <c r="AJ27" s="788"/>
      <c r="AK27" s="788"/>
      <c r="AL27" s="788"/>
      <c r="AM27" s="788"/>
      <c r="AN27" s="762"/>
      <c r="AO27" s="762"/>
    </row>
    <row r="28" spans="5:44" s="759" customFormat="1" ht="18.75" customHeight="1">
      <c r="E28" s="801"/>
      <c r="F28" s="1855"/>
      <c r="G28" s="1856"/>
      <c r="H28" s="1856"/>
      <c r="I28" s="1857"/>
      <c r="J28" s="1859"/>
      <c r="K28" s="1860"/>
      <c r="L28" s="1862"/>
      <c r="M28" s="1864"/>
      <c r="N28" s="1847"/>
      <c r="O28" s="1848"/>
      <c r="P28" s="1848"/>
      <c r="Q28" s="1849"/>
      <c r="R28" s="1850"/>
      <c r="S28" s="1851"/>
      <c r="T28" s="1851"/>
      <c r="U28" s="1851"/>
      <c r="V28" s="1867"/>
      <c r="W28" s="1865"/>
      <c r="X28" s="1866"/>
      <c r="Y28" s="802"/>
      <c r="AB28" s="776" t="s">
        <v>77</v>
      </c>
      <c r="AC28" s="776" t="s">
        <v>960</v>
      </c>
      <c r="AD28" s="777" t="s">
        <v>999</v>
      </c>
      <c r="AE28" s="778" t="s">
        <v>1000</v>
      </c>
      <c r="AF28" s="788"/>
      <c r="AG28" s="788"/>
      <c r="AH28" s="788"/>
      <c r="AI28" s="788"/>
      <c r="AJ28" s="788"/>
      <c r="AK28" s="789"/>
      <c r="AL28" s="789"/>
      <c r="AM28" s="788"/>
      <c r="AN28" s="762"/>
      <c r="AO28" s="762"/>
    </row>
    <row r="29" spans="5:44" s="759" customFormat="1" ht="25.5" customHeight="1">
      <c r="E29" s="801"/>
      <c r="F29" s="1835" t="s">
        <v>1001</v>
      </c>
      <c r="G29" s="1835"/>
      <c r="H29" s="1835"/>
      <c r="I29" s="1835"/>
      <c r="J29" s="803">
        <v>15</v>
      </c>
      <c r="K29" s="773" t="s">
        <v>35</v>
      </c>
      <c r="L29" s="774"/>
      <c r="M29" s="774" t="s">
        <v>972</v>
      </c>
      <c r="N29" s="774"/>
      <c r="O29" s="1868"/>
      <c r="P29" s="1868"/>
      <c r="Q29" s="804"/>
      <c r="R29" s="775"/>
      <c r="S29" s="1844" t="s">
        <v>972</v>
      </c>
      <c r="T29" s="1844"/>
      <c r="U29" s="1844"/>
      <c r="V29" s="774"/>
      <c r="W29" s="773"/>
      <c r="X29" s="773"/>
      <c r="Y29" s="802"/>
      <c r="AB29" s="772" t="s">
        <v>1002</v>
      </c>
      <c r="AC29" s="772" t="s">
        <v>74</v>
      </c>
      <c r="AD29" s="773">
        <v>1</v>
      </c>
      <c r="AE29" s="773" t="s">
        <v>1003</v>
      </c>
      <c r="AF29" s="805"/>
      <c r="AG29" s="805"/>
      <c r="AH29" s="805"/>
      <c r="AI29" s="806"/>
      <c r="AJ29" s="806"/>
      <c r="AK29" s="807"/>
      <c r="AL29" s="807"/>
      <c r="AM29" s="806"/>
      <c r="AN29" s="762"/>
      <c r="AO29" s="762"/>
    </row>
    <row r="30" spans="5:44" s="759" customFormat="1" ht="25.5" customHeight="1">
      <c r="E30" s="801"/>
      <c r="F30" s="1835" t="s">
        <v>1004</v>
      </c>
      <c r="G30" s="1835"/>
      <c r="H30" s="1835"/>
      <c r="I30" s="1835"/>
      <c r="J30" s="803">
        <v>32</v>
      </c>
      <c r="K30" s="773" t="s">
        <v>35</v>
      </c>
      <c r="L30" s="774"/>
      <c r="M30" s="774"/>
      <c r="N30" s="774" t="s">
        <v>972</v>
      </c>
      <c r="O30" s="1838"/>
      <c r="P30" s="1839"/>
      <c r="Q30" s="768"/>
      <c r="R30" s="775"/>
      <c r="S30" s="1844"/>
      <c r="T30" s="1844"/>
      <c r="U30" s="1844"/>
      <c r="V30" s="779" t="s">
        <v>972</v>
      </c>
      <c r="W30" s="773"/>
      <c r="X30" s="773"/>
      <c r="Y30" s="802"/>
      <c r="AB30" s="772" t="s">
        <v>1005</v>
      </c>
      <c r="AC30" s="772" t="s">
        <v>74</v>
      </c>
      <c r="AD30" s="773">
        <v>1</v>
      </c>
      <c r="AE30" s="773" t="s">
        <v>1006</v>
      </c>
      <c r="AF30" s="805"/>
      <c r="AG30" s="805"/>
      <c r="AH30" s="805"/>
      <c r="AI30" s="806"/>
      <c r="AJ30" s="806"/>
      <c r="AK30" s="807"/>
      <c r="AL30" s="807"/>
      <c r="AM30" s="806"/>
      <c r="AN30" s="762"/>
      <c r="AO30" s="762"/>
    </row>
    <row r="31" spans="5:44" s="759" customFormat="1" ht="25.5" customHeight="1">
      <c r="E31" s="801"/>
      <c r="F31" s="1835" t="s">
        <v>1007</v>
      </c>
      <c r="G31" s="1835"/>
      <c r="H31" s="1835"/>
      <c r="I31" s="1835"/>
      <c r="J31" s="803"/>
      <c r="K31" s="773" t="s">
        <v>35</v>
      </c>
      <c r="L31" s="774"/>
      <c r="M31" s="774"/>
      <c r="N31" s="774" t="s">
        <v>972</v>
      </c>
      <c r="O31" s="1838"/>
      <c r="P31" s="1839"/>
      <c r="Q31" s="768"/>
      <c r="R31" s="781"/>
      <c r="S31" s="1844"/>
      <c r="T31" s="1844"/>
      <c r="U31" s="1844"/>
      <c r="V31" s="774" t="s">
        <v>972</v>
      </c>
      <c r="W31" s="773"/>
      <c r="X31" s="773"/>
      <c r="Y31" s="802"/>
      <c r="AB31" s="772" t="s">
        <v>1008</v>
      </c>
      <c r="AC31" s="772" t="s">
        <v>37</v>
      </c>
      <c r="AD31" s="773">
        <v>20</v>
      </c>
      <c r="AE31" s="773" t="s">
        <v>1009</v>
      </c>
      <c r="AF31" s="805"/>
      <c r="AG31" s="805"/>
      <c r="AH31" s="805"/>
      <c r="AI31" s="806"/>
      <c r="AJ31" s="806"/>
      <c r="AK31" s="807"/>
      <c r="AL31" s="807"/>
      <c r="AM31" s="806"/>
      <c r="AN31" s="762"/>
      <c r="AO31" s="762"/>
    </row>
    <row r="32" spans="5:44" s="759" customFormat="1" ht="25.5" customHeight="1">
      <c r="E32" s="801"/>
      <c r="F32" s="1835" t="s">
        <v>1010</v>
      </c>
      <c r="G32" s="1835"/>
      <c r="H32" s="1835"/>
      <c r="I32" s="1835"/>
      <c r="J32" s="803"/>
      <c r="K32" s="773" t="s">
        <v>38</v>
      </c>
      <c r="L32" s="774"/>
      <c r="M32" s="774" t="s">
        <v>972</v>
      </c>
      <c r="N32" s="774"/>
      <c r="O32" s="1838"/>
      <c r="P32" s="1839"/>
      <c r="Q32" s="768"/>
      <c r="R32" s="781"/>
      <c r="S32" s="1845" t="s">
        <v>972</v>
      </c>
      <c r="T32" s="1845"/>
      <c r="U32" s="1845"/>
      <c r="V32" s="782"/>
      <c r="W32" s="773" t="s">
        <v>1002</v>
      </c>
      <c r="X32" s="773">
        <v>9</v>
      </c>
      <c r="Y32" s="802"/>
      <c r="AC32" s="808"/>
      <c r="AD32" s="805"/>
      <c r="AE32" s="805"/>
      <c r="AF32" s="805"/>
      <c r="AG32" s="805"/>
      <c r="AH32" s="805"/>
      <c r="AI32" s="806"/>
      <c r="AJ32" s="806"/>
      <c r="AK32" s="807"/>
      <c r="AL32" s="807"/>
      <c r="AM32" s="806"/>
      <c r="AN32" s="762"/>
      <c r="AO32" s="762"/>
    </row>
    <row r="33" spans="4:41" s="759" customFormat="1" ht="25.5" customHeight="1">
      <c r="E33" s="801"/>
      <c r="F33" s="1835" t="s">
        <v>1011</v>
      </c>
      <c r="G33" s="1835"/>
      <c r="H33" s="1835"/>
      <c r="I33" s="1835"/>
      <c r="J33" s="803"/>
      <c r="K33" s="773" t="s">
        <v>35</v>
      </c>
      <c r="L33" s="774"/>
      <c r="M33" s="774" t="s">
        <v>972</v>
      </c>
      <c r="N33" s="774"/>
      <c r="O33" s="1838"/>
      <c r="P33" s="1839"/>
      <c r="Q33" s="768"/>
      <c r="R33" s="781"/>
      <c r="S33" s="1845" t="s">
        <v>972</v>
      </c>
      <c r="T33" s="1845"/>
      <c r="U33" s="1845"/>
      <c r="V33" s="782"/>
      <c r="W33" s="773"/>
      <c r="X33" s="773"/>
      <c r="Y33" s="802"/>
      <c r="AB33" s="783" t="s">
        <v>987</v>
      </c>
      <c r="AC33" s="809"/>
      <c r="AD33" s="805"/>
      <c r="AE33" s="805"/>
      <c r="AF33" s="805"/>
      <c r="AG33" s="805"/>
      <c r="AH33" s="805"/>
      <c r="AI33" s="806"/>
      <c r="AJ33" s="806"/>
      <c r="AK33" s="807"/>
      <c r="AL33" s="807"/>
      <c r="AM33" s="806"/>
      <c r="AN33" s="762"/>
      <c r="AO33" s="762"/>
    </row>
    <row r="34" spans="4:41" s="759" customFormat="1" ht="25.5" customHeight="1">
      <c r="E34" s="801"/>
      <c r="F34" s="1835" t="s">
        <v>1012</v>
      </c>
      <c r="G34" s="1835"/>
      <c r="H34" s="1835"/>
      <c r="I34" s="1835"/>
      <c r="J34" s="803"/>
      <c r="K34" s="773" t="s">
        <v>38</v>
      </c>
      <c r="L34" s="774"/>
      <c r="M34" s="784"/>
      <c r="N34" s="774" t="s">
        <v>972</v>
      </c>
      <c r="O34" s="1838"/>
      <c r="P34" s="1839"/>
      <c r="Q34" s="768"/>
      <c r="R34" s="775"/>
      <c r="S34" s="1844"/>
      <c r="T34" s="1844"/>
      <c r="U34" s="1844"/>
      <c r="V34" s="774" t="s">
        <v>972</v>
      </c>
      <c r="W34" s="773" t="s">
        <v>1005</v>
      </c>
      <c r="X34" s="742">
        <v>9</v>
      </c>
      <c r="Y34" s="802"/>
      <c r="AC34" s="809"/>
      <c r="AD34" s="805"/>
      <c r="AE34" s="805"/>
      <c r="AF34" s="805"/>
      <c r="AG34" s="805"/>
      <c r="AH34" s="805"/>
      <c r="AI34" s="806"/>
      <c r="AJ34" s="806"/>
      <c r="AK34" s="807"/>
      <c r="AL34" s="807"/>
      <c r="AM34" s="806"/>
      <c r="AN34" s="762"/>
      <c r="AO34" s="762"/>
    </row>
    <row r="35" spans="4:41" s="759" customFormat="1" ht="25.5" customHeight="1">
      <c r="E35" s="801"/>
      <c r="F35" s="1835" t="s">
        <v>1013</v>
      </c>
      <c r="G35" s="1835"/>
      <c r="H35" s="1835"/>
      <c r="I35" s="1835"/>
      <c r="J35" s="803"/>
      <c r="K35" s="773" t="s">
        <v>38</v>
      </c>
      <c r="L35" s="786"/>
      <c r="M35" s="787"/>
      <c r="N35" s="787"/>
      <c r="O35" s="1840"/>
      <c r="P35" s="1841"/>
      <c r="Q35" s="768"/>
      <c r="R35" s="775"/>
      <c r="S35" s="1837"/>
      <c r="T35" s="1837"/>
      <c r="U35" s="1837"/>
      <c r="V35" s="774" t="s">
        <v>972</v>
      </c>
      <c r="W35" s="773"/>
      <c r="X35" s="773"/>
      <c r="Y35" s="802"/>
      <c r="AC35" s="809"/>
      <c r="AD35" s="805"/>
      <c r="AE35" s="805"/>
      <c r="AF35" s="805"/>
      <c r="AG35" s="805"/>
      <c r="AH35" s="805"/>
      <c r="AI35" s="806"/>
      <c r="AJ35" s="806"/>
      <c r="AK35" s="807"/>
      <c r="AL35" s="807"/>
      <c r="AM35" s="806"/>
      <c r="AN35" s="762"/>
      <c r="AO35" s="762"/>
    </row>
    <row r="36" spans="4:41" s="759" customFormat="1" ht="25.5" customHeight="1">
      <c r="E36" s="801"/>
      <c r="F36" s="1835" t="s">
        <v>920</v>
      </c>
      <c r="G36" s="1835"/>
      <c r="H36" s="1835"/>
      <c r="I36" s="1835"/>
      <c r="J36" s="803"/>
      <c r="K36" s="773" t="s">
        <v>35</v>
      </c>
      <c r="L36" s="786"/>
      <c r="M36" s="787"/>
      <c r="N36" s="787"/>
      <c r="O36" s="1842" t="s">
        <v>972</v>
      </c>
      <c r="P36" s="1843"/>
      <c r="Q36" s="768"/>
      <c r="R36" s="775"/>
      <c r="S36" s="1837"/>
      <c r="T36" s="1837"/>
      <c r="U36" s="1837"/>
      <c r="V36" s="774" t="s">
        <v>972</v>
      </c>
      <c r="W36" s="773"/>
      <c r="X36" s="773"/>
      <c r="Y36" s="802"/>
      <c r="AC36" s="809"/>
      <c r="AD36" s="805"/>
      <c r="AE36" s="805"/>
      <c r="AF36" s="805"/>
      <c r="AG36" s="805"/>
      <c r="AH36" s="805"/>
      <c r="AI36" s="806"/>
      <c r="AJ36" s="806"/>
      <c r="AK36" s="807"/>
      <c r="AL36" s="807"/>
      <c r="AM36" s="806"/>
      <c r="AN36" s="762"/>
      <c r="AO36" s="762"/>
    </row>
    <row r="37" spans="4:41" s="759" customFormat="1" ht="25.5" customHeight="1">
      <c r="E37" s="801"/>
      <c r="F37" s="1835" t="s">
        <v>1014</v>
      </c>
      <c r="G37" s="1835"/>
      <c r="H37" s="1835"/>
      <c r="I37" s="1835"/>
      <c r="J37" s="803">
        <v>44</v>
      </c>
      <c r="K37" s="773" t="s">
        <v>37</v>
      </c>
      <c r="L37" s="786"/>
      <c r="M37" s="787"/>
      <c r="N37" s="784" t="s">
        <v>972</v>
      </c>
      <c r="O37" s="1836"/>
      <c r="P37" s="1836"/>
      <c r="Q37" s="768"/>
      <c r="R37" s="775"/>
      <c r="S37" s="1837"/>
      <c r="T37" s="1837"/>
      <c r="U37" s="1837"/>
      <c r="V37" s="774" t="s">
        <v>972</v>
      </c>
      <c r="W37" s="773" t="s">
        <v>1008</v>
      </c>
      <c r="X37" s="773">
        <v>9</v>
      </c>
      <c r="Y37" s="802"/>
      <c r="AC37" s="809"/>
      <c r="AD37" s="805"/>
      <c r="AE37" s="805"/>
      <c r="AF37" s="805"/>
      <c r="AG37" s="805"/>
      <c r="AH37" s="805"/>
      <c r="AI37" s="806"/>
      <c r="AJ37" s="806"/>
      <c r="AK37" s="807"/>
      <c r="AL37" s="807"/>
      <c r="AM37" s="806"/>
      <c r="AN37" s="762"/>
      <c r="AO37" s="762"/>
    </row>
    <row r="38" spans="4:41" s="759" customFormat="1" ht="25.5" customHeight="1">
      <c r="E38" s="801"/>
      <c r="F38" s="1835" t="s">
        <v>991</v>
      </c>
      <c r="G38" s="1835"/>
      <c r="H38" s="1835"/>
      <c r="I38" s="1835"/>
      <c r="J38" s="803"/>
      <c r="K38" s="773"/>
      <c r="L38" s="786"/>
      <c r="M38" s="787"/>
      <c r="N38" s="787"/>
      <c r="O38" s="1838"/>
      <c r="P38" s="1839"/>
      <c r="Q38" s="768"/>
      <c r="R38" s="775"/>
      <c r="S38" s="1837"/>
      <c r="T38" s="1837"/>
      <c r="U38" s="1837"/>
      <c r="V38" s="774"/>
      <c r="W38" s="773"/>
      <c r="X38" s="773"/>
      <c r="Y38" s="802"/>
      <c r="AC38" s="809"/>
      <c r="AD38" s="805"/>
      <c r="AE38" s="805"/>
      <c r="AF38" s="805"/>
      <c r="AG38" s="805"/>
      <c r="AH38" s="805"/>
      <c r="AI38" s="806"/>
      <c r="AJ38" s="806"/>
      <c r="AK38" s="807"/>
      <c r="AL38" s="807"/>
      <c r="AM38" s="806"/>
      <c r="AN38" s="762"/>
      <c r="AO38" s="762"/>
    </row>
    <row r="39" spans="4:41" s="759" customFormat="1" ht="20.25" customHeight="1">
      <c r="E39" s="810"/>
      <c r="F39" s="811"/>
      <c r="G39" s="812"/>
      <c r="H39" s="812"/>
      <c r="I39" s="812"/>
      <c r="J39" s="812"/>
      <c r="K39" s="812"/>
      <c r="L39" s="812"/>
      <c r="M39" s="812"/>
      <c r="N39" s="813"/>
      <c r="O39" s="814"/>
      <c r="P39" s="814"/>
      <c r="Q39" s="814"/>
      <c r="R39" s="814"/>
      <c r="S39" s="814"/>
      <c r="T39" s="815"/>
      <c r="U39" s="815"/>
      <c r="V39" s="816"/>
      <c r="W39" s="816"/>
      <c r="X39" s="815"/>
      <c r="Y39" s="817"/>
      <c r="AK39" s="788"/>
      <c r="AL39" s="789"/>
      <c r="AM39" s="788"/>
      <c r="AN39" s="762"/>
      <c r="AO39" s="762"/>
    </row>
    <row r="40" spans="4:41" ht="18.75" customHeight="1">
      <c r="E40" s="753">
        <v>11</v>
      </c>
      <c r="F40" s="754"/>
      <c r="G40" s="755" t="s">
        <v>1015</v>
      </c>
      <c r="H40" s="756"/>
      <c r="I40" s="756"/>
      <c r="J40" s="757"/>
      <c r="K40" s="757"/>
      <c r="L40" s="757"/>
      <c r="M40" s="757"/>
      <c r="N40" s="757"/>
      <c r="O40" s="756"/>
      <c r="P40" s="756"/>
      <c r="Q40" s="756"/>
      <c r="R40" s="756"/>
      <c r="S40" s="756"/>
      <c r="T40" s="756"/>
      <c r="U40" s="756"/>
      <c r="V40" s="756"/>
      <c r="W40" s="756"/>
      <c r="X40" s="756"/>
      <c r="Y40" s="818"/>
      <c r="AB40" s="762"/>
      <c r="AL40" s="789"/>
      <c r="AM40" s="762"/>
      <c r="AN40" s="762"/>
      <c r="AO40" s="762"/>
    </row>
    <row r="41" spans="4:41" s="762" customFormat="1" ht="9" customHeight="1">
      <c r="E41" s="819"/>
      <c r="F41" s="819"/>
      <c r="G41" s="820"/>
      <c r="H41" s="760"/>
      <c r="I41" s="760"/>
      <c r="J41" s="771"/>
      <c r="K41" s="771"/>
      <c r="L41" s="771"/>
      <c r="M41" s="771"/>
      <c r="N41" s="771"/>
      <c r="O41" s="760"/>
      <c r="P41" s="760"/>
      <c r="Q41" s="760"/>
      <c r="R41" s="760"/>
      <c r="S41" s="760"/>
      <c r="T41" s="760"/>
      <c r="U41" s="760"/>
      <c r="V41" s="760"/>
      <c r="W41" s="760"/>
      <c r="X41" s="760"/>
      <c r="AL41" s="789"/>
    </row>
    <row r="42" spans="4:41" ht="20.100000000000001" customHeight="1">
      <c r="F42" s="821" t="s">
        <v>1016</v>
      </c>
      <c r="G42" s="1825" t="s">
        <v>1017</v>
      </c>
      <c r="H42" s="1826"/>
      <c r="I42" s="1827"/>
      <c r="K42" s="822" t="s">
        <v>1016</v>
      </c>
      <c r="L42" s="1828" t="s">
        <v>1018</v>
      </c>
      <c r="M42" s="1829"/>
      <c r="N42" s="1829"/>
      <c r="O42" s="1830"/>
      <c r="P42" s="823"/>
      <c r="Q42" s="824" t="s">
        <v>1016</v>
      </c>
      <c r="R42" s="1831" t="s">
        <v>1019</v>
      </c>
      <c r="S42" s="1832"/>
      <c r="U42" s="825" t="s">
        <v>1016</v>
      </c>
      <c r="V42" s="1833" t="s">
        <v>1020</v>
      </c>
      <c r="W42" s="1833"/>
      <c r="X42" s="1834"/>
      <c r="AK42" s="789"/>
      <c r="AL42" s="789"/>
      <c r="AM42" s="762"/>
      <c r="AN42" s="762"/>
      <c r="AO42" s="762"/>
    </row>
    <row r="43" spans="4:41" ht="21.75" customHeight="1">
      <c r="D43" s="735">
        <v>1</v>
      </c>
      <c r="E43" s="826"/>
      <c r="F43" s="827" t="s">
        <v>1021</v>
      </c>
      <c r="G43" s="1819" t="s">
        <v>1022</v>
      </c>
      <c r="H43" s="1820"/>
      <c r="I43" s="828"/>
      <c r="K43" s="773" t="s">
        <v>1023</v>
      </c>
      <c r="L43" s="1816" t="s">
        <v>1024</v>
      </c>
      <c r="M43" s="1817"/>
      <c r="N43" s="1818"/>
      <c r="O43" s="828"/>
      <c r="P43" s="829"/>
      <c r="Q43" s="773" t="s">
        <v>1025</v>
      </c>
      <c r="R43" s="830" t="s">
        <v>1026</v>
      </c>
      <c r="S43" s="828"/>
      <c r="T43" s="744"/>
      <c r="U43" s="831" t="s">
        <v>1027</v>
      </c>
      <c r="V43" s="1813" t="s">
        <v>1028</v>
      </c>
      <c r="W43" s="1815"/>
      <c r="X43" s="828"/>
      <c r="Y43" s="768"/>
      <c r="AB43" s="762"/>
      <c r="AF43" s="762"/>
      <c r="AG43" s="762"/>
      <c r="AH43" s="762"/>
      <c r="AI43" s="762"/>
      <c r="AJ43" s="762"/>
      <c r="AK43" s="789"/>
      <c r="AL43" s="789"/>
      <c r="AM43" s="762"/>
      <c r="AN43" s="762"/>
      <c r="AO43" s="762"/>
    </row>
    <row r="44" spans="4:41" ht="21.75" customHeight="1">
      <c r="D44" s="735">
        <v>2</v>
      </c>
      <c r="F44" s="773" t="s">
        <v>1029</v>
      </c>
      <c r="G44" s="1813" t="s">
        <v>1030</v>
      </c>
      <c r="H44" s="1815"/>
      <c r="I44" s="828"/>
      <c r="K44" s="773" t="s">
        <v>1031</v>
      </c>
      <c r="L44" s="1816" t="s">
        <v>1032</v>
      </c>
      <c r="M44" s="1817"/>
      <c r="N44" s="1818"/>
      <c r="O44" s="828"/>
      <c r="P44" s="829"/>
      <c r="Q44" s="773" t="s">
        <v>1033</v>
      </c>
      <c r="R44" s="830" t="s">
        <v>1034</v>
      </c>
      <c r="S44" s="828"/>
      <c r="T44" s="744"/>
      <c r="U44" s="831" t="s">
        <v>1035</v>
      </c>
      <c r="V44" s="1823" t="s">
        <v>1036</v>
      </c>
      <c r="W44" s="1824"/>
      <c r="X44" s="828"/>
      <c r="Y44" s="768"/>
      <c r="AB44" s="762"/>
      <c r="AF44" s="762"/>
      <c r="AG44" s="762"/>
      <c r="AH44" s="762"/>
      <c r="AI44" s="762"/>
      <c r="AJ44" s="762"/>
      <c r="AK44" s="789"/>
      <c r="AL44" s="789"/>
      <c r="AM44" s="762"/>
      <c r="AN44" s="762"/>
      <c r="AO44" s="762"/>
    </row>
    <row r="45" spans="4:41" ht="21.75" customHeight="1">
      <c r="D45" s="735">
        <v>3</v>
      </c>
      <c r="F45" s="742" t="s">
        <v>1037</v>
      </c>
      <c r="G45" s="1816" t="s">
        <v>1038</v>
      </c>
      <c r="H45" s="1818"/>
      <c r="I45" s="828" t="s">
        <v>972</v>
      </c>
      <c r="K45" s="773" t="s">
        <v>1039</v>
      </c>
      <c r="L45" s="1816" t="s">
        <v>1040</v>
      </c>
      <c r="M45" s="1817"/>
      <c r="N45" s="1818"/>
      <c r="O45" s="828"/>
      <c r="P45" s="829"/>
      <c r="Q45" s="773" t="s">
        <v>1041</v>
      </c>
      <c r="R45" s="830" t="s">
        <v>1042</v>
      </c>
      <c r="S45" s="828"/>
      <c r="T45" s="744"/>
      <c r="U45" s="831" t="s">
        <v>1043</v>
      </c>
      <c r="V45" s="1821" t="s">
        <v>1044</v>
      </c>
      <c r="W45" s="1821"/>
      <c r="X45" s="828"/>
      <c r="Y45" s="768"/>
      <c r="AB45" s="789"/>
      <c r="AF45" s="762"/>
      <c r="AG45" s="762"/>
      <c r="AH45" s="762"/>
      <c r="AI45" s="762"/>
      <c r="AJ45" s="762"/>
      <c r="AK45" s="789"/>
      <c r="AL45" s="789"/>
      <c r="AM45" s="762"/>
      <c r="AN45" s="762"/>
      <c r="AO45" s="762"/>
    </row>
    <row r="46" spans="4:41" ht="21.75" customHeight="1">
      <c r="D46" s="735">
        <v>4</v>
      </c>
      <c r="F46" s="773" t="s">
        <v>1045</v>
      </c>
      <c r="G46" s="1813" t="s">
        <v>1046</v>
      </c>
      <c r="H46" s="1815"/>
      <c r="I46" s="828"/>
      <c r="K46" s="827" t="s">
        <v>1047</v>
      </c>
      <c r="L46" s="1819" t="s">
        <v>1048</v>
      </c>
      <c r="M46" s="1822"/>
      <c r="N46" s="1820"/>
      <c r="O46" s="828" t="s">
        <v>972</v>
      </c>
      <c r="P46" s="829"/>
      <c r="Q46" s="773" t="s">
        <v>1049</v>
      </c>
      <c r="R46" s="830" t="s">
        <v>1050</v>
      </c>
      <c r="S46" s="828"/>
      <c r="T46" s="744"/>
      <c r="U46" s="831" t="s">
        <v>1051</v>
      </c>
      <c r="V46" s="1821" t="s">
        <v>1052</v>
      </c>
      <c r="W46" s="1821"/>
      <c r="X46" s="828"/>
      <c r="Y46" s="768"/>
      <c r="AB46" s="789"/>
      <c r="AF46" s="762"/>
      <c r="AG46" s="762"/>
      <c r="AH46" s="762"/>
      <c r="AI46" s="762"/>
      <c r="AJ46" s="762"/>
      <c r="AK46" s="789"/>
      <c r="AL46" s="789"/>
      <c r="AM46" s="762"/>
      <c r="AN46" s="762"/>
      <c r="AO46" s="762"/>
    </row>
    <row r="47" spans="4:41" ht="21.75" customHeight="1">
      <c r="D47" s="735">
        <v>5</v>
      </c>
      <c r="F47" s="773" t="s">
        <v>1053</v>
      </c>
      <c r="G47" s="1813" t="s">
        <v>1046</v>
      </c>
      <c r="H47" s="1815"/>
      <c r="I47" s="828"/>
      <c r="K47" s="773" t="s">
        <v>1054</v>
      </c>
      <c r="L47" s="1816" t="s">
        <v>1055</v>
      </c>
      <c r="M47" s="1817"/>
      <c r="N47" s="1818"/>
      <c r="O47" s="828"/>
      <c r="P47" s="829"/>
      <c r="Q47" s="773" t="s">
        <v>1056</v>
      </c>
      <c r="R47" s="830" t="s">
        <v>1057</v>
      </c>
      <c r="S47" s="828"/>
      <c r="T47" s="744"/>
      <c r="U47" s="831" t="s">
        <v>1058</v>
      </c>
      <c r="V47" s="1821" t="s">
        <v>1059</v>
      </c>
      <c r="W47" s="1821"/>
      <c r="X47" s="828"/>
      <c r="Y47" s="768"/>
      <c r="AB47" s="762"/>
      <c r="AF47" s="762"/>
      <c r="AG47" s="762"/>
      <c r="AH47" s="762"/>
      <c r="AI47" s="762"/>
      <c r="AJ47" s="762"/>
      <c r="AK47" s="789"/>
      <c r="AL47" s="789"/>
      <c r="AM47" s="762"/>
      <c r="AN47" s="762"/>
      <c r="AO47" s="762"/>
    </row>
    <row r="48" spans="4:41" ht="21.75" customHeight="1">
      <c r="D48" s="735">
        <v>6</v>
      </c>
      <c r="F48" s="773" t="s">
        <v>1060</v>
      </c>
      <c r="G48" s="1813" t="s">
        <v>1061</v>
      </c>
      <c r="H48" s="1815"/>
      <c r="I48" s="828"/>
      <c r="K48" s="773" t="s">
        <v>1062</v>
      </c>
      <c r="L48" s="1816" t="s">
        <v>1063</v>
      </c>
      <c r="M48" s="1817"/>
      <c r="N48" s="1818"/>
      <c r="O48" s="828"/>
      <c r="P48" s="829"/>
      <c r="Q48" s="773" t="s">
        <v>1064</v>
      </c>
      <c r="R48" s="830" t="s">
        <v>1065</v>
      </c>
      <c r="S48" s="828"/>
      <c r="T48" s="744"/>
      <c r="U48" s="831" t="s">
        <v>1066</v>
      </c>
      <c r="V48" s="1821" t="s">
        <v>1067</v>
      </c>
      <c r="W48" s="1821"/>
      <c r="X48" s="828"/>
      <c r="Y48" s="768"/>
      <c r="AB48" s="762"/>
      <c r="AF48" s="762"/>
      <c r="AG48" s="762"/>
      <c r="AH48" s="762"/>
      <c r="AI48" s="762"/>
      <c r="AJ48" s="762"/>
      <c r="AK48" s="762"/>
      <c r="AL48" s="789"/>
      <c r="AM48" s="789"/>
      <c r="AN48" s="762"/>
      <c r="AO48" s="762"/>
    </row>
    <row r="49" spans="4:41" ht="21.75" customHeight="1">
      <c r="D49" s="735">
        <v>7</v>
      </c>
      <c r="F49" s="773" t="s">
        <v>1068</v>
      </c>
      <c r="G49" s="1813" t="s">
        <v>1069</v>
      </c>
      <c r="H49" s="1815"/>
      <c r="I49" s="828"/>
      <c r="K49" s="773" t="s">
        <v>1070</v>
      </c>
      <c r="L49" s="1816" t="s">
        <v>1071</v>
      </c>
      <c r="M49" s="1817"/>
      <c r="N49" s="1818"/>
      <c r="O49" s="828"/>
      <c r="P49" s="829"/>
      <c r="Q49" s="773" t="s">
        <v>1072</v>
      </c>
      <c r="R49" s="830" t="s">
        <v>1073</v>
      </c>
      <c r="S49" s="828"/>
      <c r="T49" s="744"/>
      <c r="U49" s="831" t="s">
        <v>1074</v>
      </c>
      <c r="V49" s="1821" t="s">
        <v>1075</v>
      </c>
      <c r="W49" s="1821"/>
      <c r="X49" s="828"/>
      <c r="Y49" s="768"/>
      <c r="AB49" s="762"/>
      <c r="AF49" s="762"/>
      <c r="AG49" s="762"/>
      <c r="AH49" s="762"/>
      <c r="AI49" s="762"/>
      <c r="AJ49" s="762"/>
      <c r="AK49" s="762"/>
      <c r="AL49" s="762"/>
      <c r="AM49" s="762"/>
      <c r="AN49" s="762"/>
      <c r="AO49" s="762"/>
    </row>
    <row r="50" spans="4:41" ht="21.75" customHeight="1">
      <c r="D50" s="735">
        <v>8</v>
      </c>
      <c r="F50" s="773" t="s">
        <v>1076</v>
      </c>
      <c r="G50" s="1813" t="s">
        <v>1077</v>
      </c>
      <c r="H50" s="1815"/>
      <c r="I50" s="828"/>
      <c r="K50" s="773" t="s">
        <v>1078</v>
      </c>
      <c r="L50" s="1816" t="s">
        <v>1079</v>
      </c>
      <c r="M50" s="1817"/>
      <c r="N50" s="1818"/>
      <c r="O50" s="828"/>
      <c r="P50" s="829"/>
      <c r="Q50" s="773" t="s">
        <v>1080</v>
      </c>
      <c r="R50" s="830" t="s">
        <v>1081</v>
      </c>
      <c r="S50" s="828"/>
      <c r="T50" s="744"/>
      <c r="U50" s="831" t="s">
        <v>1082</v>
      </c>
      <c r="V50" s="1821" t="s">
        <v>1083</v>
      </c>
      <c r="W50" s="1821"/>
      <c r="X50" s="828"/>
      <c r="Y50" s="768"/>
      <c r="AB50" s="762"/>
      <c r="AL50" s="762"/>
      <c r="AM50" s="762"/>
      <c r="AN50" s="762"/>
      <c r="AO50" s="762"/>
    </row>
    <row r="51" spans="4:41" ht="21.75" customHeight="1">
      <c r="D51" s="735">
        <v>9</v>
      </c>
      <c r="F51" s="773" t="s">
        <v>1084</v>
      </c>
      <c r="G51" s="1813" t="s">
        <v>1085</v>
      </c>
      <c r="H51" s="1815"/>
      <c r="I51" s="828"/>
      <c r="K51" s="773" t="s">
        <v>1086</v>
      </c>
      <c r="L51" s="1816" t="s">
        <v>1087</v>
      </c>
      <c r="M51" s="1817"/>
      <c r="N51" s="1818"/>
      <c r="O51" s="828"/>
      <c r="P51" s="829"/>
      <c r="Q51" s="773" t="s">
        <v>1088</v>
      </c>
      <c r="R51" s="830" t="s">
        <v>1089</v>
      </c>
      <c r="S51" s="828"/>
      <c r="T51" s="744"/>
      <c r="U51" s="831" t="s">
        <v>1090</v>
      </c>
      <c r="V51" s="1821" t="s">
        <v>1091</v>
      </c>
      <c r="W51" s="1821"/>
      <c r="X51" s="828"/>
      <c r="Y51" s="768"/>
      <c r="AB51" s="762"/>
      <c r="AL51" s="789"/>
      <c r="AM51" s="789"/>
      <c r="AN51" s="762"/>
      <c r="AO51" s="762"/>
    </row>
    <row r="52" spans="4:41" ht="21.75" customHeight="1">
      <c r="D52" s="735">
        <v>10</v>
      </c>
      <c r="F52" s="827" t="s">
        <v>1092</v>
      </c>
      <c r="G52" s="1819" t="s">
        <v>1093</v>
      </c>
      <c r="H52" s="1820"/>
      <c r="I52" s="828" t="s">
        <v>972</v>
      </c>
      <c r="K52" s="773" t="s">
        <v>1094</v>
      </c>
      <c r="L52" s="1816" t="s">
        <v>1095</v>
      </c>
      <c r="M52" s="1817"/>
      <c r="N52" s="1818"/>
      <c r="O52" s="828"/>
      <c r="P52" s="829"/>
      <c r="Q52" s="773" t="s">
        <v>1096</v>
      </c>
      <c r="R52" s="830" t="s">
        <v>1097</v>
      </c>
      <c r="S52" s="828"/>
      <c r="T52" s="744"/>
      <c r="U52" s="831" t="s">
        <v>1098</v>
      </c>
      <c r="V52" s="1821" t="s">
        <v>1099</v>
      </c>
      <c r="W52" s="1821"/>
      <c r="X52" s="828"/>
      <c r="Y52" s="768"/>
      <c r="AB52" s="762"/>
      <c r="AL52" s="789"/>
      <c r="AM52" s="762"/>
      <c r="AN52" s="762"/>
      <c r="AO52" s="762"/>
    </row>
    <row r="53" spans="4:41" ht="21.75" customHeight="1">
      <c r="D53" s="735">
        <v>11</v>
      </c>
      <c r="F53" s="773" t="s">
        <v>1100</v>
      </c>
      <c r="G53" s="1813" t="s">
        <v>1101</v>
      </c>
      <c r="H53" s="1815"/>
      <c r="I53" s="828"/>
      <c r="K53" s="773" t="s">
        <v>1102</v>
      </c>
      <c r="L53" s="1816" t="s">
        <v>1103</v>
      </c>
      <c r="M53" s="1817"/>
      <c r="N53" s="1818"/>
      <c r="O53" s="828"/>
      <c r="P53" s="829"/>
      <c r="Q53" s="773" t="s">
        <v>1104</v>
      </c>
      <c r="R53" s="832"/>
      <c r="S53" s="828"/>
      <c r="T53" s="744"/>
      <c r="U53" s="831" t="s">
        <v>1105</v>
      </c>
      <c r="V53" s="833"/>
      <c r="W53" s="834"/>
      <c r="X53" s="828"/>
      <c r="Y53" s="768"/>
      <c r="AB53" s="762"/>
      <c r="AL53" s="789"/>
      <c r="AM53" s="762"/>
      <c r="AN53" s="762"/>
      <c r="AO53" s="762"/>
    </row>
    <row r="54" spans="4:41" ht="21.75" customHeight="1">
      <c r="D54" s="735">
        <v>12</v>
      </c>
      <c r="F54" s="773" t="s">
        <v>1106</v>
      </c>
      <c r="G54" s="1813" t="s">
        <v>1107</v>
      </c>
      <c r="H54" s="1815"/>
      <c r="I54" s="828"/>
      <c r="K54" s="773" t="s">
        <v>1108</v>
      </c>
      <c r="L54" s="1816" t="s">
        <v>1109</v>
      </c>
      <c r="M54" s="1817"/>
      <c r="N54" s="1818"/>
      <c r="O54" s="828"/>
      <c r="P54" s="829"/>
      <c r="Q54" s="773" t="s">
        <v>1110</v>
      </c>
      <c r="R54" s="832"/>
      <c r="S54" s="828"/>
      <c r="T54" s="744"/>
      <c r="U54" s="831" t="s">
        <v>1111</v>
      </c>
      <c r="V54" s="833"/>
      <c r="W54" s="834"/>
      <c r="X54" s="828"/>
      <c r="Y54" s="768"/>
      <c r="AB54" s="762"/>
      <c r="AF54" s="762"/>
      <c r="AG54" s="762"/>
      <c r="AH54" s="762"/>
      <c r="AI54" s="762"/>
      <c r="AJ54" s="762"/>
      <c r="AK54" s="762"/>
      <c r="AL54" s="789"/>
      <c r="AM54" s="789"/>
      <c r="AN54" s="762"/>
      <c r="AO54" s="762"/>
    </row>
    <row r="55" spans="4:41" ht="21.75" customHeight="1">
      <c r="D55" s="735">
        <v>13</v>
      </c>
      <c r="F55" s="773" t="s">
        <v>1112</v>
      </c>
      <c r="G55" s="1813" t="s">
        <v>1113</v>
      </c>
      <c r="H55" s="1815"/>
      <c r="I55" s="828"/>
      <c r="K55" s="773" t="s">
        <v>1114</v>
      </c>
      <c r="L55" s="1816" t="s">
        <v>1115</v>
      </c>
      <c r="M55" s="1817"/>
      <c r="N55" s="1818"/>
      <c r="O55" s="828"/>
      <c r="P55" s="829"/>
      <c r="Q55" s="773" t="s">
        <v>1116</v>
      </c>
      <c r="R55" s="832"/>
      <c r="S55" s="828"/>
      <c r="T55" s="744"/>
      <c r="U55" s="831" t="s">
        <v>1117</v>
      </c>
      <c r="V55" s="835"/>
      <c r="W55" s="836"/>
      <c r="X55" s="828"/>
      <c r="Y55" s="768"/>
      <c r="AB55" s="783" t="s">
        <v>1118</v>
      </c>
      <c r="AF55" s="762"/>
      <c r="AG55" s="762"/>
      <c r="AH55" s="762"/>
      <c r="AI55" s="762"/>
      <c r="AJ55" s="762"/>
      <c r="AK55" s="762"/>
      <c r="AL55" s="762"/>
      <c r="AM55" s="762"/>
      <c r="AN55" s="762"/>
      <c r="AO55" s="762"/>
    </row>
    <row r="56" spans="4:41" ht="21.75" customHeight="1">
      <c r="D56" s="735">
        <v>14</v>
      </c>
      <c r="F56" s="773" t="s">
        <v>1119</v>
      </c>
      <c r="G56" s="1813" t="s">
        <v>1120</v>
      </c>
      <c r="H56" s="1815"/>
      <c r="I56" s="828"/>
      <c r="K56" s="773" t="s">
        <v>1121</v>
      </c>
      <c r="L56" s="1816" t="s">
        <v>1122</v>
      </c>
      <c r="M56" s="1817"/>
      <c r="N56" s="1818"/>
      <c r="O56" s="828"/>
      <c r="P56" s="829"/>
      <c r="Q56" s="773" t="s">
        <v>1123</v>
      </c>
      <c r="R56" s="832"/>
      <c r="S56" s="828"/>
      <c r="T56" s="744"/>
      <c r="U56" s="831" t="s">
        <v>1124</v>
      </c>
      <c r="V56" s="835"/>
      <c r="W56" s="836"/>
      <c r="X56" s="828"/>
      <c r="Y56" s="768"/>
      <c r="AB56" s="762"/>
      <c r="AL56" s="762"/>
      <c r="AM56" s="762"/>
      <c r="AN56" s="762"/>
      <c r="AO56" s="762"/>
    </row>
    <row r="57" spans="4:41" ht="21.75" customHeight="1">
      <c r="D57" s="735">
        <v>15</v>
      </c>
      <c r="F57" s="773" t="s">
        <v>1125</v>
      </c>
      <c r="G57" s="1813" t="s">
        <v>1126</v>
      </c>
      <c r="H57" s="1815"/>
      <c r="I57" s="828"/>
      <c r="K57" s="773" t="s">
        <v>1127</v>
      </c>
      <c r="L57" s="1816" t="s">
        <v>1128</v>
      </c>
      <c r="M57" s="1817"/>
      <c r="N57" s="1818"/>
      <c r="O57" s="828"/>
      <c r="P57" s="829"/>
      <c r="Q57" s="773" t="s">
        <v>1129</v>
      </c>
      <c r="R57" s="832"/>
      <c r="S57" s="828"/>
      <c r="T57" s="744"/>
      <c r="U57" s="831" t="s">
        <v>1130</v>
      </c>
      <c r="V57" s="835"/>
      <c r="W57" s="836"/>
      <c r="X57" s="828"/>
      <c r="Y57" s="768"/>
      <c r="AB57" s="762"/>
      <c r="AL57" s="789"/>
      <c r="AM57" s="789"/>
      <c r="AN57" s="762"/>
      <c r="AO57" s="762"/>
    </row>
    <row r="58" spans="4:41" ht="21.75" customHeight="1">
      <c r="D58" s="735">
        <v>16</v>
      </c>
      <c r="F58" s="773" t="s">
        <v>1131</v>
      </c>
      <c r="G58" s="1808"/>
      <c r="H58" s="1809"/>
      <c r="I58" s="828"/>
      <c r="K58" s="773" t="s">
        <v>1132</v>
      </c>
      <c r="L58" s="1816" t="s">
        <v>1133</v>
      </c>
      <c r="M58" s="1817"/>
      <c r="N58" s="1818"/>
      <c r="O58" s="828"/>
      <c r="P58" s="829"/>
      <c r="Q58" s="773" t="s">
        <v>1134</v>
      </c>
      <c r="R58" s="832"/>
      <c r="S58" s="828"/>
      <c r="T58" s="744"/>
      <c r="U58" s="831" t="s">
        <v>1135</v>
      </c>
      <c r="V58" s="835"/>
      <c r="W58" s="836"/>
      <c r="X58" s="828"/>
      <c r="Y58" s="768"/>
      <c r="AB58" s="762"/>
      <c r="AL58" s="789"/>
      <c r="AM58" s="762"/>
      <c r="AN58" s="762"/>
      <c r="AO58" s="762"/>
    </row>
    <row r="59" spans="4:41" ht="21.75" customHeight="1">
      <c r="D59" s="735">
        <v>17</v>
      </c>
      <c r="F59" s="773" t="s">
        <v>1136</v>
      </c>
      <c r="G59" s="1808"/>
      <c r="H59" s="1809"/>
      <c r="I59" s="828"/>
      <c r="K59" s="773" t="s">
        <v>1137</v>
      </c>
      <c r="L59" s="1816" t="s">
        <v>1138</v>
      </c>
      <c r="M59" s="1817"/>
      <c r="N59" s="1818"/>
      <c r="O59" s="828"/>
      <c r="P59" s="829"/>
      <c r="Q59" s="773" t="s">
        <v>1139</v>
      </c>
      <c r="R59" s="832"/>
      <c r="S59" s="828"/>
      <c r="T59" s="744"/>
      <c r="U59" s="831" t="s">
        <v>1140</v>
      </c>
      <c r="V59" s="835"/>
      <c r="W59" s="836"/>
      <c r="X59" s="828"/>
      <c r="Y59" s="768"/>
      <c r="AB59" s="762"/>
      <c r="AL59" s="789"/>
      <c r="AM59" s="762"/>
      <c r="AN59" s="762"/>
      <c r="AO59" s="762"/>
    </row>
    <row r="60" spans="4:41" ht="21.75" customHeight="1">
      <c r="D60" s="735">
        <v>18</v>
      </c>
      <c r="F60" s="773" t="s">
        <v>1141</v>
      </c>
      <c r="G60" s="1808"/>
      <c r="H60" s="1809"/>
      <c r="I60" s="828"/>
      <c r="K60" s="773" t="s">
        <v>1142</v>
      </c>
      <c r="L60" s="1816" t="s">
        <v>1143</v>
      </c>
      <c r="M60" s="1817"/>
      <c r="N60" s="1818"/>
      <c r="O60" s="828"/>
      <c r="P60" s="829"/>
      <c r="Q60" s="773" t="s">
        <v>1144</v>
      </c>
      <c r="R60" s="832"/>
      <c r="S60" s="828"/>
      <c r="T60" s="744"/>
      <c r="U60" s="831" t="s">
        <v>1145</v>
      </c>
      <c r="V60" s="835"/>
      <c r="W60" s="836"/>
      <c r="X60" s="828"/>
      <c r="Y60" s="768"/>
      <c r="AB60" s="762"/>
      <c r="AF60" s="762"/>
      <c r="AG60" s="762"/>
      <c r="AH60" s="762"/>
      <c r="AI60" s="762"/>
      <c r="AJ60" s="762"/>
      <c r="AK60" s="762"/>
      <c r="AL60" s="762"/>
      <c r="AM60" s="762"/>
      <c r="AN60" s="762"/>
      <c r="AO60" s="762"/>
    </row>
    <row r="61" spans="4:41" ht="21.75" customHeight="1">
      <c r="D61" s="735">
        <v>19</v>
      </c>
      <c r="F61" s="773" t="s">
        <v>1146</v>
      </c>
      <c r="G61" s="1808"/>
      <c r="H61" s="1809"/>
      <c r="I61" s="828"/>
      <c r="K61" s="773" t="s">
        <v>1147</v>
      </c>
      <c r="L61" s="1813" t="s">
        <v>1148</v>
      </c>
      <c r="M61" s="1814"/>
      <c r="N61" s="1815"/>
      <c r="O61" s="828"/>
      <c r="P61" s="829"/>
      <c r="Q61" s="773" t="s">
        <v>1149</v>
      </c>
      <c r="R61" s="832"/>
      <c r="S61" s="828"/>
      <c r="T61" s="744"/>
      <c r="U61" s="831" t="s">
        <v>1150</v>
      </c>
      <c r="V61" s="835"/>
      <c r="W61" s="836"/>
      <c r="X61" s="828"/>
      <c r="Y61" s="768"/>
      <c r="AB61" s="762"/>
      <c r="AL61" s="762"/>
      <c r="AM61" s="762"/>
      <c r="AN61" s="762"/>
      <c r="AO61" s="762"/>
    </row>
    <row r="62" spans="4:41" ht="21.75" customHeight="1">
      <c r="D62" s="735">
        <v>20</v>
      </c>
      <c r="F62" s="773" t="s">
        <v>1151</v>
      </c>
      <c r="G62" s="1808"/>
      <c r="H62" s="1809"/>
      <c r="I62" s="828"/>
      <c r="K62" s="773" t="s">
        <v>1152</v>
      </c>
      <c r="L62" s="1813" t="s">
        <v>1153</v>
      </c>
      <c r="M62" s="1814"/>
      <c r="N62" s="1815"/>
      <c r="O62" s="828"/>
      <c r="P62" s="829"/>
      <c r="Q62" s="773" t="s">
        <v>1154</v>
      </c>
      <c r="R62" s="832"/>
      <c r="S62" s="828"/>
      <c r="T62" s="744"/>
      <c r="U62" s="831" t="s">
        <v>1155</v>
      </c>
      <c r="V62" s="835"/>
      <c r="W62" s="836"/>
      <c r="X62" s="828"/>
      <c r="Y62" s="768"/>
      <c r="AB62" s="762"/>
      <c r="AL62" s="789"/>
      <c r="AM62" s="789"/>
      <c r="AN62" s="762"/>
      <c r="AO62" s="762"/>
    </row>
    <row r="63" spans="4:41" ht="21.75" customHeight="1">
      <c r="D63" s="735">
        <v>21</v>
      </c>
      <c r="F63" s="773" t="s">
        <v>1156</v>
      </c>
      <c r="G63" s="1808"/>
      <c r="H63" s="1809"/>
      <c r="I63" s="828"/>
      <c r="K63" s="773" t="s">
        <v>1157</v>
      </c>
      <c r="L63" s="1810"/>
      <c r="M63" s="1811"/>
      <c r="N63" s="1812"/>
      <c r="O63" s="828"/>
      <c r="P63" s="829"/>
      <c r="Q63" s="773" t="s">
        <v>1158</v>
      </c>
      <c r="R63" s="832"/>
      <c r="S63" s="828"/>
      <c r="T63" s="744"/>
      <c r="U63" s="831" t="s">
        <v>1159</v>
      </c>
      <c r="V63" s="835"/>
      <c r="W63" s="836"/>
      <c r="X63" s="828"/>
      <c r="Y63" s="768"/>
      <c r="AB63" s="762"/>
      <c r="AL63" s="789"/>
      <c r="AM63" s="762"/>
      <c r="AN63" s="762"/>
      <c r="AO63" s="762"/>
    </row>
    <row r="64" spans="4:41" ht="21.75" customHeight="1">
      <c r="F64" s="773" t="s">
        <v>1160</v>
      </c>
      <c r="G64" s="1808"/>
      <c r="H64" s="1809"/>
      <c r="I64" s="828"/>
      <c r="K64" s="773" t="s">
        <v>1161</v>
      </c>
      <c r="L64" s="1810"/>
      <c r="M64" s="1811"/>
      <c r="N64" s="1812"/>
      <c r="O64" s="828"/>
      <c r="P64" s="829"/>
      <c r="Q64" s="773" t="s">
        <v>1162</v>
      </c>
      <c r="R64" s="832"/>
      <c r="S64" s="828"/>
      <c r="T64" s="744"/>
      <c r="U64" s="831" t="s">
        <v>1163</v>
      </c>
      <c r="V64" s="835"/>
      <c r="W64" s="836"/>
      <c r="X64" s="828"/>
      <c r="Y64" s="768"/>
      <c r="AB64" s="762"/>
      <c r="AL64" s="789"/>
      <c r="AM64" s="762"/>
      <c r="AN64" s="762"/>
      <c r="AO64" s="762"/>
    </row>
    <row r="65" spans="4:41" ht="21.75" customHeight="1">
      <c r="F65" s="773" t="s">
        <v>1164</v>
      </c>
      <c r="G65" s="837"/>
      <c r="H65" s="838"/>
      <c r="I65" s="828"/>
      <c r="K65" s="773" t="s">
        <v>1165</v>
      </c>
      <c r="L65" s="1810"/>
      <c r="M65" s="1811"/>
      <c r="N65" s="1812"/>
      <c r="O65" s="828"/>
      <c r="P65" s="829"/>
      <c r="Q65" s="773" t="s">
        <v>1166</v>
      </c>
      <c r="R65" s="832"/>
      <c r="S65" s="828"/>
      <c r="T65" s="744"/>
      <c r="U65" s="831" t="s">
        <v>1167</v>
      </c>
      <c r="V65" s="835"/>
      <c r="W65" s="836"/>
      <c r="X65" s="828"/>
      <c r="Y65" s="768"/>
      <c r="AB65" s="762"/>
      <c r="AL65" s="789"/>
      <c r="AM65" s="762"/>
      <c r="AN65" s="762"/>
      <c r="AO65" s="762"/>
    </row>
    <row r="66" spans="4:41" ht="21.75" customHeight="1">
      <c r="F66" s="773" t="s">
        <v>1168</v>
      </c>
      <c r="G66" s="837"/>
      <c r="H66" s="838"/>
      <c r="I66" s="828"/>
      <c r="K66" s="773" t="s">
        <v>1169</v>
      </c>
      <c r="L66" s="1810"/>
      <c r="M66" s="1811"/>
      <c r="N66" s="1812"/>
      <c r="O66" s="828"/>
      <c r="P66" s="829"/>
      <c r="Q66" s="773" t="s">
        <v>1170</v>
      </c>
      <c r="R66" s="832"/>
      <c r="S66" s="828"/>
      <c r="T66" s="744"/>
      <c r="U66" s="831" t="s">
        <v>1171</v>
      </c>
      <c r="V66" s="835"/>
      <c r="W66" s="836"/>
      <c r="X66" s="828"/>
      <c r="Y66" s="768"/>
      <c r="AB66" s="762"/>
      <c r="AL66" s="789"/>
      <c r="AM66" s="762"/>
      <c r="AN66" s="762"/>
      <c r="AO66" s="762"/>
    </row>
    <row r="67" spans="4:41" ht="21.75" customHeight="1">
      <c r="F67" s="773" t="s">
        <v>1172</v>
      </c>
      <c r="G67" s="837"/>
      <c r="H67" s="838"/>
      <c r="I67" s="828"/>
      <c r="K67" s="773" t="s">
        <v>1173</v>
      </c>
      <c r="L67" s="1810"/>
      <c r="M67" s="1811"/>
      <c r="N67" s="1812"/>
      <c r="O67" s="828"/>
      <c r="P67" s="829"/>
      <c r="Q67" s="773" t="s">
        <v>1174</v>
      </c>
      <c r="R67" s="832"/>
      <c r="S67" s="828"/>
      <c r="T67" s="744"/>
      <c r="U67" s="831" t="s">
        <v>1175</v>
      </c>
      <c r="V67" s="835"/>
      <c r="W67" s="836"/>
      <c r="X67" s="828"/>
      <c r="Y67" s="768"/>
      <c r="AB67" s="762"/>
      <c r="AL67" s="789"/>
      <c r="AM67" s="762"/>
      <c r="AN67" s="762"/>
      <c r="AO67" s="762"/>
    </row>
    <row r="68" spans="4:41" ht="21.75" customHeight="1">
      <c r="D68" s="735">
        <v>22</v>
      </c>
      <c r="F68" s="773" t="s">
        <v>1176</v>
      </c>
      <c r="G68" s="1808"/>
      <c r="H68" s="1809"/>
      <c r="I68" s="828"/>
      <c r="K68" s="773" t="s">
        <v>1177</v>
      </c>
      <c r="L68" s="1810"/>
      <c r="M68" s="1811"/>
      <c r="N68" s="1812"/>
      <c r="O68" s="828"/>
      <c r="P68" s="829"/>
      <c r="Q68" s="773" t="s">
        <v>1178</v>
      </c>
      <c r="R68" s="832"/>
      <c r="S68" s="828"/>
      <c r="T68" s="744"/>
      <c r="U68" s="831" t="s">
        <v>1179</v>
      </c>
      <c r="V68" s="835"/>
      <c r="W68" s="836"/>
      <c r="X68" s="828"/>
      <c r="Y68" s="768"/>
      <c r="AB68" s="762"/>
      <c r="AL68" s="789"/>
      <c r="AM68" s="762"/>
      <c r="AN68" s="762"/>
      <c r="AO68" s="762"/>
    </row>
    <row r="69" spans="4:41" ht="21.75" customHeight="1">
      <c r="F69" s="744"/>
      <c r="G69" s="839"/>
      <c r="H69" s="839"/>
      <c r="I69" s="768"/>
      <c r="K69" s="744"/>
      <c r="L69" s="744"/>
      <c r="M69" s="744"/>
      <c r="N69" s="840"/>
      <c r="O69" s="840"/>
      <c r="P69" s="829"/>
      <c r="Q69" s="744"/>
      <c r="R69" s="841"/>
      <c r="S69" s="744"/>
      <c r="T69" s="744"/>
      <c r="U69" s="744"/>
      <c r="V69" s="840"/>
      <c r="W69" s="840"/>
      <c r="X69" s="744"/>
      <c r="Y69" s="768"/>
      <c r="AB69" s="762"/>
      <c r="AL69" s="789"/>
      <c r="AM69" s="762"/>
      <c r="AN69" s="762"/>
      <c r="AO69" s="762"/>
    </row>
    <row r="70" spans="4:41" ht="21.75" customHeight="1">
      <c r="E70" s="753">
        <v>10</v>
      </c>
      <c r="F70" s="754"/>
      <c r="G70" s="755" t="s">
        <v>1180</v>
      </c>
      <c r="H70" s="756"/>
      <c r="I70" s="756"/>
      <c r="J70" s="757"/>
      <c r="K70" s="757"/>
      <c r="L70" s="757"/>
      <c r="M70" s="757"/>
      <c r="N70" s="757"/>
      <c r="O70" s="756"/>
      <c r="P70" s="756"/>
      <c r="Q70" s="756"/>
      <c r="R70" s="756"/>
      <c r="S70" s="756"/>
      <c r="T70" s="756"/>
      <c r="U70" s="756"/>
      <c r="V70" s="756"/>
      <c r="W70" s="756"/>
      <c r="X70" s="756"/>
      <c r="Y70" s="818"/>
      <c r="AB70" s="762"/>
      <c r="AL70" s="789"/>
      <c r="AM70" s="762"/>
      <c r="AN70" s="762"/>
      <c r="AO70" s="762"/>
    </row>
    <row r="71" spans="4:41" s="759" customFormat="1" ht="18.75" customHeight="1">
      <c r="E71" s="763"/>
      <c r="F71" s="1800" t="s">
        <v>1181</v>
      </c>
      <c r="G71" s="1800"/>
      <c r="H71" s="1800"/>
      <c r="I71" s="1800"/>
      <c r="J71" s="1800"/>
      <c r="K71" s="1800"/>
      <c r="L71" s="1800"/>
      <c r="M71" s="1800"/>
      <c r="N71" s="1800"/>
      <c r="O71" s="1800"/>
      <c r="P71" s="1800"/>
      <c r="Q71" s="1800"/>
      <c r="R71" s="1800"/>
      <c r="S71" s="1800"/>
      <c r="T71" s="1800"/>
      <c r="U71" s="1800"/>
      <c r="V71" s="1800"/>
      <c r="W71" s="1800"/>
      <c r="X71" s="1800"/>
      <c r="Y71" s="767"/>
      <c r="AB71" s="762"/>
      <c r="AL71" s="789"/>
      <c r="AM71" s="762"/>
      <c r="AN71" s="762"/>
      <c r="AO71" s="762"/>
    </row>
    <row r="72" spans="4:41" s="759" customFormat="1" ht="18.75" customHeight="1">
      <c r="E72" s="842"/>
      <c r="F72" s="1800" t="s">
        <v>1182</v>
      </c>
      <c r="G72" s="1800"/>
      <c r="H72" s="1800"/>
      <c r="I72" s="1800"/>
      <c r="J72" s="1800"/>
      <c r="K72" s="1800"/>
      <c r="L72" s="1800"/>
      <c r="M72" s="1800"/>
      <c r="N72" s="1800"/>
      <c r="O72" s="1800"/>
      <c r="P72" s="1800"/>
      <c r="Q72" s="1800"/>
      <c r="R72" s="1800"/>
      <c r="S72" s="1800"/>
      <c r="T72" s="1800"/>
      <c r="U72" s="1800"/>
      <c r="V72" s="1800"/>
      <c r="W72" s="1800"/>
      <c r="X72" s="1800"/>
      <c r="Y72" s="802"/>
      <c r="AB72" s="762"/>
      <c r="AL72" s="789"/>
      <c r="AM72" s="762"/>
      <c r="AN72" s="762"/>
      <c r="AO72" s="762"/>
    </row>
    <row r="73" spans="4:41" ht="21.75" customHeight="1">
      <c r="E73" s="743"/>
      <c r="F73" s="776" t="s">
        <v>1183</v>
      </c>
      <c r="G73" s="1801" t="s">
        <v>1184</v>
      </c>
      <c r="H73" s="1801"/>
      <c r="I73" s="1801"/>
      <c r="J73" s="1801"/>
      <c r="K73" s="1802" t="s">
        <v>1185</v>
      </c>
      <c r="L73" s="1802"/>
      <c r="M73" s="1802"/>
      <c r="N73" s="1802"/>
      <c r="O73" s="1802"/>
      <c r="P73" s="1802"/>
      <c r="Q73" s="1802" t="s">
        <v>1000</v>
      </c>
      <c r="R73" s="1802"/>
      <c r="S73" s="843" t="s">
        <v>259</v>
      </c>
      <c r="T73" s="1803" t="s">
        <v>1186</v>
      </c>
      <c r="U73" s="1803"/>
      <c r="V73" s="844" t="s">
        <v>1187</v>
      </c>
      <c r="W73" s="1803" t="s">
        <v>1188</v>
      </c>
      <c r="X73" s="1803"/>
      <c r="Y73" s="769"/>
      <c r="AC73" s="1798" t="s">
        <v>1189</v>
      </c>
      <c r="AD73" s="1799"/>
      <c r="AL73" s="789"/>
      <c r="AM73" s="762"/>
      <c r="AN73" s="762"/>
      <c r="AO73" s="762"/>
    </row>
    <row r="74" spans="4:41" ht="21.75" customHeight="1">
      <c r="E74" s="743"/>
      <c r="F74" s="773">
        <v>1</v>
      </c>
      <c r="G74" s="1806" t="str">
        <f t="shared" ref="G74:G80" si="0">H12</f>
        <v>Aulas 03 años  Ardillitas</v>
      </c>
      <c r="H74" s="1806"/>
      <c r="I74" s="1806"/>
      <c r="J74" s="1806"/>
      <c r="K74" s="1793" t="s">
        <v>1190</v>
      </c>
      <c r="L74" s="1793"/>
      <c r="M74" s="1793"/>
      <c r="N74" s="1793"/>
      <c r="O74" s="1793"/>
      <c r="P74" s="1793"/>
      <c r="Q74" s="1793">
        <v>25</v>
      </c>
      <c r="R74" s="1793"/>
      <c r="S74" s="845" t="str">
        <f t="shared" ref="S74:S80" si="1">K12</f>
        <v>m2</v>
      </c>
      <c r="T74" s="1807">
        <v>59</v>
      </c>
      <c r="U74" s="1807"/>
      <c r="V74" s="846">
        <v>1</v>
      </c>
      <c r="W74" s="1794" t="s">
        <v>492</v>
      </c>
      <c r="X74" s="1794"/>
      <c r="Y74" s="769"/>
      <c r="AC74" s="828" t="s">
        <v>37</v>
      </c>
      <c r="AD74" s="847" t="s">
        <v>1191</v>
      </c>
      <c r="AL74" s="789"/>
      <c r="AM74" s="762"/>
      <c r="AN74" s="762"/>
      <c r="AO74" s="762"/>
    </row>
    <row r="75" spans="4:41" ht="21.75" customHeight="1">
      <c r="E75" s="743"/>
      <c r="F75" s="773">
        <v>2</v>
      </c>
      <c r="G75" s="1806" t="str">
        <f t="shared" si="0"/>
        <v>Aulas 03 años  Conejitos</v>
      </c>
      <c r="H75" s="1806"/>
      <c r="I75" s="1806"/>
      <c r="J75" s="1806"/>
      <c r="K75" s="1793" t="s">
        <v>1190</v>
      </c>
      <c r="L75" s="1793"/>
      <c r="M75" s="1793"/>
      <c r="N75" s="1793"/>
      <c r="O75" s="1793"/>
      <c r="P75" s="1793"/>
      <c r="Q75" s="1793">
        <v>25</v>
      </c>
      <c r="R75" s="1793"/>
      <c r="S75" s="845" t="str">
        <f t="shared" si="1"/>
        <v>m2</v>
      </c>
      <c r="T75" s="1807">
        <v>59</v>
      </c>
      <c r="U75" s="1807"/>
      <c r="V75" s="846">
        <v>1</v>
      </c>
      <c r="W75" s="1794" t="s">
        <v>492</v>
      </c>
      <c r="X75" s="1794"/>
      <c r="Y75" s="769"/>
      <c r="AC75" s="828" t="s">
        <v>35</v>
      </c>
      <c r="AD75" s="847" t="s">
        <v>1192</v>
      </c>
      <c r="AL75" s="789"/>
      <c r="AM75" s="762"/>
      <c r="AN75" s="762"/>
      <c r="AO75" s="762"/>
    </row>
    <row r="76" spans="4:41" ht="21.75" customHeight="1">
      <c r="E76" s="743"/>
      <c r="F76" s="773">
        <v>3</v>
      </c>
      <c r="G76" s="1806" t="str">
        <f t="shared" si="0"/>
        <v>Aulas 04 años Pollitos</v>
      </c>
      <c r="H76" s="1806"/>
      <c r="I76" s="1806"/>
      <c r="J76" s="1806"/>
      <c r="K76" s="1793" t="s">
        <v>1190</v>
      </c>
      <c r="L76" s="1793"/>
      <c r="M76" s="1793"/>
      <c r="N76" s="1793"/>
      <c r="O76" s="1793"/>
      <c r="P76" s="1793"/>
      <c r="Q76" s="1793">
        <v>25</v>
      </c>
      <c r="R76" s="1793"/>
      <c r="S76" s="845" t="str">
        <f t="shared" si="1"/>
        <v>m2</v>
      </c>
      <c r="T76" s="1807">
        <v>59</v>
      </c>
      <c r="U76" s="1807"/>
      <c r="V76" s="846">
        <v>45</v>
      </c>
      <c r="W76" s="1794" t="s">
        <v>487</v>
      </c>
      <c r="X76" s="1794"/>
      <c r="Y76" s="769"/>
      <c r="AC76" s="828" t="s">
        <v>39</v>
      </c>
      <c r="AD76" s="847" t="s">
        <v>1193</v>
      </c>
      <c r="AL76" s="789"/>
      <c r="AM76" s="762"/>
      <c r="AN76" s="762"/>
      <c r="AO76" s="762"/>
    </row>
    <row r="77" spans="4:41" ht="21.75" customHeight="1">
      <c r="E77" s="743"/>
      <c r="F77" s="773">
        <v>4</v>
      </c>
      <c r="G77" s="1806" t="str">
        <f t="shared" si="0"/>
        <v>Aulas 04 años Palomitas</v>
      </c>
      <c r="H77" s="1806"/>
      <c r="I77" s="1806"/>
      <c r="J77" s="1806"/>
      <c r="K77" s="1793" t="s">
        <v>1190</v>
      </c>
      <c r="L77" s="1793"/>
      <c r="M77" s="1793"/>
      <c r="N77" s="1793"/>
      <c r="O77" s="1793"/>
      <c r="P77" s="1793"/>
      <c r="Q77" s="1793">
        <v>25</v>
      </c>
      <c r="R77" s="1793"/>
      <c r="S77" s="845" t="str">
        <f t="shared" si="1"/>
        <v>m2</v>
      </c>
      <c r="T77" s="1807">
        <v>59</v>
      </c>
      <c r="U77" s="1807"/>
      <c r="V77" s="846"/>
      <c r="W77" s="1794"/>
      <c r="X77" s="1794"/>
      <c r="Y77" s="769"/>
      <c r="AC77" s="828" t="s">
        <v>38</v>
      </c>
      <c r="AD77" s="847" t="s">
        <v>1194</v>
      </c>
      <c r="AL77" s="789"/>
      <c r="AM77" s="762"/>
      <c r="AN77" s="762"/>
      <c r="AO77" s="762"/>
    </row>
    <row r="78" spans="4:41" ht="21.75" customHeight="1">
      <c r="E78" s="743"/>
      <c r="F78" s="773">
        <v>5</v>
      </c>
      <c r="G78" s="1806" t="str">
        <f t="shared" si="0"/>
        <v>SSHH</v>
      </c>
      <c r="H78" s="1806"/>
      <c r="I78" s="1806"/>
      <c r="J78" s="1806"/>
      <c r="K78" s="1793" t="s">
        <v>1190</v>
      </c>
      <c r="L78" s="1793"/>
      <c r="M78" s="1793"/>
      <c r="N78" s="1793"/>
      <c r="O78" s="1793"/>
      <c r="P78" s="1793"/>
      <c r="Q78" s="1793"/>
      <c r="R78" s="1793"/>
      <c r="S78" s="845" t="str">
        <f t="shared" si="1"/>
        <v>m2</v>
      </c>
      <c r="T78" s="1807">
        <v>12</v>
      </c>
      <c r="U78" s="1807"/>
      <c r="V78" s="846"/>
      <c r="W78" s="1794"/>
      <c r="X78" s="1794"/>
      <c r="Y78" s="769"/>
      <c r="AC78" s="828" t="s">
        <v>1195</v>
      </c>
      <c r="AD78" s="847" t="s">
        <v>259</v>
      </c>
      <c r="AL78" s="789"/>
      <c r="AM78" s="762"/>
      <c r="AN78" s="762"/>
      <c r="AO78" s="762"/>
    </row>
    <row r="79" spans="4:41" ht="21.75" customHeight="1">
      <c r="E79" s="743"/>
      <c r="F79" s="773">
        <v>6</v>
      </c>
      <c r="G79" s="1804" t="str">
        <f t="shared" si="0"/>
        <v>Aulas 05 años</v>
      </c>
      <c r="H79" s="1804"/>
      <c r="I79" s="1804"/>
      <c r="J79" s="1804"/>
      <c r="K79" s="1793" t="s">
        <v>1196</v>
      </c>
      <c r="L79" s="1793"/>
      <c r="M79" s="1793"/>
      <c r="N79" s="1793"/>
      <c r="O79" s="1793"/>
      <c r="P79" s="1793"/>
      <c r="Q79" s="1793">
        <v>25</v>
      </c>
      <c r="R79" s="1793"/>
      <c r="S79" s="848" t="str">
        <f t="shared" si="1"/>
        <v>m2</v>
      </c>
      <c r="T79" s="1805">
        <v>59</v>
      </c>
      <c r="U79" s="1805"/>
      <c r="V79" s="846"/>
      <c r="W79" s="1794"/>
      <c r="X79" s="1794"/>
      <c r="Y79" s="769"/>
      <c r="AC79" s="828" t="s">
        <v>625</v>
      </c>
      <c r="AD79" s="847" t="s">
        <v>767</v>
      </c>
      <c r="AL79" s="789"/>
      <c r="AM79" s="762"/>
      <c r="AN79" s="762"/>
      <c r="AO79" s="762"/>
    </row>
    <row r="80" spans="4:41" ht="21.75" customHeight="1">
      <c r="E80" s="743"/>
      <c r="F80" s="773">
        <v>7</v>
      </c>
      <c r="G80" s="1804" t="str">
        <f t="shared" si="0"/>
        <v>SSHH</v>
      </c>
      <c r="H80" s="1804"/>
      <c r="I80" s="1804"/>
      <c r="J80" s="1804"/>
      <c r="K80" s="1793" t="s">
        <v>1196</v>
      </c>
      <c r="L80" s="1793"/>
      <c r="M80" s="1793"/>
      <c r="N80" s="1793"/>
      <c r="O80" s="1793"/>
      <c r="P80" s="1793"/>
      <c r="Q80" s="1793"/>
      <c r="R80" s="1793"/>
      <c r="S80" s="848" t="str">
        <f t="shared" si="1"/>
        <v>m2</v>
      </c>
      <c r="T80" s="1805">
        <v>12</v>
      </c>
      <c r="U80" s="1805"/>
      <c r="V80" s="846"/>
      <c r="W80" s="1794"/>
      <c r="X80" s="1794"/>
      <c r="Y80" s="769"/>
      <c r="AC80" s="828" t="s">
        <v>1197</v>
      </c>
      <c r="AD80" s="847" t="s">
        <v>1198</v>
      </c>
      <c r="AL80" s="789"/>
      <c r="AM80" s="762"/>
      <c r="AN80" s="762"/>
      <c r="AO80" s="762"/>
    </row>
    <row r="81" spans="5:41" ht="21.75" customHeight="1">
      <c r="E81" s="743"/>
      <c r="F81" s="773">
        <v>8</v>
      </c>
      <c r="G81" s="1795" t="s">
        <v>991</v>
      </c>
      <c r="H81" s="1795"/>
      <c r="I81" s="1795"/>
      <c r="J81" s="1795"/>
      <c r="K81" s="1793"/>
      <c r="L81" s="1793"/>
      <c r="M81" s="1793"/>
      <c r="N81" s="1793"/>
      <c r="O81" s="1793"/>
      <c r="P81" s="1793"/>
      <c r="Q81" s="1793"/>
      <c r="R81" s="1793"/>
      <c r="S81" s="849"/>
      <c r="T81" s="1793"/>
      <c r="U81" s="1793"/>
      <c r="V81" s="846"/>
      <c r="W81" s="1794"/>
      <c r="X81" s="1794"/>
      <c r="Y81" s="769"/>
      <c r="AC81" s="828" t="s">
        <v>492</v>
      </c>
      <c r="AD81" s="847" t="s">
        <v>1199</v>
      </c>
      <c r="AL81" s="789"/>
      <c r="AM81" s="762"/>
      <c r="AN81" s="762"/>
      <c r="AO81" s="762"/>
    </row>
    <row r="82" spans="5:41" ht="21.75" customHeight="1">
      <c r="E82" s="743"/>
      <c r="F82" s="1800" t="s">
        <v>1200</v>
      </c>
      <c r="G82" s="1800"/>
      <c r="H82" s="1800"/>
      <c r="I82" s="1800"/>
      <c r="J82" s="1800"/>
      <c r="K82" s="1800"/>
      <c r="L82" s="1800"/>
      <c r="M82" s="1800"/>
      <c r="N82" s="1800"/>
      <c r="O82" s="1800"/>
      <c r="P82" s="1800"/>
      <c r="Q82" s="1800"/>
      <c r="R82" s="1800"/>
      <c r="S82" s="1800"/>
      <c r="T82" s="1800"/>
      <c r="U82" s="1800"/>
      <c r="V82" s="1800"/>
      <c r="W82" s="1800"/>
      <c r="X82" s="1800"/>
      <c r="Y82" s="769"/>
      <c r="AB82" s="783" t="s">
        <v>1201</v>
      </c>
      <c r="AC82" s="850"/>
      <c r="AL82" s="789"/>
      <c r="AM82" s="762"/>
      <c r="AN82" s="762"/>
      <c r="AO82" s="762"/>
    </row>
    <row r="83" spans="5:41" ht="21.75" customHeight="1">
      <c r="E83" s="743"/>
      <c r="F83" s="773">
        <v>9</v>
      </c>
      <c r="G83" s="1796" t="str">
        <f>F29</f>
        <v>Veredas, rampas, bancas, etc.</v>
      </c>
      <c r="H83" s="1796"/>
      <c r="I83" s="1796"/>
      <c r="J83" s="1796"/>
      <c r="K83" s="1793"/>
      <c r="L83" s="1793"/>
      <c r="M83" s="1793"/>
      <c r="N83" s="1793"/>
      <c r="O83" s="1793"/>
      <c r="P83" s="1793"/>
      <c r="Q83" s="1793"/>
      <c r="R83" s="1793"/>
      <c r="S83" s="851" t="str">
        <f>K29</f>
        <v>m2</v>
      </c>
      <c r="T83" s="1797">
        <f>J29</f>
        <v>15</v>
      </c>
      <c r="U83" s="1797"/>
      <c r="V83" s="846">
        <v>1</v>
      </c>
      <c r="W83" s="1794" t="s">
        <v>492</v>
      </c>
      <c r="X83" s="1794"/>
      <c r="Y83" s="769"/>
      <c r="AB83" s="839"/>
      <c r="AC83" s="850"/>
      <c r="AD83" s="744"/>
      <c r="AL83" s="789"/>
      <c r="AM83" s="762"/>
      <c r="AN83" s="762"/>
      <c r="AO83" s="762"/>
    </row>
    <row r="84" spans="5:41" ht="21.75" customHeight="1">
      <c r="E84" s="743"/>
      <c r="F84" s="773">
        <v>10</v>
      </c>
      <c r="G84" s="1796" t="str">
        <f>F30</f>
        <v>Patio (s)</v>
      </c>
      <c r="H84" s="1796"/>
      <c r="I84" s="1796"/>
      <c r="J84" s="1796"/>
      <c r="K84" s="1793"/>
      <c r="L84" s="1793"/>
      <c r="M84" s="1793"/>
      <c r="N84" s="1793"/>
      <c r="O84" s="1793"/>
      <c r="P84" s="1793"/>
      <c r="Q84" s="1793"/>
      <c r="R84" s="1793"/>
      <c r="S84" s="851" t="str">
        <f>K30</f>
        <v>m2</v>
      </c>
      <c r="T84" s="1797">
        <f>J30</f>
        <v>32</v>
      </c>
      <c r="U84" s="1797"/>
      <c r="V84" s="846">
        <v>1</v>
      </c>
      <c r="W84" s="1794" t="s">
        <v>492</v>
      </c>
      <c r="X84" s="1794"/>
      <c r="Y84" s="769"/>
      <c r="AB84" s="839"/>
      <c r="AC84" s="850"/>
      <c r="AD84" s="744"/>
      <c r="AL84" s="789"/>
      <c r="AM84" s="762"/>
      <c r="AN84" s="762"/>
      <c r="AO84" s="762"/>
    </row>
    <row r="85" spans="5:41" ht="21.75" customHeight="1">
      <c r="E85" s="743"/>
      <c r="F85" s="773">
        <v>11</v>
      </c>
      <c r="G85" s="1796" t="str">
        <f>F31</f>
        <v>Losa Deportiva de 18 x 30 m, Demarcada y Equipada</v>
      </c>
      <c r="H85" s="1796"/>
      <c r="I85" s="1796"/>
      <c r="J85" s="1796"/>
      <c r="K85" s="1793"/>
      <c r="L85" s="1793"/>
      <c r="M85" s="1793"/>
      <c r="N85" s="1793"/>
      <c r="O85" s="1793"/>
      <c r="P85" s="1793"/>
      <c r="Q85" s="1793"/>
      <c r="R85" s="1793"/>
      <c r="S85" s="851" t="str">
        <f>K31</f>
        <v>m2</v>
      </c>
      <c r="T85" s="1797">
        <f>J31</f>
        <v>0</v>
      </c>
      <c r="U85" s="1797"/>
      <c r="V85" s="846">
        <v>45</v>
      </c>
      <c r="W85" s="1794" t="s">
        <v>487</v>
      </c>
      <c r="X85" s="1794"/>
      <c r="Y85" s="769"/>
      <c r="AB85" s="839"/>
      <c r="AC85" s="850"/>
      <c r="AD85" s="744"/>
      <c r="AL85" s="789"/>
      <c r="AM85" s="762"/>
      <c r="AN85" s="762"/>
      <c r="AO85" s="762"/>
    </row>
    <row r="86" spans="5:41" ht="21.75" customHeight="1">
      <c r="E86" s="743"/>
      <c r="F86" s="773"/>
      <c r="G86" s="1795" t="s">
        <v>991</v>
      </c>
      <c r="H86" s="1795"/>
      <c r="I86" s="1795"/>
      <c r="J86" s="1795"/>
      <c r="K86" s="1793"/>
      <c r="L86" s="1793"/>
      <c r="M86" s="1793"/>
      <c r="N86" s="1793"/>
      <c r="O86" s="1793"/>
      <c r="P86" s="1793"/>
      <c r="Q86" s="1793"/>
      <c r="R86" s="1793"/>
      <c r="S86" s="849"/>
      <c r="T86" s="1793"/>
      <c r="U86" s="1793"/>
      <c r="V86" s="846"/>
      <c r="W86" s="1794"/>
      <c r="X86" s="1794"/>
      <c r="Y86" s="769"/>
      <c r="AB86" s="762"/>
      <c r="AL86" s="789"/>
      <c r="AM86" s="762"/>
      <c r="AN86" s="762"/>
      <c r="AO86" s="762"/>
    </row>
    <row r="87" spans="5:41" ht="12" customHeight="1">
      <c r="E87" s="747"/>
      <c r="F87" s="852"/>
      <c r="G87" s="853"/>
      <c r="H87" s="853"/>
      <c r="I87" s="853"/>
      <c r="J87" s="853"/>
      <c r="K87" s="854"/>
      <c r="L87" s="854"/>
      <c r="M87" s="854"/>
      <c r="N87" s="854"/>
      <c r="O87" s="854"/>
      <c r="P87" s="854"/>
      <c r="Q87" s="854"/>
      <c r="R87" s="854"/>
      <c r="S87" s="855"/>
      <c r="T87" s="854"/>
      <c r="U87" s="854"/>
      <c r="V87" s="856"/>
      <c r="W87" s="856"/>
      <c r="X87" s="856"/>
      <c r="Y87" s="796"/>
      <c r="AB87" s="762"/>
      <c r="AL87" s="789"/>
      <c r="AM87" s="762"/>
      <c r="AN87" s="762"/>
      <c r="AO87" s="762"/>
    </row>
    <row r="88" spans="5:41" ht="18" customHeight="1">
      <c r="E88" s="738"/>
      <c r="F88" s="1800" t="s">
        <v>1202</v>
      </c>
      <c r="G88" s="1800"/>
      <c r="H88" s="1800"/>
      <c r="I88" s="1800"/>
      <c r="J88" s="1800"/>
      <c r="K88" s="1800"/>
      <c r="L88" s="1800"/>
      <c r="M88" s="1800"/>
      <c r="N88" s="1800"/>
      <c r="O88" s="1800"/>
      <c r="P88" s="1800"/>
      <c r="Q88" s="1800"/>
      <c r="R88" s="1800"/>
      <c r="S88" s="1800"/>
      <c r="T88" s="1800"/>
      <c r="U88" s="1800"/>
      <c r="V88" s="1800"/>
      <c r="W88" s="1800"/>
      <c r="X88" s="1800"/>
      <c r="Y88" s="857"/>
      <c r="AB88" s="762"/>
      <c r="AL88" s="789"/>
      <c r="AM88" s="762"/>
      <c r="AN88" s="762"/>
      <c r="AO88" s="762"/>
    </row>
    <row r="89" spans="5:41" ht="21.75" customHeight="1">
      <c r="E89" s="743"/>
      <c r="F89" s="776" t="s">
        <v>1183</v>
      </c>
      <c r="G89" s="1801" t="s">
        <v>1203</v>
      </c>
      <c r="H89" s="1801"/>
      <c r="I89" s="1801"/>
      <c r="J89" s="1801"/>
      <c r="K89" s="1802" t="s">
        <v>1185</v>
      </c>
      <c r="L89" s="1802"/>
      <c r="M89" s="1802"/>
      <c r="N89" s="1802"/>
      <c r="O89" s="1802"/>
      <c r="P89" s="1802"/>
      <c r="Q89" s="1802" t="s">
        <v>1204</v>
      </c>
      <c r="R89" s="1802"/>
      <c r="S89" s="858" t="s">
        <v>259</v>
      </c>
      <c r="T89" s="1803" t="s">
        <v>1205</v>
      </c>
      <c r="U89" s="1803"/>
      <c r="V89" s="844" t="s">
        <v>1187</v>
      </c>
      <c r="W89" s="1803" t="s">
        <v>1188</v>
      </c>
      <c r="X89" s="1803"/>
      <c r="Y89" s="769"/>
      <c r="AB89" s="1798" t="s">
        <v>1189</v>
      </c>
      <c r="AC89" s="1799"/>
      <c r="AD89" s="840"/>
      <c r="AL89" s="789"/>
      <c r="AM89" s="762"/>
      <c r="AN89" s="762"/>
      <c r="AO89" s="762"/>
    </row>
    <row r="90" spans="5:41" ht="21.75" customHeight="1">
      <c r="E90" s="743"/>
      <c r="F90" s="773" t="str">
        <f>F45</f>
        <v>AM.03</v>
      </c>
      <c r="G90" s="1796" t="str">
        <f>G43</f>
        <v>Ampliacion de Servicios Higiencos de inicial</v>
      </c>
      <c r="H90" s="1796"/>
      <c r="I90" s="1796"/>
      <c r="J90" s="1796"/>
      <c r="K90" s="1793" t="str">
        <f>F12</f>
        <v>Bloque 1</v>
      </c>
      <c r="L90" s="1793"/>
      <c r="M90" s="1793"/>
      <c r="N90" s="1793"/>
      <c r="O90" s="1793"/>
      <c r="P90" s="1793"/>
      <c r="Q90" s="1793" t="str">
        <f>H16</f>
        <v>SSHH</v>
      </c>
      <c r="R90" s="1793"/>
      <c r="S90" s="851" t="s">
        <v>35</v>
      </c>
      <c r="T90" s="1797">
        <v>12</v>
      </c>
      <c r="U90" s="1797"/>
      <c r="V90" s="846">
        <v>1</v>
      </c>
      <c r="W90" s="1794" t="s">
        <v>492</v>
      </c>
      <c r="X90" s="1794"/>
      <c r="Y90" s="769"/>
      <c r="AB90" s="828" t="s">
        <v>37</v>
      </c>
      <c r="AC90" s="847" t="s">
        <v>1191</v>
      </c>
      <c r="AD90" s="744"/>
      <c r="AL90" s="789"/>
      <c r="AM90" s="762"/>
      <c r="AN90" s="762"/>
      <c r="AO90" s="762"/>
    </row>
    <row r="91" spans="5:41" ht="21.75" customHeight="1">
      <c r="E91" s="743"/>
      <c r="F91" s="773" t="str">
        <f>K46</f>
        <v>RH.04</v>
      </c>
      <c r="G91" s="1796" t="str">
        <f>L46</f>
        <v>Reconstruccion de patio (losa)</v>
      </c>
      <c r="H91" s="1796"/>
      <c r="I91" s="1796"/>
      <c r="J91" s="1796"/>
      <c r="K91" s="1793" t="s">
        <v>1206</v>
      </c>
      <c r="L91" s="1793"/>
      <c r="M91" s="1793"/>
      <c r="N91" s="1793"/>
      <c r="O91" s="1793"/>
      <c r="P91" s="1793"/>
      <c r="Q91" s="1793"/>
      <c r="R91" s="1793"/>
      <c r="S91" s="851" t="s">
        <v>35</v>
      </c>
      <c r="T91" s="1797">
        <v>32</v>
      </c>
      <c r="U91" s="1797"/>
      <c r="V91" s="846">
        <v>1</v>
      </c>
      <c r="W91" s="1794" t="s">
        <v>492</v>
      </c>
      <c r="X91" s="1794"/>
      <c r="Y91" s="769"/>
      <c r="AB91" s="828" t="s">
        <v>35</v>
      </c>
      <c r="AC91" s="847" t="s">
        <v>1192</v>
      </c>
      <c r="AD91" s="744"/>
      <c r="AL91" s="789"/>
      <c r="AM91" s="762"/>
      <c r="AN91" s="762"/>
      <c r="AO91" s="762"/>
    </row>
    <row r="92" spans="5:41" ht="21.75" customHeight="1">
      <c r="E92" s="743"/>
      <c r="F92" s="773" t="str">
        <f>F52</f>
        <v>AM.10</v>
      </c>
      <c r="G92" s="1796" t="str">
        <f>G52</f>
        <v>Construccion de cerco perimetrico</v>
      </c>
      <c r="H92" s="1796"/>
      <c r="I92" s="1796"/>
      <c r="J92" s="1796"/>
      <c r="K92" s="1793" t="s">
        <v>1207</v>
      </c>
      <c r="L92" s="1793"/>
      <c r="M92" s="1793"/>
      <c r="N92" s="1793"/>
      <c r="O92" s="1793"/>
      <c r="P92" s="1793"/>
      <c r="Q92" s="1793"/>
      <c r="R92" s="1793"/>
      <c r="S92" s="851" t="s">
        <v>37</v>
      </c>
      <c r="T92" s="1797">
        <v>44</v>
      </c>
      <c r="U92" s="1797"/>
      <c r="V92" s="846">
        <v>45</v>
      </c>
      <c r="W92" s="1794" t="s">
        <v>487</v>
      </c>
      <c r="X92" s="1794"/>
      <c r="Y92" s="769"/>
      <c r="AB92" s="828" t="s">
        <v>39</v>
      </c>
      <c r="AC92" s="847" t="s">
        <v>1193</v>
      </c>
      <c r="AD92" s="744"/>
      <c r="AL92" s="789"/>
      <c r="AM92" s="762"/>
      <c r="AN92" s="762"/>
      <c r="AO92" s="762"/>
    </row>
    <row r="93" spans="5:41" ht="21.75" customHeight="1">
      <c r="E93" s="743"/>
      <c r="F93" s="773"/>
      <c r="G93" s="1792"/>
      <c r="H93" s="1792"/>
      <c r="I93" s="1792"/>
      <c r="J93" s="1792"/>
      <c r="K93" s="1793"/>
      <c r="L93" s="1793"/>
      <c r="M93" s="1793"/>
      <c r="N93" s="1793"/>
      <c r="O93" s="1793"/>
      <c r="P93" s="1793"/>
      <c r="Q93" s="1793"/>
      <c r="R93" s="1793"/>
      <c r="S93" s="849"/>
      <c r="T93" s="1793"/>
      <c r="U93" s="1793"/>
      <c r="V93" s="846"/>
      <c r="W93" s="1794"/>
      <c r="X93" s="1794"/>
      <c r="Y93" s="769"/>
      <c r="AB93" s="828" t="s">
        <v>38</v>
      </c>
      <c r="AC93" s="847" t="s">
        <v>1194</v>
      </c>
      <c r="AD93" s="744"/>
      <c r="AL93" s="789"/>
      <c r="AM93" s="762"/>
      <c r="AN93" s="762"/>
      <c r="AO93" s="762"/>
    </row>
    <row r="94" spans="5:41" ht="21.75" customHeight="1">
      <c r="E94" s="743"/>
      <c r="F94" s="773"/>
      <c r="G94" s="1792"/>
      <c r="H94" s="1792"/>
      <c r="I94" s="1792"/>
      <c r="J94" s="1792"/>
      <c r="K94" s="1793"/>
      <c r="L94" s="1793"/>
      <c r="M94" s="1793"/>
      <c r="N94" s="1793"/>
      <c r="O94" s="1793"/>
      <c r="P94" s="1793"/>
      <c r="Q94" s="1793"/>
      <c r="R94" s="1793"/>
      <c r="S94" s="849"/>
      <c r="T94" s="1793"/>
      <c r="U94" s="1793"/>
      <c r="V94" s="846"/>
      <c r="W94" s="1794"/>
      <c r="X94" s="1794"/>
      <c r="Y94" s="769"/>
      <c r="AB94" s="828" t="s">
        <v>1195</v>
      </c>
      <c r="AC94" s="847" t="s">
        <v>259</v>
      </c>
      <c r="AD94" s="783" t="s">
        <v>1208</v>
      </c>
      <c r="AL94" s="789"/>
      <c r="AM94" s="762"/>
      <c r="AN94" s="762"/>
      <c r="AO94" s="762"/>
    </row>
    <row r="95" spans="5:41" ht="21.75" customHeight="1">
      <c r="E95" s="743"/>
      <c r="F95" s="773"/>
      <c r="G95" s="1792"/>
      <c r="H95" s="1792"/>
      <c r="I95" s="1792"/>
      <c r="J95" s="1792"/>
      <c r="K95" s="1793"/>
      <c r="L95" s="1793"/>
      <c r="M95" s="1793"/>
      <c r="N95" s="1793"/>
      <c r="O95" s="1793"/>
      <c r="P95" s="1793"/>
      <c r="Q95" s="1793"/>
      <c r="R95" s="1793"/>
      <c r="S95" s="849"/>
      <c r="T95" s="1793"/>
      <c r="U95" s="1793"/>
      <c r="V95" s="846"/>
      <c r="W95" s="1794"/>
      <c r="X95" s="1794"/>
      <c r="Y95" s="769"/>
      <c r="AB95" s="828" t="s">
        <v>625</v>
      </c>
      <c r="AC95" s="847" t="s">
        <v>767</v>
      </c>
      <c r="AD95" s="744"/>
      <c r="AL95" s="789"/>
      <c r="AM95" s="762"/>
      <c r="AN95" s="762"/>
      <c r="AO95" s="762"/>
    </row>
    <row r="96" spans="5:41" ht="21.75" customHeight="1">
      <c r="E96" s="743"/>
      <c r="F96" s="773"/>
      <c r="G96" s="1792"/>
      <c r="H96" s="1792"/>
      <c r="I96" s="1792"/>
      <c r="J96" s="1792"/>
      <c r="K96" s="1793"/>
      <c r="L96" s="1793"/>
      <c r="M96" s="1793"/>
      <c r="N96" s="1793"/>
      <c r="O96" s="1793"/>
      <c r="P96" s="1793"/>
      <c r="Q96" s="1793"/>
      <c r="R96" s="1793"/>
      <c r="S96" s="849"/>
      <c r="T96" s="1793"/>
      <c r="U96" s="1793"/>
      <c r="V96" s="846"/>
      <c r="W96" s="1794"/>
      <c r="X96" s="1794"/>
      <c r="Y96" s="769"/>
      <c r="AB96" s="828" t="s">
        <v>1197</v>
      </c>
      <c r="AC96" s="847" t="s">
        <v>1198</v>
      </c>
      <c r="AL96" s="789"/>
      <c r="AM96" s="762"/>
      <c r="AN96" s="762"/>
      <c r="AO96" s="762"/>
    </row>
    <row r="97" spans="5:41" ht="21.75" customHeight="1">
      <c r="E97" s="743"/>
      <c r="F97" s="773"/>
      <c r="G97" s="1792"/>
      <c r="H97" s="1792"/>
      <c r="I97" s="1792"/>
      <c r="J97" s="1792"/>
      <c r="K97" s="1793"/>
      <c r="L97" s="1793"/>
      <c r="M97" s="1793"/>
      <c r="N97" s="1793"/>
      <c r="O97" s="1793"/>
      <c r="P97" s="1793"/>
      <c r="Q97" s="1793"/>
      <c r="R97" s="1793"/>
      <c r="S97" s="849"/>
      <c r="T97" s="1793"/>
      <c r="U97" s="1793"/>
      <c r="V97" s="846"/>
      <c r="W97" s="1794"/>
      <c r="X97" s="1794"/>
      <c r="Y97" s="769"/>
      <c r="AB97" s="828" t="s">
        <v>492</v>
      </c>
      <c r="AC97" s="847" t="s">
        <v>1199</v>
      </c>
      <c r="AL97" s="789"/>
      <c r="AM97" s="762"/>
      <c r="AN97" s="762"/>
      <c r="AO97" s="762"/>
    </row>
    <row r="98" spans="5:41" ht="21.75" customHeight="1">
      <c r="E98" s="743"/>
      <c r="F98" s="773"/>
      <c r="G98" s="1795" t="s">
        <v>991</v>
      </c>
      <c r="H98" s="1795"/>
      <c r="I98" s="1795"/>
      <c r="J98" s="1795"/>
      <c r="K98" s="1793"/>
      <c r="L98" s="1793"/>
      <c r="M98" s="1793"/>
      <c r="N98" s="1793"/>
      <c r="O98" s="1793"/>
      <c r="P98" s="1793"/>
      <c r="Q98" s="1793"/>
      <c r="R98" s="1793"/>
      <c r="S98" s="849"/>
      <c r="T98" s="1793"/>
      <c r="U98" s="1793"/>
      <c r="V98" s="846"/>
      <c r="W98" s="1794"/>
      <c r="X98" s="1794"/>
      <c r="Y98" s="769"/>
      <c r="AB98" s="762"/>
      <c r="AL98" s="789"/>
      <c r="AM98" s="762"/>
      <c r="AN98" s="762"/>
      <c r="AO98" s="762"/>
    </row>
    <row r="99" spans="5:41" ht="15.75" customHeight="1">
      <c r="E99" s="747"/>
      <c r="F99" s="748"/>
      <c r="G99" s="859" t="s">
        <v>1209</v>
      </c>
      <c r="H99" s="795"/>
      <c r="I99" s="795"/>
      <c r="J99" s="795"/>
      <c r="K99" s="795"/>
      <c r="L99" s="795"/>
      <c r="M99" s="795"/>
      <c r="N99" s="795"/>
      <c r="O99" s="795"/>
      <c r="P99" s="795"/>
      <c r="Q99" s="795"/>
      <c r="R99" s="795"/>
      <c r="S99" s="795"/>
      <c r="T99" s="795"/>
      <c r="U99" s="795"/>
      <c r="V99" s="795"/>
      <c r="W99" s="795"/>
      <c r="X99" s="795"/>
      <c r="Y99" s="796"/>
      <c r="AB99" s="762"/>
      <c r="AL99" s="789"/>
      <c r="AM99" s="762"/>
      <c r="AN99" s="762"/>
      <c r="AO99" s="762"/>
    </row>
    <row r="100" spans="5:41" ht="18.75" customHeight="1">
      <c r="E100" s="753">
        <v>10</v>
      </c>
      <c r="F100" s="754"/>
      <c r="G100" s="755" t="s">
        <v>1210</v>
      </c>
      <c r="H100" s="756"/>
      <c r="I100" s="756"/>
      <c r="J100" s="757"/>
      <c r="K100" s="757"/>
      <c r="L100" s="757"/>
      <c r="M100" s="757"/>
      <c r="N100" s="757"/>
      <c r="O100" s="756"/>
      <c r="P100" s="756"/>
      <c r="Q100" s="756"/>
      <c r="R100" s="756"/>
      <c r="S100" s="756"/>
      <c r="T100" s="756"/>
      <c r="U100" s="756"/>
      <c r="V100" s="756"/>
      <c r="W100" s="756"/>
      <c r="X100" s="756"/>
      <c r="Y100" s="818"/>
      <c r="AB100" s="762"/>
      <c r="AL100" s="789"/>
      <c r="AM100" s="762"/>
      <c r="AN100" s="762"/>
      <c r="AO100" s="762"/>
    </row>
    <row r="101" spans="5:41" ht="15" customHeight="1">
      <c r="E101" s="738"/>
      <c r="F101" s="739"/>
      <c r="G101" s="860" t="s">
        <v>1211</v>
      </c>
      <c r="H101" s="861"/>
      <c r="I101" s="861"/>
      <c r="J101" s="861"/>
      <c r="K101" s="860" t="s">
        <v>1212</v>
      </c>
      <c r="L101" s="861"/>
      <c r="M101" s="861"/>
      <c r="O101" s="861"/>
      <c r="P101" s="861"/>
      <c r="Q101" s="861"/>
      <c r="R101" s="860" t="s">
        <v>1213</v>
      </c>
      <c r="S101" s="861"/>
      <c r="T101" s="861"/>
      <c r="U101" s="861"/>
      <c r="V101" s="860" t="s">
        <v>1214</v>
      </c>
      <c r="W101" s="862"/>
      <c r="X101" s="863"/>
      <c r="Y101" s="857"/>
      <c r="AL101" s="789"/>
      <c r="AM101" s="1791"/>
      <c r="AN101" s="1791"/>
    </row>
    <row r="102" spans="5:41" ht="22.5" customHeight="1">
      <c r="E102" s="785" t="s">
        <v>811</v>
      </c>
      <c r="F102" s="864"/>
      <c r="G102" s="1784" t="s">
        <v>1215</v>
      </c>
      <c r="H102" s="1787" t="s">
        <v>972</v>
      </c>
      <c r="I102" s="744"/>
      <c r="J102" s="768"/>
      <c r="K102" s="1783" t="s">
        <v>1216</v>
      </c>
      <c r="L102" s="1783"/>
      <c r="M102" s="1783"/>
      <c r="N102" s="773"/>
      <c r="P102" s="744"/>
      <c r="Q102" s="744"/>
      <c r="R102" s="865" t="s">
        <v>1217</v>
      </c>
      <c r="S102" s="773"/>
      <c r="T102" s="744"/>
      <c r="U102" s="744"/>
      <c r="V102" s="865" t="s">
        <v>1216</v>
      </c>
      <c r="W102" s="1781" t="s">
        <v>1218</v>
      </c>
      <c r="X102" s="1782"/>
      <c r="Y102" s="769"/>
      <c r="AL102" s="762"/>
    </row>
    <row r="103" spans="5:41" ht="22.5" customHeight="1">
      <c r="E103" s="785"/>
      <c r="F103" s="864"/>
      <c r="G103" s="1785"/>
      <c r="H103" s="1788"/>
      <c r="I103" s="744"/>
      <c r="J103" s="768"/>
      <c r="K103" s="1790" t="s">
        <v>1219</v>
      </c>
      <c r="L103" s="1790"/>
      <c r="M103" s="1790"/>
      <c r="N103" s="773" t="s">
        <v>972</v>
      </c>
      <c r="P103" s="744"/>
      <c r="Q103" s="744"/>
      <c r="R103" s="866" t="s">
        <v>1220</v>
      </c>
      <c r="S103" s="773" t="s">
        <v>972</v>
      </c>
      <c r="T103" s="744"/>
      <c r="U103" s="744"/>
      <c r="V103" s="866" t="s">
        <v>1219</v>
      </c>
      <c r="W103" s="1781" t="s">
        <v>1221</v>
      </c>
      <c r="X103" s="1782"/>
      <c r="Y103" s="769"/>
      <c r="AL103" s="762"/>
    </row>
    <row r="104" spans="5:41" ht="22.5" customHeight="1">
      <c r="E104" s="785"/>
      <c r="F104" s="864"/>
      <c r="G104" s="1785"/>
      <c r="H104" s="1788"/>
      <c r="I104" s="744"/>
      <c r="J104" s="768"/>
      <c r="K104" s="1783" t="s">
        <v>1222</v>
      </c>
      <c r="L104" s="1783"/>
      <c r="M104" s="1783"/>
      <c r="N104" s="773"/>
      <c r="P104" s="744"/>
      <c r="Q104" s="744"/>
      <c r="R104" s="865" t="s">
        <v>1223</v>
      </c>
      <c r="S104" s="773"/>
      <c r="T104" s="744"/>
      <c r="U104" s="744"/>
      <c r="V104" s="865" t="s">
        <v>1222</v>
      </c>
      <c r="W104" s="1781" t="s">
        <v>1224</v>
      </c>
      <c r="X104" s="1782"/>
      <c r="Y104" s="769"/>
      <c r="AB104" s="736"/>
    </row>
    <row r="105" spans="5:41" ht="22.5" customHeight="1">
      <c r="E105" s="785"/>
      <c r="F105" s="864"/>
      <c r="G105" s="1785"/>
      <c r="H105" s="1788"/>
      <c r="I105" s="744"/>
      <c r="J105" s="768"/>
      <c r="K105" s="1783" t="s">
        <v>1225</v>
      </c>
      <c r="L105" s="1783"/>
      <c r="M105" s="1783"/>
      <c r="N105" s="773"/>
      <c r="P105" s="744"/>
      <c r="Q105" s="744"/>
      <c r="R105" s="865" t="s">
        <v>1223</v>
      </c>
      <c r="S105" s="773"/>
      <c r="T105" s="744"/>
      <c r="U105" s="744"/>
      <c r="V105" s="865" t="s">
        <v>1225</v>
      </c>
      <c r="W105" s="1781" t="s">
        <v>1226</v>
      </c>
      <c r="X105" s="1782"/>
      <c r="Y105" s="769"/>
      <c r="AB105"/>
      <c r="AM105" s="762"/>
      <c r="AN105" s="762"/>
    </row>
    <row r="106" spans="5:41" ht="22.5" customHeight="1">
      <c r="E106" s="785"/>
      <c r="F106" s="864"/>
      <c r="G106" s="1786"/>
      <c r="H106" s="1789"/>
      <c r="I106" s="744"/>
      <c r="J106" s="768"/>
      <c r="K106" s="1783" t="s">
        <v>1227</v>
      </c>
      <c r="L106" s="1783"/>
      <c r="M106" s="1783"/>
      <c r="N106" s="773"/>
      <c r="P106" s="744"/>
      <c r="Q106" s="744"/>
      <c r="R106" s="865" t="s">
        <v>1228</v>
      </c>
      <c r="S106" s="773"/>
      <c r="T106" s="744"/>
      <c r="U106" s="744"/>
      <c r="V106" s="865" t="s">
        <v>1227</v>
      </c>
      <c r="W106" s="1781" t="s">
        <v>1229</v>
      </c>
      <c r="X106" s="1782"/>
      <c r="Y106" s="769"/>
      <c r="AB106" s="783" t="s">
        <v>1230</v>
      </c>
      <c r="AK106"/>
      <c r="AM106" s="762"/>
      <c r="AN106" s="762"/>
    </row>
    <row r="107" spans="5:41" s="762" customFormat="1" ht="13.5" customHeight="1">
      <c r="E107" s="801"/>
      <c r="F107" s="867"/>
      <c r="G107" s="789"/>
      <c r="H107" s="789"/>
      <c r="I107" s="789"/>
      <c r="K107" s="788"/>
      <c r="N107" s="789"/>
      <c r="P107" s="789"/>
      <c r="Q107" s="789"/>
      <c r="R107" s="788"/>
      <c r="S107" s="789"/>
      <c r="T107" s="789"/>
      <c r="U107" s="789"/>
      <c r="V107" s="788"/>
      <c r="W107" s="788"/>
      <c r="X107" s="868"/>
      <c r="Y107" s="802"/>
      <c r="AK107" s="869"/>
    </row>
    <row r="108" spans="5:41" ht="13.5" customHeight="1">
      <c r="E108" s="738"/>
      <c r="F108" s="739"/>
      <c r="G108" s="860" t="s">
        <v>1211</v>
      </c>
      <c r="H108" s="861"/>
      <c r="I108" s="861"/>
      <c r="J108" s="861"/>
      <c r="K108" s="860" t="s">
        <v>1212</v>
      </c>
      <c r="L108" s="870"/>
      <c r="M108" s="861"/>
      <c r="N108" s="861"/>
      <c r="O108" s="870"/>
      <c r="P108" s="861"/>
      <c r="Q108" s="861"/>
      <c r="R108" s="860" t="s">
        <v>1213</v>
      </c>
      <c r="S108" s="861"/>
      <c r="T108" s="861"/>
      <c r="U108" s="861"/>
      <c r="V108" s="860" t="s">
        <v>1214</v>
      </c>
      <c r="W108" s="862"/>
      <c r="X108" s="863"/>
      <c r="Y108" s="857"/>
      <c r="AK108"/>
      <c r="AM108" s="762"/>
      <c r="AN108" s="762"/>
    </row>
    <row r="109" spans="5:41" ht="23.25" customHeight="1">
      <c r="E109" s="871" t="s">
        <v>813</v>
      </c>
      <c r="F109" s="872"/>
      <c r="G109" s="1784" t="s">
        <v>1231</v>
      </c>
      <c r="H109" s="1787" t="s">
        <v>972</v>
      </c>
      <c r="I109" s="744"/>
      <c r="J109" s="768"/>
      <c r="K109" s="1783" t="s">
        <v>1017</v>
      </c>
      <c r="L109" s="1783"/>
      <c r="M109" s="1783"/>
      <c r="N109" s="773"/>
      <c r="O109" s="768"/>
      <c r="P109" s="744"/>
      <c r="Q109" s="744"/>
      <c r="R109" s="865" t="s">
        <v>1232</v>
      </c>
      <c r="S109" s="773"/>
      <c r="T109" s="744"/>
      <c r="U109" s="744"/>
      <c r="V109" s="865" t="s">
        <v>1017</v>
      </c>
      <c r="W109" s="1781" t="s">
        <v>1233</v>
      </c>
      <c r="X109" s="1782"/>
      <c r="Y109" s="769"/>
      <c r="AK109"/>
      <c r="AM109" s="762"/>
      <c r="AN109" s="762"/>
    </row>
    <row r="110" spans="5:41" ht="23.25" customHeight="1">
      <c r="E110" s="743"/>
      <c r="F110" s="744"/>
      <c r="G110" s="1785"/>
      <c r="H110" s="1788"/>
      <c r="I110" s="744"/>
      <c r="J110" s="768"/>
      <c r="K110" s="1790" t="s">
        <v>1020</v>
      </c>
      <c r="L110" s="1790"/>
      <c r="M110" s="1790"/>
      <c r="N110" s="773" t="s">
        <v>972</v>
      </c>
      <c r="O110" s="768"/>
      <c r="P110" s="744"/>
      <c r="Q110" s="744"/>
      <c r="R110" s="865" t="s">
        <v>1232</v>
      </c>
      <c r="S110" s="773"/>
      <c r="T110" s="744"/>
      <c r="U110" s="744"/>
      <c r="V110" s="865" t="s">
        <v>1020</v>
      </c>
      <c r="W110" s="1781" t="s">
        <v>1234</v>
      </c>
      <c r="X110" s="1782"/>
      <c r="Y110" s="769"/>
      <c r="AM110" s="762"/>
      <c r="AN110" s="762"/>
    </row>
    <row r="111" spans="5:41" ht="23.25" customHeight="1">
      <c r="E111" s="743"/>
      <c r="F111" s="744"/>
      <c r="G111" s="1785"/>
      <c r="H111" s="1788"/>
      <c r="I111" s="744"/>
      <c r="J111" s="768"/>
      <c r="K111" s="1783" t="s">
        <v>1019</v>
      </c>
      <c r="L111" s="1783"/>
      <c r="M111" s="1783"/>
      <c r="N111" s="773"/>
      <c r="O111" s="768"/>
      <c r="P111" s="744"/>
      <c r="Q111" s="744"/>
      <c r="R111" s="865" t="s">
        <v>1232</v>
      </c>
      <c r="S111" s="773"/>
      <c r="T111" s="744"/>
      <c r="U111" s="744"/>
      <c r="V111" s="865" t="s">
        <v>1019</v>
      </c>
      <c r="W111" s="1781" t="s">
        <v>1235</v>
      </c>
      <c r="X111" s="1782"/>
      <c r="Y111" s="769"/>
    </row>
    <row r="112" spans="5:41" ht="23.25" customHeight="1">
      <c r="E112" s="743"/>
      <c r="F112" s="744"/>
      <c r="G112" s="1786"/>
      <c r="H112" s="1789"/>
      <c r="I112" s="744"/>
      <c r="J112" s="768"/>
      <c r="K112" s="1783" t="s">
        <v>1018</v>
      </c>
      <c r="L112" s="1783"/>
      <c r="M112" s="1783"/>
      <c r="N112" s="773"/>
      <c r="O112" s="768"/>
      <c r="P112" s="744"/>
      <c r="Q112" s="744"/>
      <c r="R112" s="865" t="s">
        <v>1232</v>
      </c>
      <c r="S112" s="773"/>
      <c r="T112" s="744"/>
      <c r="U112" s="744"/>
      <c r="V112" s="865" t="s">
        <v>1018</v>
      </c>
      <c r="W112" s="1781" t="s">
        <v>1236</v>
      </c>
      <c r="X112" s="1782"/>
      <c r="Y112" s="769"/>
    </row>
    <row r="113" spans="1:27" s="762" customFormat="1" ht="13.5" customHeight="1">
      <c r="E113" s="873"/>
      <c r="F113" s="853"/>
      <c r="G113" s="853"/>
      <c r="H113" s="853"/>
      <c r="I113" s="853"/>
      <c r="J113" s="855"/>
      <c r="K113" s="855"/>
      <c r="L113" s="855"/>
      <c r="M113" s="855"/>
      <c r="N113" s="874"/>
      <c r="O113" s="853"/>
      <c r="P113" s="853"/>
      <c r="Q113" s="853"/>
      <c r="R113" s="874"/>
      <c r="S113" s="853"/>
      <c r="T113" s="853"/>
      <c r="U113" s="853"/>
      <c r="V113" s="874"/>
      <c r="W113" s="874"/>
      <c r="X113" s="874"/>
      <c r="Y113" s="817"/>
    </row>
    <row r="114" spans="1:27" ht="20.100000000000001" customHeight="1">
      <c r="A114" s="875"/>
      <c r="B114" s="734"/>
      <c r="C114" s="734"/>
      <c r="G114" s="735" t="s">
        <v>1237</v>
      </c>
      <c r="AA114" s="876"/>
    </row>
    <row r="117" spans="1:27" ht="15" customHeight="1">
      <c r="F117" s="1887" t="s">
        <v>1281</v>
      </c>
      <c r="G117" s="1887"/>
      <c r="H117" s="1887"/>
      <c r="I117" s="1887"/>
      <c r="J117" s="1887"/>
    </row>
    <row r="118" spans="1:27" ht="15" customHeight="1">
      <c r="F118" s="1887"/>
      <c r="G118" s="1887"/>
      <c r="H118" s="1887"/>
      <c r="I118" s="1887"/>
      <c r="J118" s="1887"/>
    </row>
    <row r="119" spans="1:27" ht="15" customHeight="1">
      <c r="F119" s="1887"/>
      <c r="G119" s="1887"/>
      <c r="H119" s="1887"/>
      <c r="I119" s="1887"/>
      <c r="J119" s="1887"/>
    </row>
    <row r="120" spans="1:27" ht="15" customHeight="1">
      <c r="F120" s="1887"/>
      <c r="G120" s="1887"/>
      <c r="H120" s="1887"/>
      <c r="I120" s="1887"/>
      <c r="J120" s="1887"/>
    </row>
    <row r="121" spans="1:27" ht="15" customHeight="1">
      <c r="F121" s="1887"/>
      <c r="G121" s="1887"/>
      <c r="H121" s="1887"/>
      <c r="I121" s="1887"/>
      <c r="J121" s="1887"/>
    </row>
  </sheetData>
  <mergeCells count="316">
    <mergeCell ref="F117:J121"/>
    <mergeCell ref="S15:U15"/>
    <mergeCell ref="I3:U5"/>
    <mergeCell ref="W3:X3"/>
    <mergeCell ref="W4:X4"/>
    <mergeCell ref="W5:X5"/>
    <mergeCell ref="F9:K9"/>
    <mergeCell ref="L9:N9"/>
    <mergeCell ref="O9:P9"/>
    <mergeCell ref="R9:V9"/>
    <mergeCell ref="W9:X9"/>
    <mergeCell ref="F19:G19"/>
    <mergeCell ref="O19:P19"/>
    <mergeCell ref="S19:U19"/>
    <mergeCell ref="F20:G20"/>
    <mergeCell ref="O20:P20"/>
    <mergeCell ref="S20:U20"/>
    <mergeCell ref="F16:G16"/>
    <mergeCell ref="O16:P16"/>
    <mergeCell ref="S16:U16"/>
    <mergeCell ref="F17:G18"/>
    <mergeCell ref="O17:P17"/>
    <mergeCell ref="S17:U17"/>
    <mergeCell ref="O18:P18"/>
    <mergeCell ref="AN20:AR20"/>
    <mergeCell ref="V10:V11"/>
    <mergeCell ref="W10:W11"/>
    <mergeCell ref="X10:X11"/>
    <mergeCell ref="F12:G15"/>
    <mergeCell ref="O12:P12"/>
    <mergeCell ref="S12:U12"/>
    <mergeCell ref="O13:P13"/>
    <mergeCell ref="S13:U13"/>
    <mergeCell ref="O14:P14"/>
    <mergeCell ref="S14:U14"/>
    <mergeCell ref="M10:M11"/>
    <mergeCell ref="N10:N11"/>
    <mergeCell ref="O10:P11"/>
    <mergeCell ref="Q10:Q11"/>
    <mergeCell ref="R10:R11"/>
    <mergeCell ref="S10:U11"/>
    <mergeCell ref="F10:G11"/>
    <mergeCell ref="H10:H11"/>
    <mergeCell ref="I10:I11"/>
    <mergeCell ref="J10:J11"/>
    <mergeCell ref="K10:K11"/>
    <mergeCell ref="L10:L11"/>
    <mergeCell ref="O15:P15"/>
    <mergeCell ref="S18:U18"/>
    <mergeCell ref="F22:G22"/>
    <mergeCell ref="O22:P22"/>
    <mergeCell ref="S22:U22"/>
    <mergeCell ref="F23:G23"/>
    <mergeCell ref="O23:P23"/>
    <mergeCell ref="S23:U23"/>
    <mergeCell ref="AC20:AD21"/>
    <mergeCell ref="AE20:AF20"/>
    <mergeCell ref="W27:W28"/>
    <mergeCell ref="X27:X28"/>
    <mergeCell ref="V27:V28"/>
    <mergeCell ref="F29:I29"/>
    <mergeCell ref="O29:P29"/>
    <mergeCell ref="S29:U29"/>
    <mergeCell ref="AH20:AM20"/>
    <mergeCell ref="F21:G21"/>
    <mergeCell ref="O21:P21"/>
    <mergeCell ref="S21:U21"/>
    <mergeCell ref="F26:K26"/>
    <mergeCell ref="L26:N26"/>
    <mergeCell ref="O26:P26"/>
    <mergeCell ref="R26:V26"/>
    <mergeCell ref="W26:X26"/>
    <mergeCell ref="F30:I30"/>
    <mergeCell ref="O30:P30"/>
    <mergeCell ref="S30:U30"/>
    <mergeCell ref="N27:N28"/>
    <mergeCell ref="O27:P28"/>
    <mergeCell ref="Q27:Q28"/>
    <mergeCell ref="R27:R28"/>
    <mergeCell ref="S27:U28"/>
    <mergeCell ref="F33:I33"/>
    <mergeCell ref="O33:P33"/>
    <mergeCell ref="S33:U33"/>
    <mergeCell ref="F27:I28"/>
    <mergeCell ref="J27:J28"/>
    <mergeCell ref="K27:K28"/>
    <mergeCell ref="L27:L28"/>
    <mergeCell ref="M27:M28"/>
    <mergeCell ref="F34:I34"/>
    <mergeCell ref="O34:P34"/>
    <mergeCell ref="S34:U34"/>
    <mergeCell ref="F31:I31"/>
    <mergeCell ref="O31:P31"/>
    <mergeCell ref="S31:U31"/>
    <mergeCell ref="F32:I32"/>
    <mergeCell ref="O32:P32"/>
    <mergeCell ref="S32:U32"/>
    <mergeCell ref="F37:I37"/>
    <mergeCell ref="O37:P37"/>
    <mergeCell ref="S37:U37"/>
    <mergeCell ref="F38:I38"/>
    <mergeCell ref="O38:P38"/>
    <mergeCell ref="S38:U38"/>
    <mergeCell ref="F35:I35"/>
    <mergeCell ref="O35:P35"/>
    <mergeCell ref="S35:U35"/>
    <mergeCell ref="F36:I36"/>
    <mergeCell ref="O36:P36"/>
    <mergeCell ref="S36:U36"/>
    <mergeCell ref="G44:H44"/>
    <mergeCell ref="L44:N44"/>
    <mergeCell ref="V44:W44"/>
    <mergeCell ref="G45:H45"/>
    <mergeCell ref="L45:N45"/>
    <mergeCell ref="V45:W45"/>
    <mergeCell ref="G42:I42"/>
    <mergeCell ref="L42:O42"/>
    <mergeCell ref="R42:S42"/>
    <mergeCell ref="V42:X42"/>
    <mergeCell ref="G43:H43"/>
    <mergeCell ref="L43:N43"/>
    <mergeCell ref="V43:W43"/>
    <mergeCell ref="G48:H48"/>
    <mergeCell ref="L48:N48"/>
    <mergeCell ref="V48:W48"/>
    <mergeCell ref="G49:H49"/>
    <mergeCell ref="L49:N49"/>
    <mergeCell ref="V49:W49"/>
    <mergeCell ref="G46:H46"/>
    <mergeCell ref="L46:N46"/>
    <mergeCell ref="V46:W46"/>
    <mergeCell ref="G47:H47"/>
    <mergeCell ref="L47:N47"/>
    <mergeCell ref="V47:W47"/>
    <mergeCell ref="G52:H52"/>
    <mergeCell ref="L52:N52"/>
    <mergeCell ref="V52:W52"/>
    <mergeCell ref="G53:H53"/>
    <mergeCell ref="L53:N53"/>
    <mergeCell ref="G54:H54"/>
    <mergeCell ref="L54:N54"/>
    <mergeCell ref="G50:H50"/>
    <mergeCell ref="L50:N50"/>
    <mergeCell ref="V50:W50"/>
    <mergeCell ref="G51:H51"/>
    <mergeCell ref="L51:N51"/>
    <mergeCell ref="V51:W51"/>
    <mergeCell ref="G58:H58"/>
    <mergeCell ref="L58:N58"/>
    <mergeCell ref="G59:H59"/>
    <mergeCell ref="L59:N59"/>
    <mergeCell ref="G60:H60"/>
    <mergeCell ref="L60:N60"/>
    <mergeCell ref="G55:H55"/>
    <mergeCell ref="L55:N55"/>
    <mergeCell ref="G56:H56"/>
    <mergeCell ref="L56:N56"/>
    <mergeCell ref="G57:H57"/>
    <mergeCell ref="L57:N57"/>
    <mergeCell ref="G64:H64"/>
    <mergeCell ref="L64:N64"/>
    <mergeCell ref="L65:N65"/>
    <mergeCell ref="L66:N66"/>
    <mergeCell ref="L67:N67"/>
    <mergeCell ref="G68:H68"/>
    <mergeCell ref="L68:N68"/>
    <mergeCell ref="G61:H61"/>
    <mergeCell ref="L61:N61"/>
    <mergeCell ref="G62:H62"/>
    <mergeCell ref="L62:N62"/>
    <mergeCell ref="G63:H63"/>
    <mergeCell ref="L63:N63"/>
    <mergeCell ref="AC73:AD73"/>
    <mergeCell ref="G74:J74"/>
    <mergeCell ref="K74:P74"/>
    <mergeCell ref="Q74:R74"/>
    <mergeCell ref="T74:U74"/>
    <mergeCell ref="W74:X74"/>
    <mergeCell ref="F71:X71"/>
    <mergeCell ref="F72:X72"/>
    <mergeCell ref="G73:J73"/>
    <mergeCell ref="K73:P73"/>
    <mergeCell ref="Q73:R73"/>
    <mergeCell ref="T73:U73"/>
    <mergeCell ref="W73:X73"/>
    <mergeCell ref="G75:J75"/>
    <mergeCell ref="K75:P75"/>
    <mergeCell ref="Q75:R75"/>
    <mergeCell ref="T75:U75"/>
    <mergeCell ref="W75:X75"/>
    <mergeCell ref="G76:J76"/>
    <mergeCell ref="K76:P76"/>
    <mergeCell ref="Q76:R76"/>
    <mergeCell ref="T76:U76"/>
    <mergeCell ref="W76:X76"/>
    <mergeCell ref="G77:J77"/>
    <mergeCell ref="K77:P77"/>
    <mergeCell ref="Q77:R77"/>
    <mergeCell ref="T77:U77"/>
    <mergeCell ref="W77:X77"/>
    <mergeCell ref="G78:J78"/>
    <mergeCell ref="K78:P78"/>
    <mergeCell ref="Q78:R78"/>
    <mergeCell ref="T78:U78"/>
    <mergeCell ref="W78:X78"/>
    <mergeCell ref="G81:J81"/>
    <mergeCell ref="K81:P81"/>
    <mergeCell ref="Q81:R81"/>
    <mergeCell ref="T81:U81"/>
    <mergeCell ref="W81:X81"/>
    <mergeCell ref="F82:X82"/>
    <mergeCell ref="G79:J79"/>
    <mergeCell ref="K79:P79"/>
    <mergeCell ref="Q79:R79"/>
    <mergeCell ref="T79:U79"/>
    <mergeCell ref="W79:X79"/>
    <mergeCell ref="G80:J80"/>
    <mergeCell ref="K80:P80"/>
    <mergeCell ref="Q80:R80"/>
    <mergeCell ref="T80:U80"/>
    <mergeCell ref="W80:X80"/>
    <mergeCell ref="G83:J83"/>
    <mergeCell ref="K83:P83"/>
    <mergeCell ref="Q83:R83"/>
    <mergeCell ref="T83:U83"/>
    <mergeCell ref="W83:X83"/>
    <mergeCell ref="G84:J84"/>
    <mergeCell ref="K84:P84"/>
    <mergeCell ref="Q84:R84"/>
    <mergeCell ref="T84:U84"/>
    <mergeCell ref="W84:X84"/>
    <mergeCell ref="G85:J85"/>
    <mergeCell ref="K85:P85"/>
    <mergeCell ref="Q85:R85"/>
    <mergeCell ref="T85:U85"/>
    <mergeCell ref="W85:X85"/>
    <mergeCell ref="G86:J86"/>
    <mergeCell ref="K86:P86"/>
    <mergeCell ref="Q86:R86"/>
    <mergeCell ref="T86:U86"/>
    <mergeCell ref="W86:X86"/>
    <mergeCell ref="AB89:AC89"/>
    <mergeCell ref="G90:J90"/>
    <mergeCell ref="K90:P90"/>
    <mergeCell ref="Q90:R90"/>
    <mergeCell ref="T90:U90"/>
    <mergeCell ref="W90:X90"/>
    <mergeCell ref="F88:X88"/>
    <mergeCell ref="G89:J89"/>
    <mergeCell ref="K89:P89"/>
    <mergeCell ref="Q89:R89"/>
    <mergeCell ref="T89:U89"/>
    <mergeCell ref="W89:X89"/>
    <mergeCell ref="G91:J91"/>
    <mergeCell ref="K91:P91"/>
    <mergeCell ref="Q91:R91"/>
    <mergeCell ref="T91:U91"/>
    <mergeCell ref="W91:X91"/>
    <mergeCell ref="G92:J92"/>
    <mergeCell ref="K92:P92"/>
    <mergeCell ref="Q92:R92"/>
    <mergeCell ref="T92:U92"/>
    <mergeCell ref="W92:X92"/>
    <mergeCell ref="G93:J93"/>
    <mergeCell ref="K93:P93"/>
    <mergeCell ref="Q93:R93"/>
    <mergeCell ref="T93:U93"/>
    <mergeCell ref="W93:X93"/>
    <mergeCell ref="G94:J94"/>
    <mergeCell ref="K94:P94"/>
    <mergeCell ref="Q94:R94"/>
    <mergeCell ref="T94:U94"/>
    <mergeCell ref="W94:X94"/>
    <mergeCell ref="G95:J95"/>
    <mergeCell ref="K95:P95"/>
    <mergeCell ref="Q95:R95"/>
    <mergeCell ref="T95:U95"/>
    <mergeCell ref="W95:X95"/>
    <mergeCell ref="G96:J96"/>
    <mergeCell ref="K96:P96"/>
    <mergeCell ref="Q96:R96"/>
    <mergeCell ref="T96:U96"/>
    <mergeCell ref="W96:X96"/>
    <mergeCell ref="G97:J97"/>
    <mergeCell ref="K97:P97"/>
    <mergeCell ref="Q97:R97"/>
    <mergeCell ref="T97:U97"/>
    <mergeCell ref="W97:X97"/>
    <mergeCell ref="G98:J98"/>
    <mergeCell ref="K98:P98"/>
    <mergeCell ref="Q98:R98"/>
    <mergeCell ref="T98:U98"/>
    <mergeCell ref="W98:X98"/>
    <mergeCell ref="AM101:AN101"/>
    <mergeCell ref="G102:G106"/>
    <mergeCell ref="H102:H106"/>
    <mergeCell ref="K102:M102"/>
    <mergeCell ref="W102:X102"/>
    <mergeCell ref="K103:M103"/>
    <mergeCell ref="W103:X103"/>
    <mergeCell ref="K104:M104"/>
    <mergeCell ref="W104:X104"/>
    <mergeCell ref="K105:M105"/>
    <mergeCell ref="W111:X111"/>
    <mergeCell ref="K112:M112"/>
    <mergeCell ref="W112:X112"/>
    <mergeCell ref="W105:X105"/>
    <mergeCell ref="K106:M106"/>
    <mergeCell ref="W106:X106"/>
    <mergeCell ref="G109:G112"/>
    <mergeCell ref="H109:H112"/>
    <mergeCell ref="K109:M109"/>
    <mergeCell ref="W109:X109"/>
    <mergeCell ref="K110:M110"/>
    <mergeCell ref="W110:X110"/>
    <mergeCell ref="K111:M11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5" tint="-0.249977111117893"/>
  </sheetPr>
  <dimension ref="B1:AK227"/>
  <sheetViews>
    <sheetView showGridLines="0" topLeftCell="A196" zoomScale="115" zoomScaleNormal="115" workbookViewId="0">
      <selection activeCell="J212" sqref="J212"/>
    </sheetView>
  </sheetViews>
  <sheetFormatPr baseColWidth="10" defaultColWidth="3.42578125" defaultRowHeight="14.25" outlineLevelRow="1"/>
  <cols>
    <col min="1" max="1" width="3.42578125" style="675"/>
    <col min="2" max="2" width="14" style="675" customWidth="1"/>
    <col min="3" max="3" width="8.140625" style="675" customWidth="1"/>
    <col min="4" max="4" width="6.85546875" style="675" customWidth="1"/>
    <col min="5" max="5" width="14.7109375" style="675" customWidth="1"/>
    <col min="6" max="6" width="9.5703125" style="675" customWidth="1"/>
    <col min="7" max="7" width="8.85546875" style="675" customWidth="1"/>
    <col min="8" max="8" width="10" style="675" customWidth="1"/>
    <col min="9" max="9" width="6.42578125" style="675" customWidth="1"/>
    <col min="10" max="10" width="6.7109375" style="675" customWidth="1"/>
    <col min="11" max="11" width="5.42578125" style="675" customWidth="1"/>
    <col min="12" max="12" width="5.85546875" style="675" customWidth="1"/>
    <col min="13" max="13" width="6.28515625" style="675" customWidth="1"/>
    <col min="14" max="14" width="7" style="675" customWidth="1"/>
    <col min="15" max="15" width="5.85546875" style="675" customWidth="1"/>
    <col min="16" max="16" width="6.85546875" style="675" customWidth="1"/>
    <col min="17" max="17" width="6.28515625" style="675" customWidth="1"/>
    <col min="18" max="18" width="5.42578125" style="675" customWidth="1"/>
    <col min="19" max="19" width="7" style="675" bestFit="1" customWidth="1"/>
    <col min="20" max="20" width="4.140625" style="675" customWidth="1"/>
    <col min="21" max="21" width="4.42578125" style="675" customWidth="1"/>
    <col min="22" max="22" width="6.28515625" style="675" customWidth="1"/>
    <col min="23" max="23" width="8.140625" style="675" customWidth="1"/>
    <col min="24" max="24" width="7.85546875" style="675" customWidth="1"/>
    <col min="25" max="26" width="5.42578125" style="675" customWidth="1"/>
    <col min="27" max="27" width="7.5703125" style="675" customWidth="1"/>
    <col min="28" max="28" width="9.140625" style="676" bestFit="1" customWidth="1"/>
    <col min="29" max="29" width="9.5703125" style="675" customWidth="1"/>
    <col min="30" max="30" width="10.140625" style="675" customWidth="1"/>
    <col min="31" max="31" width="7.28515625" style="675" customWidth="1"/>
    <col min="32" max="39" width="4.140625" style="675" customWidth="1"/>
    <col min="40" max="16384" width="3.42578125" style="675"/>
  </cols>
  <sheetData>
    <row r="1" spans="2:17" hidden="1"/>
    <row r="2" spans="2:17" hidden="1"/>
    <row r="3" spans="2:17" hidden="1"/>
    <row r="4" spans="2:17" hidden="1"/>
    <row r="5" spans="2:17" hidden="1"/>
    <row r="6" spans="2:17" hidden="1"/>
    <row r="7" spans="2:17" ht="19.5" hidden="1" thickBot="1">
      <c r="B7" s="671" t="s">
        <v>885</v>
      </c>
      <c r="C7" s="671"/>
      <c r="D7" s="671"/>
      <c r="E7" s="671"/>
      <c r="F7" s="671"/>
      <c r="G7" s="671"/>
      <c r="H7" s="671"/>
      <c r="I7" s="671"/>
    </row>
    <row r="8" spans="2:17" ht="15.75" hidden="1" thickTop="1" thickBot="1"/>
    <row r="9" spans="2:17" s="677" customFormat="1" ht="15.75" hidden="1" thickTop="1" thickBot="1">
      <c r="B9" s="1937" t="s">
        <v>886</v>
      </c>
      <c r="C9" s="1937"/>
      <c r="D9" s="1937"/>
      <c r="E9" s="1937"/>
      <c r="F9" s="1934" t="s">
        <v>1264</v>
      </c>
      <c r="G9" s="1935"/>
      <c r="H9" s="1935"/>
      <c r="I9" s="1935"/>
      <c r="J9" s="1936"/>
      <c r="L9" s="678" t="s">
        <v>106</v>
      </c>
      <c r="M9" s="1934" t="s">
        <v>132</v>
      </c>
      <c r="N9" s="1935"/>
      <c r="O9" s="1935"/>
      <c r="P9" s="1935"/>
      <c r="Q9" s="1936"/>
    </row>
    <row r="10" spans="2:17" s="677" customFormat="1" ht="15.75" hidden="1" thickTop="1" thickBot="1"/>
    <row r="11" spans="2:17" s="677" customFormat="1" ht="23.25" hidden="1" customHeight="1" thickTop="1" thickBot="1">
      <c r="B11" s="1938" t="s">
        <v>887</v>
      </c>
      <c r="C11" s="1938"/>
      <c r="D11" s="1938"/>
      <c r="E11" s="1938"/>
      <c r="G11" s="1937" t="s">
        <v>93</v>
      </c>
      <c r="H11" s="1937"/>
      <c r="I11" s="1937"/>
      <c r="J11" s="1937"/>
    </row>
    <row r="12" spans="2:17" s="677" customFormat="1" ht="23.25" hidden="1" customHeight="1" thickTop="1" thickBot="1">
      <c r="B12" s="1945" t="s">
        <v>888</v>
      </c>
      <c r="C12" s="1945"/>
      <c r="D12" s="680">
        <v>1993</v>
      </c>
      <c r="E12" s="680">
        <v>2007</v>
      </c>
      <c r="G12" s="1946"/>
      <c r="H12" s="1946"/>
      <c r="I12" s="1946"/>
      <c r="J12" s="1946"/>
    </row>
    <row r="13" spans="2:17" s="677" customFormat="1" ht="20.25" hidden="1" customHeight="1" thickTop="1" thickBot="1">
      <c r="B13" s="1939" t="str">
        <f>+IF($F$9="Inicial","Población de 3 años",IF($F$9="Primaria","Población de 6 años",IF($F$9="Secundaria","Población de 12 años",0)))</f>
        <v>Población de 3 años</v>
      </c>
      <c r="C13" s="1940"/>
      <c r="D13" s="681"/>
      <c r="E13" s="682"/>
      <c r="G13" s="1946"/>
      <c r="H13" s="1946"/>
      <c r="I13" s="1946"/>
      <c r="J13" s="1946"/>
    </row>
    <row r="14" spans="2:17" s="677" customFormat="1" ht="20.25" hidden="1" customHeight="1" thickTop="1" thickBot="1">
      <c r="B14" s="1939" t="str">
        <f>+IF($F$9="Inicial","Población de 4 años",IF($F$9="Primaria","Población de 7 años",IF($F$9="Secundaria","Población de 13 años",0)))</f>
        <v>Población de 4 años</v>
      </c>
      <c r="C14" s="1940"/>
      <c r="D14" s="683"/>
      <c r="E14" s="684"/>
      <c r="G14" s="1946"/>
      <c r="H14" s="1946"/>
      <c r="I14" s="1946"/>
      <c r="J14" s="1946"/>
    </row>
    <row r="15" spans="2:17" s="677" customFormat="1" ht="20.25" hidden="1" customHeight="1" thickTop="1" thickBot="1">
      <c r="B15" s="1939" t="str">
        <f>+IF($F$9="Inicial","Población de 5 años",IF($F$9="Primaria","Población de 8 años",IF($F$9="Secundaria","Población de 14 años",0)))</f>
        <v>Población de 5 años</v>
      </c>
      <c r="C15" s="1940"/>
      <c r="D15" s="683"/>
      <c r="E15" s="684"/>
      <c r="G15" s="1946"/>
      <c r="H15" s="1946"/>
      <c r="I15" s="1946"/>
      <c r="J15" s="1946"/>
    </row>
    <row r="16" spans="2:17" s="677" customFormat="1" ht="20.25" hidden="1" customHeight="1" thickTop="1" thickBot="1">
      <c r="B16" s="1939" t="str">
        <f>+IF($F$9="Inicial","No aplica",IF($F$9="Primaria","Población de 9 años",IF($F$9="Secundaria","Población de 15 años",0)))</f>
        <v>No aplica</v>
      </c>
      <c r="C16" s="1940"/>
      <c r="D16" s="683"/>
      <c r="E16" s="684"/>
      <c r="G16" s="1946"/>
      <c r="H16" s="1946"/>
      <c r="I16" s="1946"/>
      <c r="J16" s="1946"/>
    </row>
    <row r="17" spans="2:30" s="677" customFormat="1" ht="20.25" hidden="1" customHeight="1" thickTop="1" thickBot="1">
      <c r="B17" s="1939" t="str">
        <f>+IF($F$9="Inicial","No aplica",IF($F$9="Primaria","Población de 10 años",IF($F$9="Secundaria","Población de 16 años",0)))</f>
        <v>No aplica</v>
      </c>
      <c r="C17" s="1940"/>
      <c r="D17" s="683"/>
      <c r="E17" s="684"/>
      <c r="G17" s="1946"/>
      <c r="H17" s="1946"/>
      <c r="I17" s="1946"/>
      <c r="J17" s="1946"/>
    </row>
    <row r="18" spans="2:30" s="677" customFormat="1" ht="20.25" hidden="1" customHeight="1" thickTop="1" thickBot="1">
      <c r="B18" s="1939" t="str">
        <f>+IF($F$9="Inicial","No aplica",IF($F$9="Primaria","Población de 11 años",IF($F$9="Secundaria","No aplica",0)))</f>
        <v>No aplica</v>
      </c>
      <c r="C18" s="1940"/>
      <c r="D18" s="683"/>
      <c r="E18" s="684"/>
      <c r="G18" s="1946"/>
      <c r="H18" s="1946"/>
      <c r="I18" s="1946"/>
      <c r="J18" s="1946"/>
    </row>
    <row r="19" spans="2:30" s="677" customFormat="1" ht="15.75" hidden="1" thickTop="1" thickBot="1">
      <c r="B19" s="1939" t="s">
        <v>889</v>
      </c>
      <c r="C19" s="1940"/>
      <c r="D19" s="683"/>
      <c r="E19" s="683"/>
      <c r="AB19" s="679"/>
    </row>
    <row r="20" spans="2:30" s="677" customFormat="1" ht="15.75" hidden="1" thickTop="1" thickBot="1">
      <c r="AB20" s="679"/>
    </row>
    <row r="21" spans="2:30" s="677" customFormat="1" ht="15.75" hidden="1" thickTop="1" thickBot="1">
      <c r="G21" s="1941" t="s">
        <v>891</v>
      </c>
      <c r="H21" s="1941"/>
      <c r="I21" s="1942"/>
      <c r="J21" s="1943"/>
      <c r="L21" s="1937" t="s">
        <v>892</v>
      </c>
      <c r="M21" s="1937"/>
      <c r="N21" s="1937"/>
      <c r="O21" s="1937"/>
      <c r="P21" s="1937"/>
      <c r="Q21" s="1937"/>
      <c r="R21" s="1942"/>
      <c r="S21" s="1943"/>
      <c r="AB21" s="679"/>
    </row>
    <row r="22" spans="2:30" s="677" customFormat="1" ht="15" hidden="1" thickTop="1">
      <c r="X22" s="679"/>
      <c r="AB22" s="679"/>
    </row>
    <row r="23" spans="2:30" s="677" customFormat="1" ht="15" hidden="1" thickBot="1">
      <c r="X23" s="679"/>
      <c r="AB23" s="679"/>
    </row>
    <row r="24" spans="2:30" s="677" customFormat="1" ht="15" hidden="1" customHeight="1" thickTop="1" thickBot="1">
      <c r="B24" s="1947" t="s">
        <v>890</v>
      </c>
      <c r="C24" s="1947"/>
      <c r="D24" s="1947"/>
      <c r="E24" s="1947"/>
      <c r="F24" s="1947"/>
      <c r="G24" s="1947"/>
      <c r="H24" s="1948"/>
      <c r="I24" s="1944" t="s">
        <v>893</v>
      </c>
      <c r="J24" s="1944"/>
      <c r="K24" s="1944"/>
      <c r="L24" s="1944"/>
      <c r="M24" s="1944"/>
      <c r="N24" s="1944"/>
      <c r="O24" s="1944"/>
      <c r="P24" s="1949" t="s">
        <v>894</v>
      </c>
      <c r="Q24" s="1951" t="s">
        <v>895</v>
      </c>
      <c r="R24" s="1951"/>
      <c r="S24" s="1951"/>
      <c r="T24" s="1951"/>
      <c r="U24" s="1951"/>
      <c r="V24" s="1951"/>
      <c r="W24" s="1951"/>
      <c r="X24" s="1949" t="s">
        <v>894</v>
      </c>
      <c r="Y24" s="1956"/>
    </row>
    <row r="25" spans="2:30" ht="15.75" hidden="1" customHeight="1" thickTop="1" thickBot="1">
      <c r="B25" s="680" t="str">
        <f>+IF(F9="Inicial","Edad","Grado")</f>
        <v>Edad</v>
      </c>
      <c r="C25" s="680">
        <f>+D25-1</f>
        <v>-5</v>
      </c>
      <c r="D25" s="680">
        <f>+E25-1</f>
        <v>-4</v>
      </c>
      <c r="E25" s="680">
        <f>+F25-1</f>
        <v>-3</v>
      </c>
      <c r="F25" s="680">
        <f>+G25-1</f>
        <v>-2</v>
      </c>
      <c r="G25" s="680">
        <f>+H25-1</f>
        <v>-1</v>
      </c>
      <c r="H25" s="680">
        <f>+I21</f>
        <v>0</v>
      </c>
      <c r="I25" s="1952" t="s">
        <v>896</v>
      </c>
      <c r="J25" s="1952"/>
      <c r="K25" s="1953" t="s">
        <v>897</v>
      </c>
      <c r="L25" s="1953"/>
      <c r="M25" s="1953"/>
      <c r="N25" s="1953" t="s">
        <v>898</v>
      </c>
      <c r="O25" s="1953"/>
      <c r="P25" s="1950"/>
      <c r="Q25" s="1954" t="s">
        <v>896</v>
      </c>
      <c r="R25" s="1954"/>
      <c r="S25" s="1955" t="s">
        <v>897</v>
      </c>
      <c r="T25" s="1955"/>
      <c r="U25" s="1955"/>
      <c r="V25" s="1955" t="s">
        <v>898</v>
      </c>
      <c r="W25" s="1955"/>
      <c r="X25" s="1950"/>
      <c r="Y25" s="1956"/>
      <c r="Z25" s="685"/>
      <c r="AA25" s="685"/>
      <c r="AB25" s="685"/>
      <c r="AC25" s="685"/>
      <c r="AD25" s="685"/>
    </row>
    <row r="26" spans="2:30" s="677" customFormat="1" ht="16.5" hidden="1" thickTop="1" thickBot="1">
      <c r="B26" s="686" t="str">
        <f>+IF($F$9="Inicial","3 años",IF($F$9="Primaria","1er grado",IF($F$9="Secundaria","1er grado",0)))</f>
        <v>3 años</v>
      </c>
      <c r="C26" s="681"/>
      <c r="D26" s="682"/>
      <c r="E26" s="682"/>
      <c r="F26" s="682"/>
      <c r="G26" s="682"/>
      <c r="H26" s="682"/>
      <c r="I26" s="1931"/>
      <c r="J26" s="1932"/>
      <c r="K26" s="1933"/>
      <c r="L26" s="1932"/>
      <c r="M26" s="1932"/>
      <c r="N26" s="1933"/>
      <c r="O26" s="1932"/>
      <c r="P26" s="672">
        <f>+SUM(I26:O26)</f>
        <v>0</v>
      </c>
      <c r="Q26" s="1929"/>
      <c r="R26" s="1930"/>
      <c r="S26" s="1929"/>
      <c r="T26" s="1930"/>
      <c r="U26" s="1930"/>
      <c r="V26" s="1929"/>
      <c r="W26" s="1930"/>
      <c r="X26" s="672">
        <f>+SUM(Q26:W26)</f>
        <v>0</v>
      </c>
      <c r="Y26" s="676"/>
      <c r="Z26" s="676"/>
      <c r="AA26" s="676"/>
      <c r="AB26" s="676"/>
      <c r="AC26" s="675"/>
      <c r="AD26" s="675"/>
    </row>
    <row r="27" spans="2:30" s="677" customFormat="1" ht="16.5" hidden="1" thickTop="1" thickBot="1">
      <c r="B27" s="686" t="s">
        <v>899</v>
      </c>
      <c r="C27" s="687"/>
      <c r="D27" s="688"/>
      <c r="E27" s="688"/>
      <c r="F27" s="688"/>
      <c r="G27" s="688"/>
      <c r="H27" s="682"/>
      <c r="I27" s="1904"/>
      <c r="J27" s="1905"/>
      <c r="K27" s="1904"/>
      <c r="L27" s="1906"/>
      <c r="M27" s="1905"/>
      <c r="N27" s="1904"/>
      <c r="O27" s="1905"/>
      <c r="P27" s="673"/>
      <c r="Q27" s="1904"/>
      <c r="R27" s="1905"/>
      <c r="S27" s="1904"/>
      <c r="T27" s="1906"/>
      <c r="U27" s="1905"/>
      <c r="V27" s="1904"/>
      <c r="W27" s="1905"/>
      <c r="X27" s="674"/>
      <c r="Y27" s="676"/>
      <c r="Z27" s="676"/>
      <c r="AA27" s="676"/>
      <c r="AB27" s="676"/>
      <c r="AC27" s="675"/>
      <c r="AD27" s="675"/>
    </row>
    <row r="28" spans="2:30" s="677" customFormat="1" ht="16.5" hidden="1" thickTop="1" thickBot="1">
      <c r="B28" s="686" t="s">
        <v>900</v>
      </c>
      <c r="C28" s="687"/>
      <c r="D28" s="688"/>
      <c r="E28" s="688"/>
      <c r="F28" s="688"/>
      <c r="G28" s="688"/>
      <c r="H28" s="682"/>
      <c r="I28" s="1904"/>
      <c r="J28" s="1905"/>
      <c r="K28" s="1904"/>
      <c r="L28" s="1906"/>
      <c r="M28" s="1905"/>
      <c r="N28" s="1904"/>
      <c r="O28" s="1905"/>
      <c r="P28" s="673"/>
      <c r="Q28" s="1904"/>
      <c r="R28" s="1905"/>
      <c r="S28" s="1904"/>
      <c r="T28" s="1906"/>
      <c r="U28" s="1905"/>
      <c r="V28" s="1904"/>
      <c r="W28" s="1905"/>
      <c r="X28" s="674"/>
      <c r="Y28" s="676"/>
      <c r="Z28" s="676"/>
      <c r="AA28" s="676"/>
      <c r="AB28" s="676"/>
      <c r="AC28" s="675"/>
      <c r="AD28" s="675"/>
    </row>
    <row r="29" spans="2:30" s="677" customFormat="1" ht="16.5" hidden="1" thickTop="1" thickBot="1">
      <c r="B29" s="686" t="s">
        <v>901</v>
      </c>
      <c r="C29" s="687"/>
      <c r="D29" s="688"/>
      <c r="E29" s="688"/>
      <c r="F29" s="688"/>
      <c r="G29" s="688"/>
      <c r="H29" s="682"/>
      <c r="I29" s="1904"/>
      <c r="J29" s="1905"/>
      <c r="K29" s="1904"/>
      <c r="L29" s="1906"/>
      <c r="M29" s="1905"/>
      <c r="N29" s="1904"/>
      <c r="O29" s="1905"/>
      <c r="P29" s="673"/>
      <c r="Q29" s="1904"/>
      <c r="R29" s="1905"/>
      <c r="S29" s="1904"/>
      <c r="T29" s="1906"/>
      <c r="U29" s="1905"/>
      <c r="V29" s="1904"/>
      <c r="W29" s="1905"/>
      <c r="X29" s="674"/>
      <c r="Y29" s="676"/>
      <c r="Z29" s="676"/>
      <c r="AA29" s="676"/>
      <c r="AB29" s="676"/>
      <c r="AC29" s="675"/>
      <c r="AD29" s="675"/>
    </row>
    <row r="30" spans="2:30" s="677" customFormat="1" ht="16.5" hidden="1" thickTop="1" thickBot="1">
      <c r="B30" s="686" t="s">
        <v>902</v>
      </c>
      <c r="C30" s="687"/>
      <c r="D30" s="688"/>
      <c r="E30" s="688"/>
      <c r="F30" s="688"/>
      <c r="G30" s="688"/>
      <c r="H30" s="682"/>
      <c r="I30" s="1904"/>
      <c r="J30" s="1905"/>
      <c r="K30" s="1904"/>
      <c r="L30" s="1906"/>
      <c r="M30" s="1905"/>
      <c r="N30" s="1904"/>
      <c r="O30" s="1905"/>
      <c r="P30" s="673"/>
      <c r="Q30" s="1904"/>
      <c r="R30" s="1905"/>
      <c r="S30" s="1904"/>
      <c r="T30" s="1906"/>
      <c r="U30" s="1905"/>
      <c r="V30" s="1904"/>
      <c r="W30" s="1905"/>
      <c r="X30" s="674"/>
      <c r="Y30" s="676"/>
      <c r="Z30" s="676"/>
      <c r="AA30" s="676"/>
      <c r="AB30" s="676"/>
      <c r="AC30" s="675"/>
      <c r="AD30" s="675"/>
    </row>
    <row r="31" spans="2:30" s="677" customFormat="1" ht="16.5" hidden="1" thickTop="1" thickBot="1">
      <c r="B31" s="689" t="str">
        <f>+IF($F$9="Inicial","4 años",IF($F$9="Primaria","2do grado",IF($F$9="Secundaria","2do grado",0)))</f>
        <v>4 años</v>
      </c>
      <c r="C31" s="681"/>
      <c r="D31" s="682"/>
      <c r="E31" s="682"/>
      <c r="F31" s="682"/>
      <c r="G31" s="682"/>
      <c r="H31" s="682"/>
      <c r="I31" s="1931"/>
      <c r="J31" s="1932"/>
      <c r="K31" s="1933"/>
      <c r="L31" s="1932"/>
      <c r="M31" s="1932"/>
      <c r="N31" s="1933"/>
      <c r="O31" s="1932"/>
      <c r="P31" s="672">
        <f>+SUM(I31:O31)</f>
        <v>0</v>
      </c>
      <c r="Q31" s="1929"/>
      <c r="R31" s="1930"/>
      <c r="S31" s="1929"/>
      <c r="T31" s="1930"/>
      <c r="U31" s="1930"/>
      <c r="V31" s="1929"/>
      <c r="W31" s="1930"/>
      <c r="X31" s="672">
        <f>+SUM(Q31:W31)</f>
        <v>0</v>
      </c>
      <c r="Y31" s="676"/>
      <c r="Z31" s="676"/>
      <c r="AA31" s="676"/>
      <c r="AB31" s="676"/>
      <c r="AC31" s="675"/>
      <c r="AD31" s="675"/>
    </row>
    <row r="32" spans="2:30" s="677" customFormat="1" ht="16.5" hidden="1" thickTop="1" thickBot="1">
      <c r="B32" s="686" t="s">
        <v>899</v>
      </c>
      <c r="C32" s="687"/>
      <c r="D32" s="688"/>
      <c r="E32" s="688"/>
      <c r="F32" s="688"/>
      <c r="G32" s="688"/>
      <c r="H32" s="682"/>
      <c r="I32" s="1904"/>
      <c r="J32" s="1905"/>
      <c r="K32" s="1904"/>
      <c r="L32" s="1906"/>
      <c r="M32" s="1905"/>
      <c r="N32" s="1904"/>
      <c r="O32" s="1905"/>
      <c r="P32" s="673"/>
      <c r="Q32" s="1904"/>
      <c r="R32" s="1905"/>
      <c r="S32" s="1904"/>
      <c r="T32" s="1906"/>
      <c r="U32" s="1905"/>
      <c r="V32" s="1904"/>
      <c r="W32" s="1905"/>
      <c r="X32" s="673"/>
      <c r="Y32" s="676"/>
      <c r="Z32" s="676"/>
      <c r="AA32" s="676"/>
      <c r="AB32" s="676"/>
      <c r="AC32" s="675"/>
      <c r="AD32" s="675"/>
    </row>
    <row r="33" spans="2:30" s="677" customFormat="1" ht="16.5" hidden="1" thickTop="1" thickBot="1">
      <c r="B33" s="686" t="s">
        <v>900</v>
      </c>
      <c r="C33" s="687"/>
      <c r="D33" s="688"/>
      <c r="E33" s="688"/>
      <c r="F33" s="688"/>
      <c r="G33" s="688"/>
      <c r="H33" s="682"/>
      <c r="I33" s="1904"/>
      <c r="J33" s="1905"/>
      <c r="K33" s="1904"/>
      <c r="L33" s="1906"/>
      <c r="M33" s="1905"/>
      <c r="N33" s="1904"/>
      <c r="O33" s="1905"/>
      <c r="P33" s="673"/>
      <c r="Q33" s="1904"/>
      <c r="R33" s="1905"/>
      <c r="S33" s="1904"/>
      <c r="T33" s="1906"/>
      <c r="U33" s="1905"/>
      <c r="V33" s="1904"/>
      <c r="W33" s="1905"/>
      <c r="X33" s="673"/>
      <c r="Y33" s="676"/>
      <c r="Z33" s="676"/>
      <c r="AA33" s="676"/>
      <c r="AB33" s="676"/>
      <c r="AC33" s="675"/>
      <c r="AD33" s="675"/>
    </row>
    <row r="34" spans="2:30" s="677" customFormat="1" ht="16.5" hidden="1" thickTop="1" thickBot="1">
      <c r="B34" s="686" t="s">
        <v>901</v>
      </c>
      <c r="C34" s="687"/>
      <c r="D34" s="688"/>
      <c r="E34" s="688"/>
      <c r="F34" s="688"/>
      <c r="G34" s="688"/>
      <c r="H34" s="682"/>
      <c r="I34" s="1904"/>
      <c r="J34" s="1905"/>
      <c r="K34" s="1904"/>
      <c r="L34" s="1906"/>
      <c r="M34" s="1905"/>
      <c r="N34" s="1904"/>
      <c r="O34" s="1905"/>
      <c r="P34" s="673"/>
      <c r="Q34" s="1904"/>
      <c r="R34" s="1905"/>
      <c r="S34" s="1904"/>
      <c r="T34" s="1906"/>
      <c r="U34" s="1905"/>
      <c r="V34" s="1904"/>
      <c r="W34" s="1905"/>
      <c r="X34" s="673"/>
      <c r="Y34" s="676"/>
      <c r="Z34" s="676"/>
      <c r="AA34" s="676"/>
      <c r="AB34" s="676"/>
      <c r="AC34" s="675"/>
      <c r="AD34" s="675"/>
    </row>
    <row r="35" spans="2:30" s="677" customFormat="1" ht="16.5" hidden="1" thickTop="1" thickBot="1">
      <c r="B35" s="686" t="s">
        <v>902</v>
      </c>
      <c r="C35" s="687"/>
      <c r="D35" s="688"/>
      <c r="E35" s="688"/>
      <c r="F35" s="688"/>
      <c r="G35" s="688"/>
      <c r="H35" s="682"/>
      <c r="I35" s="1904"/>
      <c r="J35" s="1905"/>
      <c r="K35" s="1904"/>
      <c r="L35" s="1906"/>
      <c r="M35" s="1905"/>
      <c r="N35" s="1904"/>
      <c r="O35" s="1905"/>
      <c r="P35" s="673"/>
      <c r="Q35" s="1904"/>
      <c r="R35" s="1905"/>
      <c r="S35" s="1904"/>
      <c r="T35" s="1906"/>
      <c r="U35" s="1905"/>
      <c r="V35" s="1904"/>
      <c r="W35" s="1905"/>
      <c r="X35" s="673"/>
      <c r="Y35" s="676"/>
      <c r="Z35" s="676"/>
      <c r="AA35" s="676"/>
      <c r="AB35" s="676"/>
      <c r="AC35" s="675"/>
      <c r="AD35" s="675"/>
    </row>
    <row r="36" spans="2:30" s="677" customFormat="1" ht="16.5" hidden="1" thickTop="1" thickBot="1">
      <c r="B36" s="689" t="str">
        <f>+IF($F$9="Inicial","5 años",IF($F$9="Primaria","3er grado",IF($F$9="Secundaria","3er grado",0)))</f>
        <v>5 años</v>
      </c>
      <c r="C36" s="681"/>
      <c r="D36" s="682"/>
      <c r="E36" s="682"/>
      <c r="F36" s="682"/>
      <c r="G36" s="682"/>
      <c r="H36" s="682"/>
      <c r="I36" s="1931"/>
      <c r="J36" s="1932"/>
      <c r="K36" s="1933"/>
      <c r="L36" s="1932"/>
      <c r="M36" s="1932"/>
      <c r="N36" s="1933"/>
      <c r="O36" s="1932"/>
      <c r="P36" s="672">
        <f>+SUM(I36:O36)</f>
        <v>0</v>
      </c>
      <c r="Q36" s="1929"/>
      <c r="R36" s="1930"/>
      <c r="S36" s="1929"/>
      <c r="T36" s="1930"/>
      <c r="U36" s="1930"/>
      <c r="V36" s="1929"/>
      <c r="W36" s="1930"/>
      <c r="X36" s="672">
        <f>+SUM(Q36:W36)</f>
        <v>0</v>
      </c>
      <c r="Y36" s="676"/>
      <c r="Z36" s="676"/>
      <c r="AA36" s="676"/>
      <c r="AB36" s="676"/>
      <c r="AC36" s="675"/>
      <c r="AD36" s="675"/>
    </row>
    <row r="37" spans="2:30" s="677" customFormat="1" ht="16.5" hidden="1" thickTop="1" thickBot="1">
      <c r="B37" s="686" t="s">
        <v>899</v>
      </c>
      <c r="C37" s="687"/>
      <c r="D37" s="688"/>
      <c r="E37" s="688"/>
      <c r="F37" s="688"/>
      <c r="G37" s="688"/>
      <c r="H37" s="682"/>
      <c r="I37" s="1904"/>
      <c r="J37" s="1905"/>
      <c r="K37" s="1904"/>
      <c r="L37" s="1906"/>
      <c r="M37" s="1905"/>
      <c r="N37" s="1904"/>
      <c r="O37" s="1905"/>
      <c r="P37" s="673"/>
      <c r="Q37" s="1904"/>
      <c r="R37" s="1905"/>
      <c r="S37" s="1904"/>
      <c r="T37" s="1906"/>
      <c r="U37" s="1905"/>
      <c r="V37" s="1904"/>
      <c r="W37" s="1905"/>
      <c r="X37" s="673"/>
      <c r="Y37" s="676"/>
      <c r="Z37" s="676"/>
      <c r="AA37" s="676"/>
      <c r="AB37" s="676"/>
      <c r="AC37" s="675"/>
      <c r="AD37" s="675"/>
    </row>
    <row r="38" spans="2:30" s="677" customFormat="1" ht="16.5" hidden="1" thickTop="1" thickBot="1">
      <c r="B38" s="686" t="s">
        <v>900</v>
      </c>
      <c r="C38" s="687"/>
      <c r="D38" s="688"/>
      <c r="E38" s="688"/>
      <c r="F38" s="688"/>
      <c r="G38" s="688"/>
      <c r="H38" s="682"/>
      <c r="I38" s="1904"/>
      <c r="J38" s="1905"/>
      <c r="K38" s="1904"/>
      <c r="L38" s="1906"/>
      <c r="M38" s="1905"/>
      <c r="N38" s="1904"/>
      <c r="O38" s="1905"/>
      <c r="P38" s="673"/>
      <c r="Q38" s="1904"/>
      <c r="R38" s="1905"/>
      <c r="S38" s="1904"/>
      <c r="T38" s="1906"/>
      <c r="U38" s="1905"/>
      <c r="V38" s="1904"/>
      <c r="W38" s="1905"/>
      <c r="X38" s="673"/>
      <c r="Y38" s="676"/>
      <c r="Z38" s="676"/>
      <c r="AA38" s="676"/>
      <c r="AB38" s="676"/>
      <c r="AC38" s="675"/>
      <c r="AD38" s="675"/>
    </row>
    <row r="39" spans="2:30" s="677" customFormat="1" ht="16.5" hidden="1" thickTop="1" thickBot="1">
      <c r="B39" s="686" t="s">
        <v>901</v>
      </c>
      <c r="C39" s="687"/>
      <c r="D39" s="688"/>
      <c r="E39" s="688"/>
      <c r="F39" s="688"/>
      <c r="G39" s="688"/>
      <c r="H39" s="682"/>
      <c r="I39" s="1904"/>
      <c r="J39" s="1905"/>
      <c r="K39" s="1904"/>
      <c r="L39" s="1906"/>
      <c r="M39" s="1905"/>
      <c r="N39" s="1904"/>
      <c r="O39" s="1905"/>
      <c r="P39" s="673"/>
      <c r="Q39" s="1904"/>
      <c r="R39" s="1905"/>
      <c r="S39" s="1904"/>
      <c r="T39" s="1906"/>
      <c r="U39" s="1905"/>
      <c r="V39" s="1904"/>
      <c r="W39" s="1905"/>
      <c r="X39" s="673"/>
      <c r="Y39" s="676"/>
      <c r="Z39" s="676"/>
      <c r="AA39" s="676"/>
      <c r="AB39" s="676"/>
      <c r="AC39" s="675"/>
      <c r="AD39" s="675"/>
    </row>
    <row r="40" spans="2:30" s="677" customFormat="1" ht="16.5" hidden="1" thickTop="1" thickBot="1">
      <c r="B40" s="686" t="s">
        <v>902</v>
      </c>
      <c r="C40" s="687"/>
      <c r="D40" s="688"/>
      <c r="E40" s="688"/>
      <c r="F40" s="688"/>
      <c r="G40" s="688"/>
      <c r="H40" s="682"/>
      <c r="I40" s="1904"/>
      <c r="J40" s="1905"/>
      <c r="K40" s="1904"/>
      <c r="L40" s="1906"/>
      <c r="M40" s="1905"/>
      <c r="N40" s="1904"/>
      <c r="O40" s="1905"/>
      <c r="P40" s="673"/>
      <c r="Q40" s="1904"/>
      <c r="R40" s="1905"/>
      <c r="S40" s="1904"/>
      <c r="T40" s="1906"/>
      <c r="U40" s="1905"/>
      <c r="V40" s="1904"/>
      <c r="W40" s="1905"/>
      <c r="X40" s="673"/>
      <c r="Y40" s="676"/>
      <c r="Z40" s="676"/>
      <c r="AA40" s="676"/>
      <c r="AB40" s="676"/>
      <c r="AC40" s="675"/>
      <c r="AD40" s="675"/>
    </row>
    <row r="41" spans="2:30" s="677" customFormat="1" ht="16.5" hidden="1" thickTop="1" thickBot="1">
      <c r="B41" s="689" t="str">
        <f>+IF($F$9="Inicial","No aplica",IF($F$9="Primaria","4to grado",IF($F$9="Secundaria","4to grado",0)))</f>
        <v>No aplica</v>
      </c>
      <c r="C41" s="681"/>
      <c r="D41" s="682"/>
      <c r="E41" s="682"/>
      <c r="F41" s="682"/>
      <c r="G41" s="682"/>
      <c r="H41" s="682"/>
      <c r="I41" s="1931"/>
      <c r="J41" s="1932"/>
      <c r="K41" s="1933"/>
      <c r="L41" s="1932"/>
      <c r="M41" s="1932"/>
      <c r="N41" s="1933"/>
      <c r="O41" s="1932"/>
      <c r="P41" s="672">
        <f>+SUM(I41:O41)</f>
        <v>0</v>
      </c>
      <c r="Q41" s="1929"/>
      <c r="R41" s="1930"/>
      <c r="S41" s="1929"/>
      <c r="T41" s="1930"/>
      <c r="U41" s="1930"/>
      <c r="V41" s="1929"/>
      <c r="W41" s="1930"/>
      <c r="X41" s="672">
        <f>+SUM(Q41:W41)</f>
        <v>0</v>
      </c>
      <c r="Y41" s="676"/>
      <c r="Z41" s="675"/>
      <c r="AA41" s="675"/>
      <c r="AB41" s="675"/>
      <c r="AC41" s="675"/>
      <c r="AD41" s="675"/>
    </row>
    <row r="42" spans="2:30" s="677" customFormat="1" ht="16.5" hidden="1" thickTop="1" thickBot="1">
      <c r="B42" s="686" t="s">
        <v>899</v>
      </c>
      <c r="C42" s="687"/>
      <c r="D42" s="688"/>
      <c r="E42" s="688"/>
      <c r="F42" s="688"/>
      <c r="G42" s="688"/>
      <c r="H42" s="682"/>
      <c r="I42" s="1904"/>
      <c r="J42" s="1905"/>
      <c r="K42" s="1904"/>
      <c r="L42" s="1906"/>
      <c r="M42" s="1905"/>
      <c r="N42" s="1904"/>
      <c r="O42" s="1905"/>
      <c r="P42" s="673"/>
      <c r="Q42" s="1904"/>
      <c r="R42" s="1905"/>
      <c r="S42" s="1904"/>
      <c r="T42" s="1906"/>
      <c r="U42" s="1905"/>
      <c r="V42" s="1904"/>
      <c r="W42" s="1905"/>
      <c r="X42" s="673"/>
      <c r="Y42" s="676"/>
      <c r="Z42" s="676"/>
      <c r="AA42" s="676"/>
      <c r="AB42" s="676"/>
      <c r="AC42" s="675"/>
      <c r="AD42" s="675"/>
    </row>
    <row r="43" spans="2:30" s="677" customFormat="1" ht="16.5" hidden="1" thickTop="1" thickBot="1">
      <c r="B43" s="686" t="s">
        <v>900</v>
      </c>
      <c r="C43" s="687"/>
      <c r="D43" s="688"/>
      <c r="E43" s="688"/>
      <c r="F43" s="688"/>
      <c r="G43" s="688"/>
      <c r="H43" s="682"/>
      <c r="I43" s="1904"/>
      <c r="J43" s="1905"/>
      <c r="K43" s="1904"/>
      <c r="L43" s="1906"/>
      <c r="M43" s="1905"/>
      <c r="N43" s="1904"/>
      <c r="O43" s="1905"/>
      <c r="P43" s="673"/>
      <c r="Q43" s="1904"/>
      <c r="R43" s="1905"/>
      <c r="S43" s="1904"/>
      <c r="T43" s="1906"/>
      <c r="U43" s="1905"/>
      <c r="V43" s="1904"/>
      <c r="W43" s="1905"/>
      <c r="X43" s="673"/>
      <c r="Y43" s="676"/>
      <c r="Z43" s="676"/>
      <c r="AA43" s="676"/>
      <c r="AB43" s="676"/>
      <c r="AC43" s="675"/>
      <c r="AD43" s="675"/>
    </row>
    <row r="44" spans="2:30" s="677" customFormat="1" ht="16.5" hidden="1" thickTop="1" thickBot="1">
      <c r="B44" s="686" t="s">
        <v>901</v>
      </c>
      <c r="C44" s="687"/>
      <c r="D44" s="688"/>
      <c r="E44" s="688"/>
      <c r="F44" s="688"/>
      <c r="G44" s="688"/>
      <c r="H44" s="682"/>
      <c r="I44" s="1904"/>
      <c r="J44" s="1905"/>
      <c r="K44" s="1904"/>
      <c r="L44" s="1906"/>
      <c r="M44" s="1905"/>
      <c r="N44" s="1904"/>
      <c r="O44" s="1905"/>
      <c r="P44" s="673"/>
      <c r="Q44" s="1904"/>
      <c r="R44" s="1905"/>
      <c r="S44" s="1904"/>
      <c r="T44" s="1906"/>
      <c r="U44" s="1905"/>
      <c r="V44" s="1904"/>
      <c r="W44" s="1905"/>
      <c r="X44" s="673"/>
      <c r="Y44" s="676"/>
      <c r="Z44" s="676"/>
      <c r="AA44" s="676"/>
      <c r="AB44" s="676"/>
      <c r="AC44" s="675"/>
      <c r="AD44" s="675"/>
    </row>
    <row r="45" spans="2:30" s="677" customFormat="1" ht="16.5" hidden="1" thickTop="1" thickBot="1">
      <c r="B45" s="686" t="s">
        <v>902</v>
      </c>
      <c r="C45" s="687"/>
      <c r="D45" s="688"/>
      <c r="E45" s="688"/>
      <c r="F45" s="688"/>
      <c r="G45" s="688"/>
      <c r="H45" s="682"/>
      <c r="I45" s="1904"/>
      <c r="J45" s="1905"/>
      <c r="K45" s="1904"/>
      <c r="L45" s="1906"/>
      <c r="M45" s="1905"/>
      <c r="N45" s="1904"/>
      <c r="O45" s="1905"/>
      <c r="P45" s="673"/>
      <c r="Q45" s="1904"/>
      <c r="R45" s="1905"/>
      <c r="S45" s="1904"/>
      <c r="T45" s="1906"/>
      <c r="U45" s="1905"/>
      <c r="V45" s="1904"/>
      <c r="W45" s="1905"/>
      <c r="X45" s="673"/>
      <c r="Y45" s="676"/>
      <c r="Z45" s="676"/>
      <c r="AA45" s="676"/>
      <c r="AB45" s="676"/>
      <c r="AC45" s="675"/>
      <c r="AD45" s="675"/>
    </row>
    <row r="46" spans="2:30" s="677" customFormat="1" ht="16.5" hidden="1" thickTop="1" thickBot="1">
      <c r="B46" s="689" t="str">
        <f>+IF($F$9="Inicial","No aplica",IF($F$9="Primaria","5to grado",IF($F$9="Secundaria","5to grado",0)))</f>
        <v>No aplica</v>
      </c>
      <c r="C46" s="681"/>
      <c r="D46" s="682"/>
      <c r="E46" s="682"/>
      <c r="F46" s="682"/>
      <c r="G46" s="682"/>
      <c r="H46" s="682"/>
      <c r="I46" s="1931"/>
      <c r="J46" s="1932"/>
      <c r="K46" s="1933"/>
      <c r="L46" s="1932"/>
      <c r="M46" s="1932"/>
      <c r="N46" s="1933"/>
      <c r="O46" s="1932"/>
      <c r="P46" s="672">
        <f>+SUM(I46:O46)</f>
        <v>0</v>
      </c>
      <c r="Q46" s="1929"/>
      <c r="R46" s="1930"/>
      <c r="S46" s="1929"/>
      <c r="T46" s="1930"/>
      <c r="U46" s="1930"/>
      <c r="V46" s="1929"/>
      <c r="W46" s="1930"/>
      <c r="X46" s="672">
        <f>+SUM(Q46:W46)</f>
        <v>0</v>
      </c>
      <c r="Y46" s="676"/>
      <c r="Z46" s="675"/>
      <c r="AA46" s="675"/>
      <c r="AB46" s="675"/>
      <c r="AC46" s="675"/>
      <c r="AD46" s="675"/>
    </row>
    <row r="47" spans="2:30" s="677" customFormat="1" ht="16.5" hidden="1" thickTop="1" thickBot="1">
      <c r="B47" s="686" t="s">
        <v>899</v>
      </c>
      <c r="C47" s="687"/>
      <c r="D47" s="688"/>
      <c r="E47" s="688"/>
      <c r="F47" s="688"/>
      <c r="G47" s="688"/>
      <c r="H47" s="682"/>
      <c r="I47" s="1904"/>
      <c r="J47" s="1905"/>
      <c r="K47" s="1904"/>
      <c r="L47" s="1906"/>
      <c r="M47" s="1905"/>
      <c r="N47" s="1904"/>
      <c r="O47" s="1905"/>
      <c r="P47" s="673"/>
      <c r="Q47" s="1904"/>
      <c r="R47" s="1905"/>
      <c r="S47" s="1904"/>
      <c r="T47" s="1906"/>
      <c r="U47" s="1905"/>
      <c r="V47" s="1904"/>
      <c r="W47" s="1905"/>
      <c r="X47" s="673"/>
      <c r="Y47" s="676"/>
      <c r="Z47" s="676"/>
      <c r="AA47" s="676"/>
      <c r="AB47" s="676"/>
      <c r="AC47" s="675"/>
      <c r="AD47" s="675"/>
    </row>
    <row r="48" spans="2:30" s="677" customFormat="1" ht="16.5" hidden="1" thickTop="1" thickBot="1">
      <c r="B48" s="686" t="s">
        <v>900</v>
      </c>
      <c r="C48" s="687"/>
      <c r="D48" s="688"/>
      <c r="E48" s="688"/>
      <c r="F48" s="688"/>
      <c r="G48" s="688"/>
      <c r="H48" s="682"/>
      <c r="I48" s="1904"/>
      <c r="J48" s="1905"/>
      <c r="K48" s="1904"/>
      <c r="L48" s="1906"/>
      <c r="M48" s="1905"/>
      <c r="N48" s="1904"/>
      <c r="O48" s="1905"/>
      <c r="P48" s="673"/>
      <c r="Q48" s="1904"/>
      <c r="R48" s="1905"/>
      <c r="S48" s="1904"/>
      <c r="T48" s="1906"/>
      <c r="U48" s="1905"/>
      <c r="V48" s="1904"/>
      <c r="W48" s="1905"/>
      <c r="X48" s="673"/>
      <c r="Y48" s="676"/>
      <c r="Z48" s="676"/>
      <c r="AA48" s="676"/>
      <c r="AB48" s="676"/>
      <c r="AC48" s="675"/>
      <c r="AD48" s="675"/>
    </row>
    <row r="49" spans="2:30" s="677" customFormat="1" ht="16.5" hidden="1" thickTop="1" thickBot="1">
      <c r="B49" s="686" t="s">
        <v>901</v>
      </c>
      <c r="C49" s="687"/>
      <c r="D49" s="688"/>
      <c r="E49" s="688"/>
      <c r="F49" s="688"/>
      <c r="G49" s="688"/>
      <c r="H49" s="682"/>
      <c r="I49" s="1904"/>
      <c r="J49" s="1905"/>
      <c r="K49" s="1904"/>
      <c r="L49" s="1906"/>
      <c r="M49" s="1905"/>
      <c r="N49" s="1904"/>
      <c r="O49" s="1905"/>
      <c r="P49" s="673"/>
      <c r="Q49" s="1904"/>
      <c r="R49" s="1905"/>
      <c r="S49" s="1904"/>
      <c r="T49" s="1906"/>
      <c r="U49" s="1905"/>
      <c r="V49" s="1904"/>
      <c r="W49" s="1905"/>
      <c r="X49" s="673"/>
      <c r="Y49" s="676"/>
      <c r="Z49" s="676"/>
      <c r="AA49" s="676"/>
      <c r="AB49" s="676"/>
      <c r="AC49" s="675"/>
      <c r="AD49" s="675"/>
    </row>
    <row r="50" spans="2:30" s="677" customFormat="1" ht="16.5" hidden="1" thickTop="1" thickBot="1">
      <c r="B50" s="686" t="s">
        <v>902</v>
      </c>
      <c r="C50" s="687"/>
      <c r="D50" s="688"/>
      <c r="E50" s="688"/>
      <c r="F50" s="688"/>
      <c r="G50" s="688"/>
      <c r="H50" s="682"/>
      <c r="I50" s="1904"/>
      <c r="J50" s="1905"/>
      <c r="K50" s="1904"/>
      <c r="L50" s="1906"/>
      <c r="M50" s="1905"/>
      <c r="N50" s="1904"/>
      <c r="O50" s="1905"/>
      <c r="P50" s="673"/>
      <c r="Q50" s="1904"/>
      <c r="R50" s="1905"/>
      <c r="S50" s="1904"/>
      <c r="T50" s="1906"/>
      <c r="U50" s="1905"/>
      <c r="V50" s="1904"/>
      <c r="W50" s="1905"/>
      <c r="X50" s="673"/>
      <c r="Y50" s="676"/>
      <c r="Z50" s="676"/>
      <c r="AA50" s="676"/>
      <c r="AB50" s="676"/>
      <c r="AC50" s="675"/>
      <c r="AD50" s="675"/>
    </row>
    <row r="51" spans="2:30" s="677" customFormat="1" ht="16.5" hidden="1" thickTop="1" thickBot="1">
      <c r="B51" s="689" t="str">
        <f>+IF($F$9="Inicial","No aplica",IF($F$9="Primaria","6to grado",IF($F$9="Secundaria","No aplica",0)))</f>
        <v>No aplica</v>
      </c>
      <c r="C51" s="681"/>
      <c r="D51" s="682"/>
      <c r="E51" s="682"/>
      <c r="F51" s="682"/>
      <c r="G51" s="682"/>
      <c r="H51" s="682"/>
      <c r="I51" s="1931"/>
      <c r="J51" s="1932"/>
      <c r="K51" s="1933"/>
      <c r="L51" s="1932"/>
      <c r="M51" s="1932"/>
      <c r="N51" s="1933"/>
      <c r="O51" s="1932"/>
      <c r="P51" s="672">
        <f>+SUM(I51:O51)</f>
        <v>0</v>
      </c>
      <c r="Q51" s="1929"/>
      <c r="R51" s="1930"/>
      <c r="S51" s="1929"/>
      <c r="T51" s="1930"/>
      <c r="U51" s="1930"/>
      <c r="V51" s="1929"/>
      <c r="W51" s="1930"/>
      <c r="X51" s="672">
        <f>+SUM(Q51:W51)</f>
        <v>0</v>
      </c>
      <c r="Y51" s="676"/>
      <c r="Z51" s="675"/>
      <c r="AA51" s="675"/>
      <c r="AB51" s="675"/>
      <c r="AC51" s="675"/>
      <c r="AD51" s="675"/>
    </row>
    <row r="52" spans="2:30" s="677" customFormat="1" ht="16.5" hidden="1" thickTop="1" thickBot="1">
      <c r="B52" s="686" t="s">
        <v>899</v>
      </c>
      <c r="C52" s="687"/>
      <c r="D52" s="688"/>
      <c r="E52" s="688"/>
      <c r="F52" s="688"/>
      <c r="G52" s="688"/>
      <c r="H52" s="682"/>
      <c r="I52" s="1904"/>
      <c r="J52" s="1905"/>
      <c r="K52" s="1904"/>
      <c r="L52" s="1906"/>
      <c r="M52" s="1905"/>
      <c r="N52" s="1904"/>
      <c r="O52" s="1905"/>
      <c r="P52" s="673"/>
      <c r="Q52" s="1904"/>
      <c r="R52" s="1905"/>
      <c r="S52" s="1904"/>
      <c r="T52" s="1906"/>
      <c r="U52" s="1905"/>
      <c r="V52" s="1904"/>
      <c r="W52" s="1905"/>
      <c r="X52" s="673"/>
      <c r="Y52" s="676"/>
      <c r="Z52" s="676"/>
      <c r="AA52" s="676"/>
      <c r="AB52" s="676"/>
      <c r="AC52" s="675"/>
      <c r="AD52" s="675"/>
    </row>
    <row r="53" spans="2:30" s="677" customFormat="1" ht="16.5" hidden="1" thickTop="1" thickBot="1">
      <c r="B53" s="686" t="s">
        <v>900</v>
      </c>
      <c r="C53" s="687"/>
      <c r="D53" s="688"/>
      <c r="E53" s="688"/>
      <c r="F53" s="688"/>
      <c r="G53" s="688"/>
      <c r="H53" s="682"/>
      <c r="I53" s="1904"/>
      <c r="J53" s="1905"/>
      <c r="K53" s="1904"/>
      <c r="L53" s="1906"/>
      <c r="M53" s="1905"/>
      <c r="N53" s="1904"/>
      <c r="O53" s="1905"/>
      <c r="P53" s="673"/>
      <c r="Q53" s="1904"/>
      <c r="R53" s="1905"/>
      <c r="S53" s="1904"/>
      <c r="T53" s="1906"/>
      <c r="U53" s="1905"/>
      <c r="V53" s="1904"/>
      <c r="W53" s="1905"/>
      <c r="X53" s="673"/>
      <c r="Y53" s="676"/>
      <c r="Z53" s="676"/>
      <c r="AA53" s="676"/>
      <c r="AB53" s="676"/>
      <c r="AC53" s="675"/>
      <c r="AD53" s="675"/>
    </row>
    <row r="54" spans="2:30" s="677" customFormat="1" ht="16.5" hidden="1" thickTop="1" thickBot="1">
      <c r="B54" s="686" t="s">
        <v>901</v>
      </c>
      <c r="C54" s="687"/>
      <c r="D54" s="688"/>
      <c r="E54" s="688"/>
      <c r="F54" s="688"/>
      <c r="G54" s="688"/>
      <c r="H54" s="682"/>
      <c r="I54" s="1904"/>
      <c r="J54" s="1905"/>
      <c r="K54" s="1904"/>
      <c r="L54" s="1906"/>
      <c r="M54" s="1905"/>
      <c r="N54" s="1904"/>
      <c r="O54" s="1905"/>
      <c r="P54" s="673"/>
      <c r="Q54" s="1904"/>
      <c r="R54" s="1905"/>
      <c r="S54" s="1904"/>
      <c r="T54" s="1906"/>
      <c r="U54" s="1905"/>
      <c r="V54" s="1904"/>
      <c r="W54" s="1905"/>
      <c r="X54" s="673"/>
      <c r="Y54" s="676"/>
      <c r="Z54" s="676"/>
      <c r="AA54" s="676"/>
      <c r="AB54" s="676"/>
      <c r="AC54" s="675"/>
      <c r="AD54" s="675"/>
    </row>
    <row r="55" spans="2:30" s="677" customFormat="1" ht="16.5" hidden="1" thickTop="1" thickBot="1">
      <c r="B55" s="686" t="s">
        <v>902</v>
      </c>
      <c r="C55" s="687"/>
      <c r="D55" s="688"/>
      <c r="E55" s="688"/>
      <c r="F55" s="688"/>
      <c r="G55" s="688"/>
      <c r="H55" s="682"/>
      <c r="I55" s="1904"/>
      <c r="J55" s="1905"/>
      <c r="K55" s="1904"/>
      <c r="L55" s="1906"/>
      <c r="M55" s="1905"/>
      <c r="N55" s="1904"/>
      <c r="O55" s="1905"/>
      <c r="P55" s="673"/>
      <c r="Q55" s="1904"/>
      <c r="R55" s="1905"/>
      <c r="S55" s="1904"/>
      <c r="T55" s="1906"/>
      <c r="U55" s="1905"/>
      <c r="V55" s="1904"/>
      <c r="W55" s="1905"/>
      <c r="X55" s="673"/>
      <c r="Y55" s="676"/>
      <c r="Z55" s="676"/>
      <c r="AA55" s="676"/>
      <c r="AB55" s="676"/>
      <c r="AC55" s="675"/>
      <c r="AD55" s="675"/>
    </row>
    <row r="56" spans="2:30" s="918" customFormat="1" ht="15.75" hidden="1" thickTop="1">
      <c r="B56" s="914"/>
      <c r="C56" s="915"/>
      <c r="D56" s="915"/>
      <c r="E56" s="915"/>
      <c r="F56" s="915"/>
      <c r="G56" s="915"/>
      <c r="H56" s="915"/>
      <c r="I56" s="916"/>
      <c r="J56" s="916"/>
      <c r="K56" s="916"/>
      <c r="L56" s="916"/>
      <c r="M56" s="916"/>
      <c r="N56" s="916"/>
      <c r="O56" s="916"/>
      <c r="P56" s="917"/>
      <c r="Q56" s="916"/>
      <c r="R56" s="916"/>
      <c r="S56" s="916"/>
      <c r="T56" s="916"/>
      <c r="U56" s="916"/>
      <c r="V56" s="916"/>
      <c r="W56" s="916"/>
      <c r="X56" s="917"/>
      <c r="Y56" s="696"/>
      <c r="Z56" s="696"/>
      <c r="AA56" s="696"/>
      <c r="AB56" s="696"/>
      <c r="AC56" s="695"/>
      <c r="AD56" s="695"/>
    </row>
    <row r="57" spans="2:30" s="677" customFormat="1" ht="15" hidden="1" thickBot="1">
      <c r="B57" s="919" t="s">
        <v>929</v>
      </c>
      <c r="L57" s="919" t="s">
        <v>930</v>
      </c>
      <c r="AB57" s="679"/>
    </row>
    <row r="58" spans="2:30" ht="78" hidden="1" customHeight="1" thickTop="1" thickBot="1">
      <c r="B58" s="690" t="str">
        <f>+UPPER(B25)</f>
        <v>EDAD</v>
      </c>
      <c r="C58" s="1923" t="s">
        <v>903</v>
      </c>
      <c r="D58" s="1923"/>
      <c r="E58" s="1923" t="s">
        <v>904</v>
      </c>
      <c r="F58" s="1923"/>
      <c r="G58" s="1923" t="str">
        <f>+IF($F$9="Inicial",UPPER("Módulos en buen estado"),"CARPETAS UNIPERSONALES EN BUEN ESTADO")</f>
        <v>MÓDULOS EN BUEN ESTADO</v>
      </c>
      <c r="H58" s="1923"/>
      <c r="I58" s="1923" t="str">
        <f>+IF($F$9="Inicial",UPPER("No aplica"),"CARPETAS BIPERSONALES EN BUEN ESTADO")</f>
        <v>NO APLICA</v>
      </c>
      <c r="J58" s="1923"/>
      <c r="L58" s="1918" t="str">
        <f>+UPPER(B25)</f>
        <v>EDAD</v>
      </c>
      <c r="M58" s="1919"/>
      <c r="N58" s="1923" t="s">
        <v>905</v>
      </c>
      <c r="O58" s="1923"/>
      <c r="P58" s="1923" t="s">
        <v>906</v>
      </c>
      <c r="Q58" s="1923"/>
      <c r="R58" s="1926" t="s">
        <v>907</v>
      </c>
      <c r="S58" s="1927"/>
      <c r="T58" s="1928"/>
      <c r="U58" s="1923" t="s">
        <v>908</v>
      </c>
      <c r="V58" s="1923"/>
      <c r="W58" s="1923" t="str">
        <f>+IF($F$9="Inicial",UPPER("Módulos optimizados"),"CARPETAS UNIPERSONALES OPTIMIZADAS")</f>
        <v>MÓDULOS OPTIMIZADOS</v>
      </c>
      <c r="X58" s="1923"/>
      <c r="Y58" s="1923" t="str">
        <f>+IF($F$9="Inicial",UPPER("No aplica"),"CARPETAS BIPERSONALES OPTIMIZADAS")</f>
        <v>NO APLICA</v>
      </c>
      <c r="Z58" s="1923"/>
      <c r="AA58" s="691" t="s">
        <v>909</v>
      </c>
      <c r="AB58" s="675"/>
    </row>
    <row r="59" spans="2:30" ht="29.25" hidden="1" customHeight="1" thickTop="1" thickBot="1">
      <c r="B59" s="690" t="str">
        <f>+B26</f>
        <v>3 años</v>
      </c>
      <c r="C59" s="1924"/>
      <c r="D59" s="1925"/>
      <c r="E59" s="1925"/>
      <c r="F59" s="1925"/>
      <c r="G59" s="1925"/>
      <c r="H59" s="1925"/>
      <c r="I59" s="1925"/>
      <c r="J59" s="1925"/>
      <c r="L59" s="1918" t="str">
        <f>+B26</f>
        <v>3 años</v>
      </c>
      <c r="M59" s="1919"/>
      <c r="N59" s="1924"/>
      <c r="O59" s="1925"/>
      <c r="P59" s="1924"/>
      <c r="Q59" s="1925"/>
      <c r="R59" s="1920"/>
      <c r="S59" s="1921"/>
      <c r="T59" s="1922"/>
      <c r="U59" s="1925"/>
      <c r="V59" s="1925"/>
      <c r="W59" s="1925"/>
      <c r="X59" s="1925"/>
      <c r="Y59" s="1925"/>
      <c r="Z59" s="1925"/>
      <c r="AA59" s="692"/>
      <c r="AB59" s="675"/>
      <c r="AC59" s="924" t="s">
        <v>1275</v>
      </c>
    </row>
    <row r="60" spans="2:30" ht="29.25" hidden="1" customHeight="1" thickTop="1" thickBot="1">
      <c r="B60" s="690" t="str">
        <f>+B31</f>
        <v>4 años</v>
      </c>
      <c r="C60" s="1917"/>
      <c r="D60" s="1909"/>
      <c r="E60" s="1909"/>
      <c r="F60" s="1909"/>
      <c r="G60" s="1909"/>
      <c r="H60" s="1909"/>
      <c r="I60" s="1909"/>
      <c r="J60" s="1909"/>
      <c r="L60" s="1918" t="str">
        <f>+B31</f>
        <v>4 años</v>
      </c>
      <c r="M60" s="1919"/>
      <c r="N60" s="1917"/>
      <c r="O60" s="1909"/>
      <c r="P60" s="1917"/>
      <c r="Q60" s="1909"/>
      <c r="R60" s="1920"/>
      <c r="S60" s="1921"/>
      <c r="T60" s="1922"/>
      <c r="U60" s="1909"/>
      <c r="V60" s="1909"/>
      <c r="W60" s="1909"/>
      <c r="X60" s="1909"/>
      <c r="Y60" s="1909"/>
      <c r="Z60" s="1909"/>
      <c r="AA60" s="920"/>
      <c r="AB60" s="675"/>
    </row>
    <row r="61" spans="2:30" ht="29.25" hidden="1" customHeight="1" thickTop="1" thickBot="1">
      <c r="B61" s="690" t="str">
        <f>+B36</f>
        <v>5 años</v>
      </c>
      <c r="C61" s="1917"/>
      <c r="D61" s="1909"/>
      <c r="E61" s="1909"/>
      <c r="F61" s="1909"/>
      <c r="G61" s="1909"/>
      <c r="H61" s="1909"/>
      <c r="I61" s="1909"/>
      <c r="J61" s="1909"/>
      <c r="L61" s="1918" t="str">
        <f>+B36</f>
        <v>5 años</v>
      </c>
      <c r="M61" s="1919"/>
      <c r="N61" s="1917"/>
      <c r="O61" s="1909"/>
      <c r="P61" s="1917"/>
      <c r="Q61" s="1909"/>
      <c r="R61" s="1920"/>
      <c r="S61" s="1921"/>
      <c r="T61" s="1922"/>
      <c r="U61" s="1909"/>
      <c r="V61" s="1909"/>
      <c r="W61" s="1909"/>
      <c r="X61" s="1909"/>
      <c r="Y61" s="1909"/>
      <c r="Z61" s="1909"/>
      <c r="AA61" s="920"/>
      <c r="AB61" s="675"/>
    </row>
    <row r="62" spans="2:30" ht="29.25" hidden="1" customHeight="1" thickTop="1" thickBot="1">
      <c r="B62" s="690" t="str">
        <f>+B41</f>
        <v>No aplica</v>
      </c>
      <c r="C62" s="1917"/>
      <c r="D62" s="1909"/>
      <c r="E62" s="1909"/>
      <c r="F62" s="1909"/>
      <c r="G62" s="1909"/>
      <c r="H62" s="1909"/>
      <c r="I62" s="1909"/>
      <c r="J62" s="1909"/>
      <c r="L62" s="1918" t="str">
        <f>+B41</f>
        <v>No aplica</v>
      </c>
      <c r="M62" s="1919"/>
      <c r="N62" s="1917"/>
      <c r="O62" s="1909"/>
      <c r="P62" s="1917"/>
      <c r="Q62" s="1909"/>
      <c r="R62" s="1920"/>
      <c r="S62" s="1921"/>
      <c r="T62" s="1922"/>
      <c r="U62" s="1909"/>
      <c r="V62" s="1909"/>
      <c r="W62" s="1909"/>
      <c r="X62" s="1909"/>
      <c r="Y62" s="1909"/>
      <c r="Z62" s="1909"/>
      <c r="AA62" s="920"/>
      <c r="AB62" s="675"/>
    </row>
    <row r="63" spans="2:30" ht="29.25" hidden="1" customHeight="1" thickTop="1" thickBot="1">
      <c r="B63" s="690" t="str">
        <f>+B46</f>
        <v>No aplica</v>
      </c>
      <c r="C63" s="1917"/>
      <c r="D63" s="1909"/>
      <c r="E63" s="1909"/>
      <c r="F63" s="1909"/>
      <c r="G63" s="1909"/>
      <c r="H63" s="1909"/>
      <c r="I63" s="1909"/>
      <c r="J63" s="1909"/>
      <c r="L63" s="1918" t="str">
        <f>+B46</f>
        <v>No aplica</v>
      </c>
      <c r="M63" s="1919"/>
      <c r="N63" s="1917"/>
      <c r="O63" s="1909"/>
      <c r="P63" s="1917"/>
      <c r="Q63" s="1909"/>
      <c r="R63" s="1920"/>
      <c r="S63" s="1921"/>
      <c r="T63" s="1922"/>
      <c r="U63" s="1909"/>
      <c r="V63" s="1909"/>
      <c r="W63" s="1909"/>
      <c r="X63" s="1909"/>
      <c r="Y63" s="1909"/>
      <c r="Z63" s="1909"/>
      <c r="AA63" s="920"/>
      <c r="AB63" s="675"/>
    </row>
    <row r="64" spans="2:30" ht="29.25" hidden="1" customHeight="1" thickTop="1" thickBot="1">
      <c r="B64" s="690" t="str">
        <f>+B51</f>
        <v>No aplica</v>
      </c>
      <c r="C64" s="1917"/>
      <c r="D64" s="1909"/>
      <c r="E64" s="1909"/>
      <c r="F64" s="1909"/>
      <c r="G64" s="1909"/>
      <c r="H64" s="1909"/>
      <c r="I64" s="1909"/>
      <c r="J64" s="1909"/>
      <c r="L64" s="1918" t="str">
        <f>+B51</f>
        <v>No aplica</v>
      </c>
      <c r="M64" s="1919"/>
      <c r="N64" s="1917"/>
      <c r="O64" s="1909"/>
      <c r="P64" s="1917"/>
      <c r="Q64" s="1909"/>
      <c r="R64" s="1920"/>
      <c r="S64" s="1921"/>
      <c r="T64" s="1922"/>
      <c r="U64" s="1909"/>
      <c r="V64" s="1909"/>
      <c r="W64" s="1909"/>
      <c r="X64" s="1909"/>
      <c r="Y64" s="1909"/>
      <c r="Z64" s="1909"/>
      <c r="AA64" s="920"/>
      <c r="AB64" s="675"/>
    </row>
    <row r="65" spans="2:28" s="677" customFormat="1" ht="15" hidden="1" thickTop="1">
      <c r="AB65" s="679"/>
    </row>
    <row r="66" spans="2:28" s="677" customFormat="1" hidden="1">
      <c r="AB66" s="679"/>
    </row>
    <row r="67" spans="2:28" s="677" customFormat="1" hidden="1">
      <c r="AB67" s="679"/>
    </row>
    <row r="68" spans="2:28" s="677" customFormat="1" hidden="1">
      <c r="AB68" s="679"/>
    </row>
    <row r="69" spans="2:28" s="677" customFormat="1" hidden="1">
      <c r="AB69" s="679"/>
    </row>
    <row r="70" spans="2:28" s="677" customFormat="1" hidden="1">
      <c r="AB70" s="679"/>
    </row>
    <row r="71" spans="2:28" s="677" customFormat="1" hidden="1">
      <c r="AB71" s="679"/>
    </row>
    <row r="72" spans="2:28" s="677" customFormat="1" hidden="1">
      <c r="AB72" s="679"/>
    </row>
    <row r="73" spans="2:28" ht="19.5" hidden="1" thickBot="1">
      <c r="B73" s="671" t="s">
        <v>922</v>
      </c>
      <c r="C73" s="671"/>
      <c r="D73" s="671"/>
      <c r="E73" s="671"/>
      <c r="F73" s="671"/>
      <c r="G73" s="671"/>
      <c r="H73" s="671"/>
      <c r="I73" s="671"/>
    </row>
    <row r="74" spans="2:28" ht="15.75" hidden="1" thickTop="1" thickBot="1"/>
    <row r="75" spans="2:28" ht="15" hidden="1" outlineLevel="1" thickBot="1">
      <c r="B75" s="1913" t="s">
        <v>1278</v>
      </c>
      <c r="C75" s="1914"/>
      <c r="D75" s="1914"/>
      <c r="E75" s="1914"/>
      <c r="F75" s="1914"/>
      <c r="G75" s="1914"/>
      <c r="H75" s="1914"/>
      <c r="I75" s="1914"/>
      <c r="J75" s="1914"/>
      <c r="K75" s="1914"/>
      <c r="L75" s="1914"/>
      <c r="M75" s="1915"/>
      <c r="AB75" s="675"/>
    </row>
    <row r="76" spans="2:28" s="697" customFormat="1" ht="28.5" hidden="1" customHeight="1" outlineLevel="1" thickBot="1">
      <c r="B76" s="698" t="str">
        <f>+UPPER(B25)</f>
        <v>EDAD</v>
      </c>
      <c r="C76" s="699">
        <f>+I21</f>
        <v>0</v>
      </c>
      <c r="D76" s="699">
        <f>+C76+1</f>
        <v>1</v>
      </c>
      <c r="E76" s="699">
        <f t="shared" ref="E76:L76" si="0">+D76+1</f>
        <v>2</v>
      </c>
      <c r="F76" s="699">
        <f t="shared" si="0"/>
        <v>3</v>
      </c>
      <c r="G76" s="699">
        <f t="shared" si="0"/>
        <v>4</v>
      </c>
      <c r="H76" s="699">
        <f t="shared" si="0"/>
        <v>5</v>
      </c>
      <c r="I76" s="699">
        <f t="shared" si="0"/>
        <v>6</v>
      </c>
      <c r="J76" s="699">
        <f t="shared" si="0"/>
        <v>7</v>
      </c>
      <c r="K76" s="699">
        <f t="shared" si="0"/>
        <v>8</v>
      </c>
      <c r="L76" s="699">
        <f t="shared" si="0"/>
        <v>9</v>
      </c>
      <c r="M76" s="700">
        <f>+L76+1</f>
        <v>10</v>
      </c>
      <c r="N76" s="685"/>
    </row>
    <row r="77" spans="2:28" ht="15" hidden="1" outlineLevel="1" thickBot="1">
      <c r="B77" s="701" t="str">
        <f t="shared" ref="B77:B82" si="1">+B13</f>
        <v>Población de 3 años</v>
      </c>
      <c r="C77" s="702" t="e">
        <f t="shared" ref="C77:M77" si="2">+ROUND($E$13*(1+IF((($E$13/$D$13)^(1/14)-1)&gt;0,MIN((($E$13/$D$13)^(1/14)-1),(($E$19/$D$19)^(1/14)-1)),0))^(C$76-$E$12),0)</f>
        <v>#DIV/0!</v>
      </c>
      <c r="D77" s="702" t="e">
        <f t="shared" si="2"/>
        <v>#DIV/0!</v>
      </c>
      <c r="E77" s="702" t="e">
        <f t="shared" si="2"/>
        <v>#DIV/0!</v>
      </c>
      <c r="F77" s="702" t="e">
        <f t="shared" si="2"/>
        <v>#DIV/0!</v>
      </c>
      <c r="G77" s="702" t="e">
        <f t="shared" si="2"/>
        <v>#DIV/0!</v>
      </c>
      <c r="H77" s="702" t="e">
        <f t="shared" si="2"/>
        <v>#DIV/0!</v>
      </c>
      <c r="I77" s="702" t="e">
        <f t="shared" si="2"/>
        <v>#DIV/0!</v>
      </c>
      <c r="J77" s="702" t="e">
        <f t="shared" si="2"/>
        <v>#DIV/0!</v>
      </c>
      <c r="K77" s="702" t="e">
        <f t="shared" si="2"/>
        <v>#DIV/0!</v>
      </c>
      <c r="L77" s="702" t="e">
        <f t="shared" si="2"/>
        <v>#DIV/0!</v>
      </c>
      <c r="M77" s="702" t="e">
        <f t="shared" si="2"/>
        <v>#DIV/0!</v>
      </c>
      <c r="AB77" s="675"/>
    </row>
    <row r="78" spans="2:28" ht="15" hidden="1" outlineLevel="1" thickBot="1">
      <c r="B78" s="701" t="str">
        <f t="shared" si="1"/>
        <v>Población de 4 años</v>
      </c>
      <c r="C78" s="702" t="e">
        <f t="shared" ref="C78:M78" si="3">+ROUND($E$14*(1+IF((($E$14/$D$14)^(1/14)-1)&gt;0,MIN((($E$14/$D$14)^(1/14)-1),(($E$19/$D$19)^(1/14)-1)),0))^(C$76-$E$12),0)</f>
        <v>#DIV/0!</v>
      </c>
      <c r="D78" s="702" t="e">
        <f t="shared" si="3"/>
        <v>#DIV/0!</v>
      </c>
      <c r="E78" s="702" t="e">
        <f t="shared" si="3"/>
        <v>#DIV/0!</v>
      </c>
      <c r="F78" s="702" t="e">
        <f t="shared" si="3"/>
        <v>#DIV/0!</v>
      </c>
      <c r="G78" s="702" t="e">
        <f t="shared" si="3"/>
        <v>#DIV/0!</v>
      </c>
      <c r="H78" s="702" t="e">
        <f t="shared" si="3"/>
        <v>#DIV/0!</v>
      </c>
      <c r="I78" s="702" t="e">
        <f t="shared" si="3"/>
        <v>#DIV/0!</v>
      </c>
      <c r="J78" s="702" t="e">
        <f t="shared" si="3"/>
        <v>#DIV/0!</v>
      </c>
      <c r="K78" s="702" t="e">
        <f t="shared" si="3"/>
        <v>#DIV/0!</v>
      </c>
      <c r="L78" s="702" t="e">
        <f t="shared" si="3"/>
        <v>#DIV/0!</v>
      </c>
      <c r="M78" s="702" t="e">
        <f t="shared" si="3"/>
        <v>#DIV/0!</v>
      </c>
      <c r="AB78" s="675"/>
    </row>
    <row r="79" spans="2:28" ht="15" hidden="1" outlineLevel="1" thickBot="1">
      <c r="B79" s="701" t="str">
        <f t="shared" si="1"/>
        <v>Población de 5 años</v>
      </c>
      <c r="C79" s="702" t="e">
        <f t="shared" ref="C79:M79" si="4">+ROUND($E$15*(1+IF((($E$15/$D$15)^(1/14)-1)&gt;0,MIN((($E$15/$D$15)^(1/14)-1),(($E$19/$D$19)^(1/14)-1)),0))^(C$76-$E$12),0)</f>
        <v>#DIV/0!</v>
      </c>
      <c r="D79" s="702" t="e">
        <f t="shared" si="4"/>
        <v>#DIV/0!</v>
      </c>
      <c r="E79" s="702" t="e">
        <f t="shared" si="4"/>
        <v>#DIV/0!</v>
      </c>
      <c r="F79" s="702" t="e">
        <f t="shared" si="4"/>
        <v>#DIV/0!</v>
      </c>
      <c r="G79" s="702" t="e">
        <f t="shared" si="4"/>
        <v>#DIV/0!</v>
      </c>
      <c r="H79" s="702" t="e">
        <f t="shared" si="4"/>
        <v>#DIV/0!</v>
      </c>
      <c r="I79" s="702" t="e">
        <f t="shared" si="4"/>
        <v>#DIV/0!</v>
      </c>
      <c r="J79" s="702" t="e">
        <f t="shared" si="4"/>
        <v>#DIV/0!</v>
      </c>
      <c r="K79" s="702" t="e">
        <f t="shared" si="4"/>
        <v>#DIV/0!</v>
      </c>
      <c r="L79" s="702" t="e">
        <f t="shared" si="4"/>
        <v>#DIV/0!</v>
      </c>
      <c r="M79" s="702" t="e">
        <f t="shared" si="4"/>
        <v>#DIV/0!</v>
      </c>
      <c r="AB79" s="675"/>
    </row>
    <row r="80" spans="2:28" ht="15" hidden="1" outlineLevel="1" thickBot="1">
      <c r="B80" s="701" t="str">
        <f t="shared" si="1"/>
        <v>No aplica</v>
      </c>
      <c r="C80" s="702" t="e">
        <f t="shared" ref="C80:M80" si="5">+ROUND($E$16*(1+IF((($E$16/$D$16)^(1/14)-1)&gt;0,MIN((($E$16/$D$16)^(1/14)-1),(($E$19/$D$19)^(1/14)-1)),0))^(C$76-$E$12),0)</f>
        <v>#DIV/0!</v>
      </c>
      <c r="D80" s="702" t="e">
        <f t="shared" si="5"/>
        <v>#DIV/0!</v>
      </c>
      <c r="E80" s="702" t="e">
        <f t="shared" si="5"/>
        <v>#DIV/0!</v>
      </c>
      <c r="F80" s="702" t="e">
        <f t="shared" si="5"/>
        <v>#DIV/0!</v>
      </c>
      <c r="G80" s="702" t="e">
        <f t="shared" si="5"/>
        <v>#DIV/0!</v>
      </c>
      <c r="H80" s="702" t="e">
        <f t="shared" si="5"/>
        <v>#DIV/0!</v>
      </c>
      <c r="I80" s="702" t="e">
        <f t="shared" si="5"/>
        <v>#DIV/0!</v>
      </c>
      <c r="J80" s="702" t="e">
        <f t="shared" si="5"/>
        <v>#DIV/0!</v>
      </c>
      <c r="K80" s="702" t="e">
        <f t="shared" si="5"/>
        <v>#DIV/0!</v>
      </c>
      <c r="L80" s="702" t="e">
        <f t="shared" si="5"/>
        <v>#DIV/0!</v>
      </c>
      <c r="M80" s="702" t="e">
        <f t="shared" si="5"/>
        <v>#DIV/0!</v>
      </c>
      <c r="AB80" s="675"/>
    </row>
    <row r="81" spans="2:28" ht="15" hidden="1" outlineLevel="1" thickBot="1">
      <c r="B81" s="701" t="str">
        <f t="shared" si="1"/>
        <v>No aplica</v>
      </c>
      <c r="C81" s="702" t="e">
        <f t="shared" ref="C81:M81" si="6">+ROUND($E$17*(1+IF((($E$17/$D$17)^(1/14)-1)&gt;0,MIN((($E$17/$D$17)^(1/14)-1),(($E$19/$D$19)^(1/14)-1)),0))^(C$76-$E$12),0)</f>
        <v>#DIV/0!</v>
      </c>
      <c r="D81" s="702" t="e">
        <f t="shared" si="6"/>
        <v>#DIV/0!</v>
      </c>
      <c r="E81" s="702" t="e">
        <f t="shared" si="6"/>
        <v>#DIV/0!</v>
      </c>
      <c r="F81" s="702" t="e">
        <f t="shared" si="6"/>
        <v>#DIV/0!</v>
      </c>
      <c r="G81" s="702" t="e">
        <f t="shared" si="6"/>
        <v>#DIV/0!</v>
      </c>
      <c r="H81" s="702" t="e">
        <f t="shared" si="6"/>
        <v>#DIV/0!</v>
      </c>
      <c r="I81" s="702" t="e">
        <f t="shared" si="6"/>
        <v>#DIV/0!</v>
      </c>
      <c r="J81" s="702" t="e">
        <f t="shared" si="6"/>
        <v>#DIV/0!</v>
      </c>
      <c r="K81" s="702" t="e">
        <f t="shared" si="6"/>
        <v>#DIV/0!</v>
      </c>
      <c r="L81" s="702" t="e">
        <f t="shared" si="6"/>
        <v>#DIV/0!</v>
      </c>
      <c r="M81" s="702" t="e">
        <f t="shared" si="6"/>
        <v>#DIV/0!</v>
      </c>
      <c r="AB81" s="675"/>
    </row>
    <row r="82" spans="2:28" ht="15" hidden="1" outlineLevel="1" thickBot="1">
      <c r="B82" s="701" t="str">
        <f t="shared" si="1"/>
        <v>No aplica</v>
      </c>
      <c r="C82" s="702" t="e">
        <f t="shared" ref="C82:M82" si="7">+ROUND($E$18*(1+IF((($E$18/$D$18)^(1/14)-1)&gt;0,MIN((($E$18/$D$18)^(1/14)-1),(($E$19/$D$19)^(1/14)-1)),0))^(C$76-$E$12),0)</f>
        <v>#DIV/0!</v>
      </c>
      <c r="D82" s="702" t="e">
        <f t="shared" si="7"/>
        <v>#DIV/0!</v>
      </c>
      <c r="E82" s="702" t="e">
        <f t="shared" si="7"/>
        <v>#DIV/0!</v>
      </c>
      <c r="F82" s="702" t="e">
        <f t="shared" si="7"/>
        <v>#DIV/0!</v>
      </c>
      <c r="G82" s="702" t="e">
        <f t="shared" si="7"/>
        <v>#DIV/0!</v>
      </c>
      <c r="H82" s="702" t="e">
        <f t="shared" si="7"/>
        <v>#DIV/0!</v>
      </c>
      <c r="I82" s="702" t="e">
        <f t="shared" si="7"/>
        <v>#DIV/0!</v>
      </c>
      <c r="J82" s="702" t="e">
        <f t="shared" si="7"/>
        <v>#DIV/0!</v>
      </c>
      <c r="K82" s="702" t="e">
        <f t="shared" si="7"/>
        <v>#DIV/0!</v>
      </c>
      <c r="L82" s="702" t="e">
        <f t="shared" si="7"/>
        <v>#DIV/0!</v>
      </c>
      <c r="M82" s="702" t="e">
        <f t="shared" si="7"/>
        <v>#DIV/0!</v>
      </c>
      <c r="AB82" s="675"/>
    </row>
    <row r="83" spans="2:28" ht="15" hidden="1" outlineLevel="1" thickBot="1">
      <c r="B83" s="703" t="s">
        <v>76</v>
      </c>
      <c r="C83" s="704">
        <f t="array" ref="C83">SUM(IFERROR(C77:C82, ""))</f>
        <v>0</v>
      </c>
      <c r="D83" s="704">
        <f t="array" ref="D83">SUM(IFERROR(D77:D82, ""))</f>
        <v>0</v>
      </c>
      <c r="E83" s="704">
        <f t="array" ref="E83">SUM(IFERROR(E77:E82, ""))</f>
        <v>0</v>
      </c>
      <c r="F83" s="704">
        <f t="array" ref="F83">SUM(IFERROR(F77:F82, ""))</f>
        <v>0</v>
      </c>
      <c r="G83" s="704">
        <f t="array" ref="G83">SUM(IFERROR(G77:G82, ""))</f>
        <v>0</v>
      </c>
      <c r="H83" s="704">
        <f t="array" ref="H83">SUM(IFERROR(H77:H82, ""))</f>
        <v>0</v>
      </c>
      <c r="I83" s="704">
        <f t="array" ref="I83">SUM(IFERROR(I77:I82, ""))</f>
        <v>0</v>
      </c>
      <c r="J83" s="704">
        <f t="array" ref="J83">SUM(IFERROR(J77:J82, ""))</f>
        <v>0</v>
      </c>
      <c r="K83" s="704">
        <f t="array" ref="K83">SUM(IFERROR(K77:K82, ""))</f>
        <v>0</v>
      </c>
      <c r="L83" s="704">
        <f t="array" ref="L83">SUM(IFERROR(L77:L82, ""))</f>
        <v>0</v>
      </c>
      <c r="M83" s="704">
        <f t="array" ref="M83">SUM(IFERROR(M77:M82, ""))</f>
        <v>0</v>
      </c>
      <c r="AB83" s="675"/>
    </row>
    <row r="84" spans="2:28" hidden="1" outlineLevel="1">
      <c r="AB84" s="675"/>
    </row>
    <row r="85" spans="2:28" ht="15" hidden="1" outlineLevel="1" thickBot="1">
      <c r="AB85" s="675"/>
    </row>
    <row r="86" spans="2:28" ht="15" hidden="1" outlineLevel="1" thickBot="1">
      <c r="B86" s="1913" t="s">
        <v>1279</v>
      </c>
      <c r="C86" s="1914"/>
      <c r="D86" s="1914"/>
      <c r="E86" s="1914"/>
      <c r="F86" s="1914"/>
      <c r="G86" s="1914"/>
      <c r="H86" s="1914"/>
      <c r="I86" s="1914"/>
      <c r="J86" s="1914"/>
      <c r="K86" s="1914"/>
      <c r="L86" s="1914"/>
      <c r="M86" s="1915"/>
      <c r="N86" s="706" t="s">
        <v>923</v>
      </c>
      <c r="O86" s="1913" t="s">
        <v>1280</v>
      </c>
      <c r="P86" s="1914"/>
      <c r="Q86" s="1914"/>
      <c r="R86" s="1914"/>
      <c r="S86" s="1914"/>
      <c r="T86" s="1914"/>
      <c r="U86" s="1914"/>
      <c r="V86" s="1914"/>
      <c r="W86" s="1914"/>
      <c r="X86" s="1914"/>
      <c r="Y86" s="1915"/>
      <c r="AB86" s="675"/>
    </row>
    <row r="87" spans="2:28" ht="15" hidden="1" outlineLevel="1" thickBot="1">
      <c r="B87" s="698" t="str">
        <f>+UPPER(B25)</f>
        <v>EDAD</v>
      </c>
      <c r="C87" s="699">
        <f>+C76</f>
        <v>0</v>
      </c>
      <c r="D87" s="699">
        <f>+C87+1</f>
        <v>1</v>
      </c>
      <c r="E87" s="699">
        <f t="shared" ref="E87:L87" si="8">+D87+1</f>
        <v>2</v>
      </c>
      <c r="F87" s="699">
        <f t="shared" si="8"/>
        <v>3</v>
      </c>
      <c r="G87" s="699">
        <f t="shared" si="8"/>
        <v>4</v>
      </c>
      <c r="H87" s="699">
        <f t="shared" si="8"/>
        <v>5</v>
      </c>
      <c r="I87" s="699">
        <f t="shared" si="8"/>
        <v>6</v>
      </c>
      <c r="J87" s="699">
        <f t="shared" si="8"/>
        <v>7</v>
      </c>
      <c r="K87" s="699">
        <f t="shared" si="8"/>
        <v>8</v>
      </c>
      <c r="L87" s="699">
        <f t="shared" si="8"/>
        <v>9</v>
      </c>
      <c r="M87" s="699">
        <f>+L87+1</f>
        <v>10</v>
      </c>
      <c r="N87" s="707">
        <f>+INDEX(Base_datos!K2:N4,MATCH(M9,Base_datos!K2:K4,0),MATCH(F9,Base_datos!K2:N2,0))</f>
        <v>25</v>
      </c>
      <c r="O87" s="699">
        <f>+C87</f>
        <v>0</v>
      </c>
      <c r="P87" s="699">
        <f t="shared" ref="P87:X87" si="9">+D87</f>
        <v>1</v>
      </c>
      <c r="Q87" s="699">
        <f t="shared" si="9"/>
        <v>2</v>
      </c>
      <c r="R87" s="699">
        <f t="shared" si="9"/>
        <v>3</v>
      </c>
      <c r="S87" s="699">
        <f t="shared" si="9"/>
        <v>4</v>
      </c>
      <c r="T87" s="699">
        <f t="shared" si="9"/>
        <v>5</v>
      </c>
      <c r="U87" s="699">
        <f t="shared" si="9"/>
        <v>6</v>
      </c>
      <c r="V87" s="699">
        <f t="shared" si="9"/>
        <v>7</v>
      </c>
      <c r="W87" s="699">
        <f t="shared" si="9"/>
        <v>8</v>
      </c>
      <c r="X87" s="699">
        <f t="shared" si="9"/>
        <v>9</v>
      </c>
      <c r="Y87" s="700">
        <f>+M87</f>
        <v>10</v>
      </c>
      <c r="AB87" s="675"/>
    </row>
    <row r="88" spans="2:28" ht="15" hidden="1" outlineLevel="1" thickBot="1">
      <c r="B88" s="701" t="str">
        <f t="shared" ref="B88:B117" si="10">+B26</f>
        <v>3 años</v>
      </c>
      <c r="C88" s="702">
        <f t="shared" ref="C88:C117" si="11">+H26</f>
        <v>0</v>
      </c>
      <c r="D88" s="702" t="e">
        <f>C88*(1+(IF(($E$13/$D$13)^(0.0714285714285714)-1&gt;0,MIN(($E$19/$D$19)^(0.0714285714285714)-1,$R$21),IF(($E$19/$D$19)^(0.0714285714285714)-1&gt;0,0,0))))</f>
        <v>#DIV/0!</v>
      </c>
      <c r="E88" s="702" t="e">
        <f t="shared" ref="E88:M88" si="12">D88*(1+(IF(($E$13/$D$13)^(0.0714285714285714)-1&gt;0,MIN(($E$19/$D$19)^(0.0714285714285714)-1,$R$21),IF(($E$19/$D$19)^(0.0714285714285714)-1&gt;0,0,0))))</f>
        <v>#DIV/0!</v>
      </c>
      <c r="F88" s="702" t="e">
        <f t="shared" si="12"/>
        <v>#DIV/0!</v>
      </c>
      <c r="G88" s="702" t="e">
        <f t="shared" si="12"/>
        <v>#DIV/0!</v>
      </c>
      <c r="H88" s="702" t="e">
        <f t="shared" si="12"/>
        <v>#DIV/0!</v>
      </c>
      <c r="I88" s="702" t="e">
        <f t="shared" si="12"/>
        <v>#DIV/0!</v>
      </c>
      <c r="J88" s="702" t="e">
        <f t="shared" si="12"/>
        <v>#DIV/0!</v>
      </c>
      <c r="K88" s="702" t="e">
        <f t="shared" si="12"/>
        <v>#DIV/0!</v>
      </c>
      <c r="L88" s="702" t="e">
        <f t="shared" si="12"/>
        <v>#DIV/0!</v>
      </c>
      <c r="M88" s="702" t="e">
        <f t="shared" si="12"/>
        <v>#DIV/0!</v>
      </c>
      <c r="N88" s="708" t="e">
        <f>+M88/$N$87</f>
        <v>#DIV/0!</v>
      </c>
      <c r="O88" s="709">
        <f>+ROUNDUP(C88/$N$87,0)</f>
        <v>0</v>
      </c>
      <c r="P88" s="709" t="e">
        <f t="shared" ref="P88:Y88" si="13">+ROUNDUP(D88/$N$87,0)</f>
        <v>#DIV/0!</v>
      </c>
      <c r="Q88" s="709" t="e">
        <f t="shared" si="13"/>
        <v>#DIV/0!</v>
      </c>
      <c r="R88" s="709" t="e">
        <f t="shared" si="13"/>
        <v>#DIV/0!</v>
      </c>
      <c r="S88" s="709" t="e">
        <f t="shared" si="13"/>
        <v>#DIV/0!</v>
      </c>
      <c r="T88" s="709" t="e">
        <f t="shared" si="13"/>
        <v>#DIV/0!</v>
      </c>
      <c r="U88" s="709" t="e">
        <f t="shared" si="13"/>
        <v>#DIV/0!</v>
      </c>
      <c r="V88" s="709" t="e">
        <f t="shared" si="13"/>
        <v>#DIV/0!</v>
      </c>
      <c r="W88" s="709" t="e">
        <f t="shared" si="13"/>
        <v>#DIV/0!</v>
      </c>
      <c r="X88" s="709" t="e">
        <f t="shared" si="13"/>
        <v>#DIV/0!</v>
      </c>
      <c r="Y88" s="710" t="e">
        <f t="shared" si="13"/>
        <v>#DIV/0!</v>
      </c>
      <c r="AB88" s="675"/>
    </row>
    <row r="89" spans="2:28" ht="15" hidden="1" outlineLevel="1" thickBot="1">
      <c r="B89" s="701" t="str">
        <f t="shared" si="10"/>
        <v>Sección 1</v>
      </c>
      <c r="C89" s="702">
        <f t="shared" si="11"/>
        <v>0</v>
      </c>
      <c r="D89" s="702" t="e">
        <f>+$C89/$C$88*D$88</f>
        <v>#DIV/0!</v>
      </c>
      <c r="E89" s="702" t="e">
        <f t="shared" ref="E89:M89" si="14">+$C89/$C$88*E$88</f>
        <v>#DIV/0!</v>
      </c>
      <c r="F89" s="702" t="e">
        <f t="shared" si="14"/>
        <v>#DIV/0!</v>
      </c>
      <c r="G89" s="702" t="e">
        <f t="shared" si="14"/>
        <v>#DIV/0!</v>
      </c>
      <c r="H89" s="702" t="e">
        <f t="shared" si="14"/>
        <v>#DIV/0!</v>
      </c>
      <c r="I89" s="702" t="e">
        <f t="shared" si="14"/>
        <v>#DIV/0!</v>
      </c>
      <c r="J89" s="702" t="e">
        <f t="shared" si="14"/>
        <v>#DIV/0!</v>
      </c>
      <c r="K89" s="702" t="e">
        <f t="shared" si="14"/>
        <v>#DIV/0!</v>
      </c>
      <c r="L89" s="702" t="e">
        <f t="shared" si="14"/>
        <v>#DIV/0!</v>
      </c>
      <c r="M89" s="702" t="e">
        <f t="shared" si="14"/>
        <v>#DIV/0!</v>
      </c>
      <c r="N89" s="708"/>
      <c r="O89" s="709" t="e">
        <f>+ROUNDUP($M89/$N$87,0)</f>
        <v>#DIV/0!</v>
      </c>
      <c r="P89" s="709" t="e">
        <f t="shared" ref="P89:Y90" si="15">+ROUNDUP($M89/$N$87,0)</f>
        <v>#DIV/0!</v>
      </c>
      <c r="Q89" s="709" t="e">
        <f t="shared" si="15"/>
        <v>#DIV/0!</v>
      </c>
      <c r="R89" s="709" t="e">
        <f t="shared" si="15"/>
        <v>#DIV/0!</v>
      </c>
      <c r="S89" s="709" t="e">
        <f t="shared" si="15"/>
        <v>#DIV/0!</v>
      </c>
      <c r="T89" s="709" t="e">
        <f t="shared" si="15"/>
        <v>#DIV/0!</v>
      </c>
      <c r="U89" s="709" t="e">
        <f t="shared" si="15"/>
        <v>#DIV/0!</v>
      </c>
      <c r="V89" s="709" t="e">
        <f t="shared" si="15"/>
        <v>#DIV/0!</v>
      </c>
      <c r="W89" s="709" t="e">
        <f t="shared" si="15"/>
        <v>#DIV/0!</v>
      </c>
      <c r="X89" s="709" t="e">
        <f t="shared" si="15"/>
        <v>#DIV/0!</v>
      </c>
      <c r="Y89" s="710" t="e">
        <f t="shared" si="15"/>
        <v>#DIV/0!</v>
      </c>
      <c r="AB89" s="675"/>
    </row>
    <row r="90" spans="2:28" ht="15" hidden="1" outlineLevel="1" thickBot="1">
      <c r="B90" s="701" t="str">
        <f t="shared" si="10"/>
        <v>Sección 2</v>
      </c>
      <c r="C90" s="702">
        <f t="shared" si="11"/>
        <v>0</v>
      </c>
      <c r="D90" s="702" t="e">
        <f>$C90/$C$88*D$88</f>
        <v>#DIV/0!</v>
      </c>
      <c r="E90" s="702" t="e">
        <f t="shared" ref="E90:M90" si="16">$C90/$C$88*E$88</f>
        <v>#DIV/0!</v>
      </c>
      <c r="F90" s="702" t="e">
        <f t="shared" si="16"/>
        <v>#DIV/0!</v>
      </c>
      <c r="G90" s="702" t="e">
        <f t="shared" si="16"/>
        <v>#DIV/0!</v>
      </c>
      <c r="H90" s="702" t="e">
        <f t="shared" si="16"/>
        <v>#DIV/0!</v>
      </c>
      <c r="I90" s="702" t="e">
        <f t="shared" si="16"/>
        <v>#DIV/0!</v>
      </c>
      <c r="J90" s="702" t="e">
        <f t="shared" si="16"/>
        <v>#DIV/0!</v>
      </c>
      <c r="K90" s="702" t="e">
        <f t="shared" si="16"/>
        <v>#DIV/0!</v>
      </c>
      <c r="L90" s="702" t="e">
        <f t="shared" si="16"/>
        <v>#DIV/0!</v>
      </c>
      <c r="M90" s="702" t="e">
        <f t="shared" si="16"/>
        <v>#DIV/0!</v>
      </c>
      <c r="N90" s="708"/>
      <c r="O90" s="709" t="e">
        <f>+ROUNDUP($M90/$N$87,0)</f>
        <v>#DIV/0!</v>
      </c>
      <c r="P90" s="709" t="e">
        <f t="shared" si="15"/>
        <v>#DIV/0!</v>
      </c>
      <c r="Q90" s="709" t="e">
        <f t="shared" si="15"/>
        <v>#DIV/0!</v>
      </c>
      <c r="R90" s="709" t="e">
        <f t="shared" si="15"/>
        <v>#DIV/0!</v>
      </c>
      <c r="S90" s="709" t="e">
        <f t="shared" si="15"/>
        <v>#DIV/0!</v>
      </c>
      <c r="T90" s="709" t="e">
        <f t="shared" si="15"/>
        <v>#DIV/0!</v>
      </c>
      <c r="U90" s="709" t="e">
        <f t="shared" si="15"/>
        <v>#DIV/0!</v>
      </c>
      <c r="V90" s="709" t="e">
        <f t="shared" si="15"/>
        <v>#DIV/0!</v>
      </c>
      <c r="W90" s="709" t="e">
        <f t="shared" si="15"/>
        <v>#DIV/0!</v>
      </c>
      <c r="X90" s="709" t="e">
        <f t="shared" si="15"/>
        <v>#DIV/0!</v>
      </c>
      <c r="Y90" s="710" t="e">
        <f t="shared" si="15"/>
        <v>#DIV/0!</v>
      </c>
      <c r="AB90" s="675"/>
    </row>
    <row r="91" spans="2:28" ht="15" hidden="1" outlineLevel="1" thickBot="1">
      <c r="B91" s="701" t="str">
        <f t="shared" si="10"/>
        <v>Sección 3</v>
      </c>
      <c r="C91" s="702">
        <f t="shared" si="11"/>
        <v>0</v>
      </c>
      <c r="D91" s="702" t="e">
        <f t="shared" ref="D91:M92" si="17">+ROUNDUP($C91/$C$88*D$88,0)</f>
        <v>#DIV/0!</v>
      </c>
      <c r="E91" s="702" t="e">
        <f t="shared" si="17"/>
        <v>#DIV/0!</v>
      </c>
      <c r="F91" s="702" t="e">
        <f t="shared" si="17"/>
        <v>#DIV/0!</v>
      </c>
      <c r="G91" s="702" t="e">
        <f t="shared" si="17"/>
        <v>#DIV/0!</v>
      </c>
      <c r="H91" s="702" t="e">
        <f t="shared" si="17"/>
        <v>#DIV/0!</v>
      </c>
      <c r="I91" s="702" t="e">
        <f t="shared" si="17"/>
        <v>#DIV/0!</v>
      </c>
      <c r="J91" s="702" t="e">
        <f t="shared" si="17"/>
        <v>#DIV/0!</v>
      </c>
      <c r="K91" s="702" t="e">
        <f t="shared" si="17"/>
        <v>#DIV/0!</v>
      </c>
      <c r="L91" s="702" t="e">
        <f t="shared" si="17"/>
        <v>#DIV/0!</v>
      </c>
      <c r="M91" s="702" t="e">
        <f t="shared" si="17"/>
        <v>#DIV/0!</v>
      </c>
      <c r="N91" s="708"/>
      <c r="O91" s="709" t="e">
        <f t="shared" ref="O91:Y92" si="18">+ROUNDUP($M91/$N$87,0)</f>
        <v>#DIV/0!</v>
      </c>
      <c r="P91" s="709" t="e">
        <f t="shared" si="18"/>
        <v>#DIV/0!</v>
      </c>
      <c r="Q91" s="709" t="e">
        <f t="shared" si="18"/>
        <v>#DIV/0!</v>
      </c>
      <c r="R91" s="709" t="e">
        <f t="shared" si="18"/>
        <v>#DIV/0!</v>
      </c>
      <c r="S91" s="709" t="e">
        <f t="shared" si="18"/>
        <v>#DIV/0!</v>
      </c>
      <c r="T91" s="709" t="e">
        <f t="shared" si="18"/>
        <v>#DIV/0!</v>
      </c>
      <c r="U91" s="709" t="e">
        <f t="shared" si="18"/>
        <v>#DIV/0!</v>
      </c>
      <c r="V91" s="709" t="e">
        <f t="shared" si="18"/>
        <v>#DIV/0!</v>
      </c>
      <c r="W91" s="709" t="e">
        <f t="shared" si="18"/>
        <v>#DIV/0!</v>
      </c>
      <c r="X91" s="709" t="e">
        <f t="shared" si="18"/>
        <v>#DIV/0!</v>
      </c>
      <c r="Y91" s="710" t="e">
        <f t="shared" si="18"/>
        <v>#DIV/0!</v>
      </c>
      <c r="AB91" s="675"/>
    </row>
    <row r="92" spans="2:28" ht="15" hidden="1" outlineLevel="1" thickBot="1">
      <c r="B92" s="701" t="str">
        <f t="shared" si="10"/>
        <v>Sección 4</v>
      </c>
      <c r="C92" s="702">
        <f t="shared" si="11"/>
        <v>0</v>
      </c>
      <c r="D92" s="702" t="e">
        <f t="shared" si="17"/>
        <v>#DIV/0!</v>
      </c>
      <c r="E92" s="702" t="e">
        <f t="shared" si="17"/>
        <v>#DIV/0!</v>
      </c>
      <c r="F92" s="702" t="e">
        <f t="shared" si="17"/>
        <v>#DIV/0!</v>
      </c>
      <c r="G92" s="702" t="e">
        <f t="shared" si="17"/>
        <v>#DIV/0!</v>
      </c>
      <c r="H92" s="702" t="e">
        <f t="shared" si="17"/>
        <v>#DIV/0!</v>
      </c>
      <c r="I92" s="702" t="e">
        <f t="shared" si="17"/>
        <v>#DIV/0!</v>
      </c>
      <c r="J92" s="702" t="e">
        <f t="shared" si="17"/>
        <v>#DIV/0!</v>
      </c>
      <c r="K92" s="702" t="e">
        <f t="shared" si="17"/>
        <v>#DIV/0!</v>
      </c>
      <c r="L92" s="702" t="e">
        <f t="shared" si="17"/>
        <v>#DIV/0!</v>
      </c>
      <c r="M92" s="702" t="e">
        <f t="shared" si="17"/>
        <v>#DIV/0!</v>
      </c>
      <c r="N92" s="708"/>
      <c r="O92" s="709" t="e">
        <f t="shared" si="18"/>
        <v>#DIV/0!</v>
      </c>
      <c r="P92" s="709" t="e">
        <f t="shared" si="18"/>
        <v>#DIV/0!</v>
      </c>
      <c r="Q92" s="709" t="e">
        <f t="shared" si="18"/>
        <v>#DIV/0!</v>
      </c>
      <c r="R92" s="709" t="e">
        <f t="shared" si="18"/>
        <v>#DIV/0!</v>
      </c>
      <c r="S92" s="709" t="e">
        <f t="shared" si="18"/>
        <v>#DIV/0!</v>
      </c>
      <c r="T92" s="709" t="e">
        <f t="shared" si="18"/>
        <v>#DIV/0!</v>
      </c>
      <c r="U92" s="709" t="e">
        <f t="shared" si="18"/>
        <v>#DIV/0!</v>
      </c>
      <c r="V92" s="709" t="e">
        <f t="shared" si="18"/>
        <v>#DIV/0!</v>
      </c>
      <c r="W92" s="709" t="e">
        <f t="shared" si="18"/>
        <v>#DIV/0!</v>
      </c>
      <c r="X92" s="709" t="e">
        <f t="shared" si="18"/>
        <v>#DIV/0!</v>
      </c>
      <c r="Y92" s="710" t="e">
        <f t="shared" si="18"/>
        <v>#DIV/0!</v>
      </c>
      <c r="AB92" s="675"/>
    </row>
    <row r="93" spans="2:28" ht="15" hidden="1" outlineLevel="1" thickBot="1">
      <c r="B93" s="701" t="str">
        <f t="shared" si="10"/>
        <v>4 años</v>
      </c>
      <c r="C93" s="702">
        <f t="shared" si="11"/>
        <v>0</v>
      </c>
      <c r="D93" s="702">
        <f t="shared" ref="D93:M93" si="19">C88*$I26+C93*$K31+C93*$N31</f>
        <v>0</v>
      </c>
      <c r="E93" s="702" t="e">
        <f t="shared" si="19"/>
        <v>#DIV/0!</v>
      </c>
      <c r="F93" s="702" t="e">
        <f t="shared" si="19"/>
        <v>#DIV/0!</v>
      </c>
      <c r="G93" s="702" t="e">
        <f t="shared" si="19"/>
        <v>#DIV/0!</v>
      </c>
      <c r="H93" s="702" t="e">
        <f t="shared" si="19"/>
        <v>#DIV/0!</v>
      </c>
      <c r="I93" s="702" t="e">
        <f t="shared" si="19"/>
        <v>#DIV/0!</v>
      </c>
      <c r="J93" s="702" t="e">
        <f t="shared" si="19"/>
        <v>#DIV/0!</v>
      </c>
      <c r="K93" s="702" t="e">
        <f t="shared" si="19"/>
        <v>#DIV/0!</v>
      </c>
      <c r="L93" s="702" t="e">
        <f t="shared" si="19"/>
        <v>#DIV/0!</v>
      </c>
      <c r="M93" s="702" t="e">
        <f t="shared" si="19"/>
        <v>#DIV/0!</v>
      </c>
      <c r="N93" s="708" t="e">
        <f>+M93/$N$87</f>
        <v>#DIV/0!</v>
      </c>
      <c r="O93" s="709">
        <f>+ROUNDUP(C93/$N$87,0)</f>
        <v>0</v>
      </c>
      <c r="P93" s="709">
        <f t="shared" ref="P93:Y93" si="20">+ROUNDUP(D93/$N$87,0)</f>
        <v>0</v>
      </c>
      <c r="Q93" s="709" t="e">
        <f t="shared" si="20"/>
        <v>#DIV/0!</v>
      </c>
      <c r="R93" s="709" t="e">
        <f t="shared" si="20"/>
        <v>#DIV/0!</v>
      </c>
      <c r="S93" s="709" t="e">
        <f t="shared" si="20"/>
        <v>#DIV/0!</v>
      </c>
      <c r="T93" s="709" t="e">
        <f t="shared" si="20"/>
        <v>#DIV/0!</v>
      </c>
      <c r="U93" s="709" t="e">
        <f t="shared" si="20"/>
        <v>#DIV/0!</v>
      </c>
      <c r="V93" s="709" t="e">
        <f t="shared" si="20"/>
        <v>#DIV/0!</v>
      </c>
      <c r="W93" s="709" t="e">
        <f t="shared" si="20"/>
        <v>#DIV/0!</v>
      </c>
      <c r="X93" s="709" t="e">
        <f t="shared" si="20"/>
        <v>#DIV/0!</v>
      </c>
      <c r="Y93" s="710" t="e">
        <f t="shared" si="20"/>
        <v>#DIV/0!</v>
      </c>
      <c r="AB93" s="675"/>
    </row>
    <row r="94" spans="2:28" ht="15" hidden="1" outlineLevel="1" thickBot="1">
      <c r="B94" s="701" t="str">
        <f t="shared" si="10"/>
        <v>Sección 1</v>
      </c>
      <c r="C94" s="702">
        <f t="shared" si="11"/>
        <v>0</v>
      </c>
      <c r="D94" s="702" t="e">
        <f>+$C94/$C$93*D$93</f>
        <v>#DIV/0!</v>
      </c>
      <c r="E94" s="702" t="e">
        <f t="shared" ref="E94:M94" si="21">+$C94/$C$93*E$93</f>
        <v>#DIV/0!</v>
      </c>
      <c r="F94" s="702" t="e">
        <f t="shared" si="21"/>
        <v>#DIV/0!</v>
      </c>
      <c r="G94" s="702" t="e">
        <f t="shared" si="21"/>
        <v>#DIV/0!</v>
      </c>
      <c r="H94" s="702" t="e">
        <f t="shared" si="21"/>
        <v>#DIV/0!</v>
      </c>
      <c r="I94" s="702" t="e">
        <f t="shared" si="21"/>
        <v>#DIV/0!</v>
      </c>
      <c r="J94" s="702" t="e">
        <f t="shared" si="21"/>
        <v>#DIV/0!</v>
      </c>
      <c r="K94" s="702" t="e">
        <f t="shared" si="21"/>
        <v>#DIV/0!</v>
      </c>
      <c r="L94" s="702" t="e">
        <f t="shared" si="21"/>
        <v>#DIV/0!</v>
      </c>
      <c r="M94" s="702" t="e">
        <f t="shared" si="21"/>
        <v>#DIV/0!</v>
      </c>
      <c r="N94" s="708"/>
      <c r="O94" s="709" t="e">
        <f>+ROUNDUP($M94/$N$87,0)</f>
        <v>#DIV/0!</v>
      </c>
      <c r="P94" s="709" t="e">
        <f t="shared" ref="P94:Y95" si="22">+ROUNDUP($M94/$N$87,0)</f>
        <v>#DIV/0!</v>
      </c>
      <c r="Q94" s="709" t="e">
        <f t="shared" si="22"/>
        <v>#DIV/0!</v>
      </c>
      <c r="R94" s="709" t="e">
        <f t="shared" si="22"/>
        <v>#DIV/0!</v>
      </c>
      <c r="S94" s="709" t="e">
        <f t="shared" si="22"/>
        <v>#DIV/0!</v>
      </c>
      <c r="T94" s="709" t="e">
        <f t="shared" si="22"/>
        <v>#DIV/0!</v>
      </c>
      <c r="U94" s="709" t="e">
        <f t="shared" si="22"/>
        <v>#DIV/0!</v>
      </c>
      <c r="V94" s="709" t="e">
        <f t="shared" si="22"/>
        <v>#DIV/0!</v>
      </c>
      <c r="W94" s="709" t="e">
        <f t="shared" si="22"/>
        <v>#DIV/0!</v>
      </c>
      <c r="X94" s="709" t="e">
        <f t="shared" si="22"/>
        <v>#DIV/0!</v>
      </c>
      <c r="Y94" s="710" t="e">
        <f t="shared" si="22"/>
        <v>#DIV/0!</v>
      </c>
      <c r="AB94" s="675"/>
    </row>
    <row r="95" spans="2:28" ht="15" hidden="1" outlineLevel="1" thickBot="1">
      <c r="B95" s="701" t="str">
        <f t="shared" si="10"/>
        <v>Sección 2</v>
      </c>
      <c r="C95" s="702">
        <f t="shared" si="11"/>
        <v>0</v>
      </c>
      <c r="D95" s="702" t="e">
        <f t="shared" ref="D95:M97" si="23">+$C95/$C$93*D$93</f>
        <v>#DIV/0!</v>
      </c>
      <c r="E95" s="702" t="e">
        <f t="shared" si="23"/>
        <v>#DIV/0!</v>
      </c>
      <c r="F95" s="702" t="e">
        <f t="shared" si="23"/>
        <v>#DIV/0!</v>
      </c>
      <c r="G95" s="702" t="e">
        <f t="shared" si="23"/>
        <v>#DIV/0!</v>
      </c>
      <c r="H95" s="702" t="e">
        <f t="shared" si="23"/>
        <v>#DIV/0!</v>
      </c>
      <c r="I95" s="702" t="e">
        <f t="shared" si="23"/>
        <v>#DIV/0!</v>
      </c>
      <c r="J95" s="702" t="e">
        <f t="shared" si="23"/>
        <v>#DIV/0!</v>
      </c>
      <c r="K95" s="702" t="e">
        <f t="shared" si="23"/>
        <v>#DIV/0!</v>
      </c>
      <c r="L95" s="702" t="e">
        <f t="shared" si="23"/>
        <v>#DIV/0!</v>
      </c>
      <c r="M95" s="702" t="e">
        <f t="shared" si="23"/>
        <v>#DIV/0!</v>
      </c>
      <c r="N95" s="708"/>
      <c r="O95" s="709" t="e">
        <f>+ROUNDUP($M95/$N$87,0)</f>
        <v>#DIV/0!</v>
      </c>
      <c r="P95" s="709" t="e">
        <f t="shared" si="22"/>
        <v>#DIV/0!</v>
      </c>
      <c r="Q95" s="709" t="e">
        <f t="shared" si="22"/>
        <v>#DIV/0!</v>
      </c>
      <c r="R95" s="709" t="e">
        <f t="shared" si="22"/>
        <v>#DIV/0!</v>
      </c>
      <c r="S95" s="709" t="e">
        <f t="shared" si="22"/>
        <v>#DIV/0!</v>
      </c>
      <c r="T95" s="709" t="e">
        <f t="shared" si="22"/>
        <v>#DIV/0!</v>
      </c>
      <c r="U95" s="709" t="e">
        <f t="shared" si="22"/>
        <v>#DIV/0!</v>
      </c>
      <c r="V95" s="709" t="e">
        <f t="shared" si="22"/>
        <v>#DIV/0!</v>
      </c>
      <c r="W95" s="709" t="e">
        <f t="shared" si="22"/>
        <v>#DIV/0!</v>
      </c>
      <c r="X95" s="709" t="e">
        <f t="shared" si="22"/>
        <v>#DIV/0!</v>
      </c>
      <c r="Y95" s="710" t="e">
        <f t="shared" si="22"/>
        <v>#DIV/0!</v>
      </c>
      <c r="AB95" s="675"/>
    </row>
    <row r="96" spans="2:28" ht="15" hidden="1" outlineLevel="1" thickBot="1">
      <c r="B96" s="701" t="str">
        <f t="shared" si="10"/>
        <v>Sección 3</v>
      </c>
      <c r="C96" s="702">
        <f t="shared" si="11"/>
        <v>0</v>
      </c>
      <c r="D96" s="702" t="e">
        <f t="shared" si="23"/>
        <v>#DIV/0!</v>
      </c>
      <c r="E96" s="702" t="e">
        <f t="shared" si="23"/>
        <v>#DIV/0!</v>
      </c>
      <c r="F96" s="702" t="e">
        <f t="shared" si="23"/>
        <v>#DIV/0!</v>
      </c>
      <c r="G96" s="702" t="e">
        <f t="shared" si="23"/>
        <v>#DIV/0!</v>
      </c>
      <c r="H96" s="702" t="e">
        <f t="shared" si="23"/>
        <v>#DIV/0!</v>
      </c>
      <c r="I96" s="702" t="e">
        <f t="shared" si="23"/>
        <v>#DIV/0!</v>
      </c>
      <c r="J96" s="702" t="e">
        <f t="shared" si="23"/>
        <v>#DIV/0!</v>
      </c>
      <c r="K96" s="702" t="e">
        <f t="shared" si="23"/>
        <v>#DIV/0!</v>
      </c>
      <c r="L96" s="702" t="e">
        <f t="shared" si="23"/>
        <v>#DIV/0!</v>
      </c>
      <c r="M96" s="702" t="e">
        <f t="shared" si="23"/>
        <v>#DIV/0!</v>
      </c>
      <c r="N96" s="708"/>
      <c r="O96" s="709" t="e">
        <f t="shared" ref="O96:Y97" si="24">+ROUNDUP($M96/$N$87,0)</f>
        <v>#DIV/0!</v>
      </c>
      <c r="P96" s="709" t="e">
        <f t="shared" si="24"/>
        <v>#DIV/0!</v>
      </c>
      <c r="Q96" s="709" t="e">
        <f t="shared" si="24"/>
        <v>#DIV/0!</v>
      </c>
      <c r="R96" s="709" t="e">
        <f t="shared" si="24"/>
        <v>#DIV/0!</v>
      </c>
      <c r="S96" s="709" t="e">
        <f t="shared" si="24"/>
        <v>#DIV/0!</v>
      </c>
      <c r="T96" s="709" t="e">
        <f t="shared" si="24"/>
        <v>#DIV/0!</v>
      </c>
      <c r="U96" s="709" t="e">
        <f t="shared" si="24"/>
        <v>#DIV/0!</v>
      </c>
      <c r="V96" s="709" t="e">
        <f t="shared" si="24"/>
        <v>#DIV/0!</v>
      </c>
      <c r="W96" s="709" t="e">
        <f t="shared" si="24"/>
        <v>#DIV/0!</v>
      </c>
      <c r="X96" s="709" t="e">
        <f t="shared" si="24"/>
        <v>#DIV/0!</v>
      </c>
      <c r="Y96" s="710" t="e">
        <f t="shared" si="24"/>
        <v>#DIV/0!</v>
      </c>
      <c r="AB96" s="675"/>
    </row>
    <row r="97" spans="2:28" ht="15" hidden="1" outlineLevel="1" thickBot="1">
      <c r="B97" s="701" t="str">
        <f t="shared" si="10"/>
        <v>Sección 4</v>
      </c>
      <c r="C97" s="702">
        <f t="shared" si="11"/>
        <v>0</v>
      </c>
      <c r="D97" s="702" t="e">
        <f t="shared" si="23"/>
        <v>#DIV/0!</v>
      </c>
      <c r="E97" s="702" t="e">
        <f t="shared" si="23"/>
        <v>#DIV/0!</v>
      </c>
      <c r="F97" s="702" t="e">
        <f t="shared" si="23"/>
        <v>#DIV/0!</v>
      </c>
      <c r="G97" s="702" t="e">
        <f t="shared" si="23"/>
        <v>#DIV/0!</v>
      </c>
      <c r="H97" s="702" t="e">
        <f t="shared" si="23"/>
        <v>#DIV/0!</v>
      </c>
      <c r="I97" s="702" t="e">
        <f t="shared" si="23"/>
        <v>#DIV/0!</v>
      </c>
      <c r="J97" s="702" t="e">
        <f t="shared" si="23"/>
        <v>#DIV/0!</v>
      </c>
      <c r="K97" s="702" t="e">
        <f t="shared" si="23"/>
        <v>#DIV/0!</v>
      </c>
      <c r="L97" s="702" t="e">
        <f t="shared" si="23"/>
        <v>#DIV/0!</v>
      </c>
      <c r="M97" s="702" t="e">
        <f t="shared" si="23"/>
        <v>#DIV/0!</v>
      </c>
      <c r="N97" s="708"/>
      <c r="O97" s="709" t="e">
        <f t="shared" si="24"/>
        <v>#DIV/0!</v>
      </c>
      <c r="P97" s="709" t="e">
        <f t="shared" si="24"/>
        <v>#DIV/0!</v>
      </c>
      <c r="Q97" s="709" t="e">
        <f t="shared" si="24"/>
        <v>#DIV/0!</v>
      </c>
      <c r="R97" s="709" t="e">
        <f t="shared" si="24"/>
        <v>#DIV/0!</v>
      </c>
      <c r="S97" s="709" t="e">
        <f t="shared" si="24"/>
        <v>#DIV/0!</v>
      </c>
      <c r="T97" s="709" t="e">
        <f t="shared" si="24"/>
        <v>#DIV/0!</v>
      </c>
      <c r="U97" s="709" t="e">
        <f t="shared" si="24"/>
        <v>#DIV/0!</v>
      </c>
      <c r="V97" s="709" t="e">
        <f t="shared" si="24"/>
        <v>#DIV/0!</v>
      </c>
      <c r="W97" s="709" t="e">
        <f t="shared" si="24"/>
        <v>#DIV/0!</v>
      </c>
      <c r="X97" s="709" t="e">
        <f t="shared" si="24"/>
        <v>#DIV/0!</v>
      </c>
      <c r="Y97" s="710" t="e">
        <f t="shared" si="24"/>
        <v>#DIV/0!</v>
      </c>
      <c r="AB97" s="675"/>
    </row>
    <row r="98" spans="2:28" ht="15" hidden="1" outlineLevel="1" thickBot="1">
      <c r="B98" s="701" t="str">
        <f t="shared" si="10"/>
        <v>5 años</v>
      </c>
      <c r="C98" s="702">
        <f t="shared" si="11"/>
        <v>0</v>
      </c>
      <c r="D98" s="702">
        <f t="shared" ref="D98:M98" si="25">C93*$I31+C98*$K36+C98*$N36</f>
        <v>0</v>
      </c>
      <c r="E98" s="702">
        <f t="shared" si="25"/>
        <v>0</v>
      </c>
      <c r="F98" s="702" t="e">
        <f t="shared" si="25"/>
        <v>#DIV/0!</v>
      </c>
      <c r="G98" s="702" t="e">
        <f t="shared" si="25"/>
        <v>#DIV/0!</v>
      </c>
      <c r="H98" s="702" t="e">
        <f t="shared" si="25"/>
        <v>#DIV/0!</v>
      </c>
      <c r="I98" s="702" t="e">
        <f t="shared" si="25"/>
        <v>#DIV/0!</v>
      </c>
      <c r="J98" s="702" t="e">
        <f t="shared" si="25"/>
        <v>#DIV/0!</v>
      </c>
      <c r="K98" s="702" t="e">
        <f t="shared" si="25"/>
        <v>#DIV/0!</v>
      </c>
      <c r="L98" s="702" t="e">
        <f t="shared" si="25"/>
        <v>#DIV/0!</v>
      </c>
      <c r="M98" s="702" t="e">
        <f t="shared" si="25"/>
        <v>#DIV/0!</v>
      </c>
      <c r="N98" s="708" t="e">
        <f>+M98/$N$87</f>
        <v>#DIV/0!</v>
      </c>
      <c r="O98" s="709">
        <f>+ROUNDUP(C98/$N$87,0)</f>
        <v>0</v>
      </c>
      <c r="P98" s="709">
        <f t="shared" ref="P98:Y98" si="26">+ROUNDUP(D98/$N$87,0)</f>
        <v>0</v>
      </c>
      <c r="Q98" s="709">
        <f t="shared" si="26"/>
        <v>0</v>
      </c>
      <c r="R98" s="709" t="e">
        <f t="shared" si="26"/>
        <v>#DIV/0!</v>
      </c>
      <c r="S98" s="709" t="e">
        <f t="shared" si="26"/>
        <v>#DIV/0!</v>
      </c>
      <c r="T98" s="709" t="e">
        <f t="shared" si="26"/>
        <v>#DIV/0!</v>
      </c>
      <c r="U98" s="709" t="e">
        <f t="shared" si="26"/>
        <v>#DIV/0!</v>
      </c>
      <c r="V98" s="709" t="e">
        <f t="shared" si="26"/>
        <v>#DIV/0!</v>
      </c>
      <c r="W98" s="709" t="e">
        <f t="shared" si="26"/>
        <v>#DIV/0!</v>
      </c>
      <c r="X98" s="709" t="e">
        <f t="shared" si="26"/>
        <v>#DIV/0!</v>
      </c>
      <c r="Y98" s="710" t="e">
        <f t="shared" si="26"/>
        <v>#DIV/0!</v>
      </c>
      <c r="AB98" s="675"/>
    </row>
    <row r="99" spans="2:28" ht="15" hidden="1" outlineLevel="1" thickBot="1">
      <c r="B99" s="701" t="str">
        <f t="shared" si="10"/>
        <v>Sección 1</v>
      </c>
      <c r="C99" s="702">
        <f t="shared" si="11"/>
        <v>0</v>
      </c>
      <c r="D99" s="702" t="e">
        <f>+$C99/$C$98*D$98</f>
        <v>#DIV/0!</v>
      </c>
      <c r="E99" s="702" t="e">
        <f t="shared" ref="E99:M99" si="27">+$C99/$C$98*E$98</f>
        <v>#DIV/0!</v>
      </c>
      <c r="F99" s="702" t="e">
        <f t="shared" si="27"/>
        <v>#DIV/0!</v>
      </c>
      <c r="G99" s="702" t="e">
        <f t="shared" si="27"/>
        <v>#DIV/0!</v>
      </c>
      <c r="H99" s="702" t="e">
        <f t="shared" si="27"/>
        <v>#DIV/0!</v>
      </c>
      <c r="I99" s="702" t="e">
        <f t="shared" si="27"/>
        <v>#DIV/0!</v>
      </c>
      <c r="J99" s="702" t="e">
        <f t="shared" si="27"/>
        <v>#DIV/0!</v>
      </c>
      <c r="K99" s="702" t="e">
        <f t="shared" si="27"/>
        <v>#DIV/0!</v>
      </c>
      <c r="L99" s="702" t="e">
        <f t="shared" si="27"/>
        <v>#DIV/0!</v>
      </c>
      <c r="M99" s="702" t="e">
        <f t="shared" si="27"/>
        <v>#DIV/0!</v>
      </c>
      <c r="N99" s="708"/>
      <c r="O99" s="709" t="e">
        <f>+ROUNDUP($M99/$N$87,0)</f>
        <v>#DIV/0!</v>
      </c>
      <c r="P99" s="709" t="e">
        <f t="shared" ref="P99:Y100" si="28">+ROUNDUP($M99/$N$87,0)</f>
        <v>#DIV/0!</v>
      </c>
      <c r="Q99" s="709" t="e">
        <f t="shared" si="28"/>
        <v>#DIV/0!</v>
      </c>
      <c r="R99" s="709" t="e">
        <f t="shared" si="28"/>
        <v>#DIV/0!</v>
      </c>
      <c r="S99" s="709" t="e">
        <f t="shared" si="28"/>
        <v>#DIV/0!</v>
      </c>
      <c r="T99" s="709" t="e">
        <f t="shared" si="28"/>
        <v>#DIV/0!</v>
      </c>
      <c r="U99" s="709" t="e">
        <f t="shared" si="28"/>
        <v>#DIV/0!</v>
      </c>
      <c r="V99" s="709" t="e">
        <f t="shared" si="28"/>
        <v>#DIV/0!</v>
      </c>
      <c r="W99" s="709" t="e">
        <f t="shared" si="28"/>
        <v>#DIV/0!</v>
      </c>
      <c r="X99" s="709" t="e">
        <f t="shared" si="28"/>
        <v>#DIV/0!</v>
      </c>
      <c r="Y99" s="710" t="e">
        <f t="shared" si="28"/>
        <v>#DIV/0!</v>
      </c>
      <c r="AB99" s="675"/>
    </row>
    <row r="100" spans="2:28" ht="15" hidden="1" outlineLevel="1" thickBot="1">
      <c r="B100" s="701" t="str">
        <f t="shared" si="10"/>
        <v>Sección 2</v>
      </c>
      <c r="C100" s="702">
        <f t="shared" si="11"/>
        <v>0</v>
      </c>
      <c r="D100" s="702" t="e">
        <f t="shared" ref="D100:M102" si="29">+$C100/$C$98*D$98</f>
        <v>#DIV/0!</v>
      </c>
      <c r="E100" s="702" t="e">
        <f t="shared" si="29"/>
        <v>#DIV/0!</v>
      </c>
      <c r="F100" s="702" t="e">
        <f t="shared" si="29"/>
        <v>#DIV/0!</v>
      </c>
      <c r="G100" s="702" t="e">
        <f t="shared" si="29"/>
        <v>#DIV/0!</v>
      </c>
      <c r="H100" s="702" t="e">
        <f t="shared" si="29"/>
        <v>#DIV/0!</v>
      </c>
      <c r="I100" s="702" t="e">
        <f t="shared" si="29"/>
        <v>#DIV/0!</v>
      </c>
      <c r="J100" s="702" t="e">
        <f t="shared" si="29"/>
        <v>#DIV/0!</v>
      </c>
      <c r="K100" s="702" t="e">
        <f t="shared" si="29"/>
        <v>#DIV/0!</v>
      </c>
      <c r="L100" s="702" t="e">
        <f t="shared" si="29"/>
        <v>#DIV/0!</v>
      </c>
      <c r="M100" s="702" t="e">
        <f t="shared" si="29"/>
        <v>#DIV/0!</v>
      </c>
      <c r="N100" s="708"/>
      <c r="O100" s="709" t="e">
        <f>+ROUNDUP($M100/$N$87,0)</f>
        <v>#DIV/0!</v>
      </c>
      <c r="P100" s="709" t="e">
        <f t="shared" si="28"/>
        <v>#DIV/0!</v>
      </c>
      <c r="Q100" s="709" t="e">
        <f t="shared" si="28"/>
        <v>#DIV/0!</v>
      </c>
      <c r="R100" s="709" t="e">
        <f t="shared" si="28"/>
        <v>#DIV/0!</v>
      </c>
      <c r="S100" s="709" t="e">
        <f t="shared" si="28"/>
        <v>#DIV/0!</v>
      </c>
      <c r="T100" s="709" t="e">
        <f t="shared" si="28"/>
        <v>#DIV/0!</v>
      </c>
      <c r="U100" s="709" t="e">
        <f t="shared" si="28"/>
        <v>#DIV/0!</v>
      </c>
      <c r="V100" s="709" t="e">
        <f t="shared" si="28"/>
        <v>#DIV/0!</v>
      </c>
      <c r="W100" s="709" t="e">
        <f t="shared" si="28"/>
        <v>#DIV/0!</v>
      </c>
      <c r="X100" s="709" t="e">
        <f t="shared" si="28"/>
        <v>#DIV/0!</v>
      </c>
      <c r="Y100" s="710" t="e">
        <f t="shared" si="28"/>
        <v>#DIV/0!</v>
      </c>
      <c r="AB100" s="675"/>
    </row>
    <row r="101" spans="2:28" ht="15" hidden="1" outlineLevel="1" thickBot="1">
      <c r="B101" s="701" t="str">
        <f t="shared" si="10"/>
        <v>Sección 3</v>
      </c>
      <c r="C101" s="702">
        <f t="shared" si="11"/>
        <v>0</v>
      </c>
      <c r="D101" s="702" t="e">
        <f t="shared" si="29"/>
        <v>#DIV/0!</v>
      </c>
      <c r="E101" s="702" t="e">
        <f t="shared" si="29"/>
        <v>#DIV/0!</v>
      </c>
      <c r="F101" s="702" t="e">
        <f t="shared" si="29"/>
        <v>#DIV/0!</v>
      </c>
      <c r="G101" s="702" t="e">
        <f t="shared" si="29"/>
        <v>#DIV/0!</v>
      </c>
      <c r="H101" s="702" t="e">
        <f t="shared" si="29"/>
        <v>#DIV/0!</v>
      </c>
      <c r="I101" s="702" t="e">
        <f t="shared" si="29"/>
        <v>#DIV/0!</v>
      </c>
      <c r="J101" s="702" t="e">
        <f t="shared" si="29"/>
        <v>#DIV/0!</v>
      </c>
      <c r="K101" s="702" t="e">
        <f t="shared" si="29"/>
        <v>#DIV/0!</v>
      </c>
      <c r="L101" s="702" t="e">
        <f t="shared" si="29"/>
        <v>#DIV/0!</v>
      </c>
      <c r="M101" s="702" t="e">
        <f t="shared" si="29"/>
        <v>#DIV/0!</v>
      </c>
      <c r="N101" s="708"/>
      <c r="O101" s="709" t="e">
        <f t="shared" ref="O101:Y102" si="30">+ROUNDUP($M101/$N$87,0)</f>
        <v>#DIV/0!</v>
      </c>
      <c r="P101" s="709" t="e">
        <f t="shared" si="30"/>
        <v>#DIV/0!</v>
      </c>
      <c r="Q101" s="709" t="e">
        <f t="shared" si="30"/>
        <v>#DIV/0!</v>
      </c>
      <c r="R101" s="709" t="e">
        <f t="shared" si="30"/>
        <v>#DIV/0!</v>
      </c>
      <c r="S101" s="709" t="e">
        <f t="shared" si="30"/>
        <v>#DIV/0!</v>
      </c>
      <c r="T101" s="709" t="e">
        <f t="shared" si="30"/>
        <v>#DIV/0!</v>
      </c>
      <c r="U101" s="709" t="e">
        <f t="shared" si="30"/>
        <v>#DIV/0!</v>
      </c>
      <c r="V101" s="709" t="e">
        <f t="shared" si="30"/>
        <v>#DIV/0!</v>
      </c>
      <c r="W101" s="709" t="e">
        <f t="shared" si="30"/>
        <v>#DIV/0!</v>
      </c>
      <c r="X101" s="709" t="e">
        <f t="shared" si="30"/>
        <v>#DIV/0!</v>
      </c>
      <c r="Y101" s="710" t="e">
        <f t="shared" si="30"/>
        <v>#DIV/0!</v>
      </c>
      <c r="AB101" s="675"/>
    </row>
    <row r="102" spans="2:28" ht="15" hidden="1" outlineLevel="1" thickBot="1">
      <c r="B102" s="701" t="str">
        <f t="shared" si="10"/>
        <v>Sección 4</v>
      </c>
      <c r="C102" s="702">
        <f t="shared" si="11"/>
        <v>0</v>
      </c>
      <c r="D102" s="702" t="e">
        <f t="shared" si="29"/>
        <v>#DIV/0!</v>
      </c>
      <c r="E102" s="702" t="e">
        <f t="shared" si="29"/>
        <v>#DIV/0!</v>
      </c>
      <c r="F102" s="702" t="e">
        <f t="shared" si="29"/>
        <v>#DIV/0!</v>
      </c>
      <c r="G102" s="702" t="e">
        <f t="shared" si="29"/>
        <v>#DIV/0!</v>
      </c>
      <c r="H102" s="702" t="e">
        <f t="shared" si="29"/>
        <v>#DIV/0!</v>
      </c>
      <c r="I102" s="702" t="e">
        <f t="shared" si="29"/>
        <v>#DIV/0!</v>
      </c>
      <c r="J102" s="702" t="e">
        <f t="shared" si="29"/>
        <v>#DIV/0!</v>
      </c>
      <c r="K102" s="702" t="e">
        <f t="shared" si="29"/>
        <v>#DIV/0!</v>
      </c>
      <c r="L102" s="702" t="e">
        <f t="shared" si="29"/>
        <v>#DIV/0!</v>
      </c>
      <c r="M102" s="702" t="e">
        <f t="shared" si="29"/>
        <v>#DIV/0!</v>
      </c>
      <c r="N102" s="708"/>
      <c r="O102" s="709" t="e">
        <f t="shared" si="30"/>
        <v>#DIV/0!</v>
      </c>
      <c r="P102" s="709" t="e">
        <f t="shared" si="30"/>
        <v>#DIV/0!</v>
      </c>
      <c r="Q102" s="709" t="e">
        <f t="shared" si="30"/>
        <v>#DIV/0!</v>
      </c>
      <c r="R102" s="709" t="e">
        <f t="shared" si="30"/>
        <v>#DIV/0!</v>
      </c>
      <c r="S102" s="709" t="e">
        <f t="shared" si="30"/>
        <v>#DIV/0!</v>
      </c>
      <c r="T102" s="709" t="e">
        <f t="shared" si="30"/>
        <v>#DIV/0!</v>
      </c>
      <c r="U102" s="709" t="e">
        <f t="shared" si="30"/>
        <v>#DIV/0!</v>
      </c>
      <c r="V102" s="709" t="e">
        <f t="shared" si="30"/>
        <v>#DIV/0!</v>
      </c>
      <c r="W102" s="709" t="e">
        <f t="shared" si="30"/>
        <v>#DIV/0!</v>
      </c>
      <c r="X102" s="709" t="e">
        <f t="shared" si="30"/>
        <v>#DIV/0!</v>
      </c>
      <c r="Y102" s="710" t="e">
        <f t="shared" si="30"/>
        <v>#DIV/0!</v>
      </c>
      <c r="AB102" s="675"/>
    </row>
    <row r="103" spans="2:28" ht="15" hidden="1" outlineLevel="1" thickBot="1">
      <c r="B103" s="701" t="str">
        <f t="shared" si="10"/>
        <v>No aplica</v>
      </c>
      <c r="C103" s="702">
        <f t="shared" si="11"/>
        <v>0</v>
      </c>
      <c r="D103" s="702">
        <f t="shared" ref="D103:M103" si="31">IF($F$9="Inicial",0,C98*$I36+C103*$K41+C103*$N41)</f>
        <v>0</v>
      </c>
      <c r="E103" s="702">
        <f t="shared" si="31"/>
        <v>0</v>
      </c>
      <c r="F103" s="702">
        <f t="shared" si="31"/>
        <v>0</v>
      </c>
      <c r="G103" s="702">
        <f t="shared" si="31"/>
        <v>0</v>
      </c>
      <c r="H103" s="702">
        <f t="shared" si="31"/>
        <v>0</v>
      </c>
      <c r="I103" s="702">
        <f t="shared" si="31"/>
        <v>0</v>
      </c>
      <c r="J103" s="702">
        <f t="shared" si="31"/>
        <v>0</v>
      </c>
      <c r="K103" s="702">
        <f t="shared" si="31"/>
        <v>0</v>
      </c>
      <c r="L103" s="702">
        <f t="shared" si="31"/>
        <v>0</v>
      </c>
      <c r="M103" s="702">
        <f t="shared" si="31"/>
        <v>0</v>
      </c>
      <c r="N103" s="708">
        <f>+M103/$N$87</f>
        <v>0</v>
      </c>
      <c r="O103" s="709">
        <f>+ROUNDUP(C103/$N$87,0)</f>
        <v>0</v>
      </c>
      <c r="P103" s="709">
        <f t="shared" ref="P103:Y103" si="32">+IF($F$9="Inicial",0,ROUNDUP(D103/$N$87,0))</f>
        <v>0</v>
      </c>
      <c r="Q103" s="709">
        <f t="shared" si="32"/>
        <v>0</v>
      </c>
      <c r="R103" s="709">
        <f t="shared" si="32"/>
        <v>0</v>
      </c>
      <c r="S103" s="709">
        <f t="shared" si="32"/>
        <v>0</v>
      </c>
      <c r="T103" s="709">
        <f t="shared" si="32"/>
        <v>0</v>
      </c>
      <c r="U103" s="709">
        <f t="shared" si="32"/>
        <v>0</v>
      </c>
      <c r="V103" s="709">
        <f t="shared" si="32"/>
        <v>0</v>
      </c>
      <c r="W103" s="709">
        <f t="shared" si="32"/>
        <v>0</v>
      </c>
      <c r="X103" s="709">
        <f t="shared" si="32"/>
        <v>0</v>
      </c>
      <c r="Y103" s="709">
        <f t="shared" si="32"/>
        <v>0</v>
      </c>
      <c r="AB103" s="675"/>
    </row>
    <row r="104" spans="2:28" ht="15" hidden="1" outlineLevel="1" thickBot="1">
      <c r="B104" s="701" t="str">
        <f t="shared" si="10"/>
        <v>Sección 1</v>
      </c>
      <c r="C104" s="702">
        <f t="shared" si="11"/>
        <v>0</v>
      </c>
      <c r="D104" s="702" t="e">
        <f>+$C104/$C$103*D$103</f>
        <v>#DIV/0!</v>
      </c>
      <c r="E104" s="702" t="e">
        <f t="shared" ref="E104:M107" si="33">+$C104/$C$103*E$103</f>
        <v>#DIV/0!</v>
      </c>
      <c r="F104" s="702" t="e">
        <f t="shared" si="33"/>
        <v>#DIV/0!</v>
      </c>
      <c r="G104" s="702" t="e">
        <f t="shared" si="33"/>
        <v>#DIV/0!</v>
      </c>
      <c r="H104" s="702" t="e">
        <f t="shared" si="33"/>
        <v>#DIV/0!</v>
      </c>
      <c r="I104" s="702" t="e">
        <f t="shared" si="33"/>
        <v>#DIV/0!</v>
      </c>
      <c r="J104" s="702" t="e">
        <f t="shared" si="33"/>
        <v>#DIV/0!</v>
      </c>
      <c r="K104" s="702" t="e">
        <f t="shared" si="33"/>
        <v>#DIV/0!</v>
      </c>
      <c r="L104" s="702" t="e">
        <f t="shared" si="33"/>
        <v>#DIV/0!</v>
      </c>
      <c r="M104" s="702" t="e">
        <f t="shared" si="33"/>
        <v>#DIV/0!</v>
      </c>
      <c r="N104" s="708"/>
      <c r="O104" s="709" t="e">
        <f>+ROUNDUP($M104/$N$87,0)</f>
        <v>#DIV/0!</v>
      </c>
      <c r="P104" s="709" t="e">
        <f t="shared" ref="P104:Y105" si="34">+ROUNDUP($M104/$N$87,0)</f>
        <v>#DIV/0!</v>
      </c>
      <c r="Q104" s="709" t="e">
        <f t="shared" si="34"/>
        <v>#DIV/0!</v>
      </c>
      <c r="R104" s="709" t="e">
        <f t="shared" si="34"/>
        <v>#DIV/0!</v>
      </c>
      <c r="S104" s="709" t="e">
        <f t="shared" si="34"/>
        <v>#DIV/0!</v>
      </c>
      <c r="T104" s="709" t="e">
        <f t="shared" si="34"/>
        <v>#DIV/0!</v>
      </c>
      <c r="U104" s="709" t="e">
        <f t="shared" si="34"/>
        <v>#DIV/0!</v>
      </c>
      <c r="V104" s="709" t="e">
        <f t="shared" si="34"/>
        <v>#DIV/0!</v>
      </c>
      <c r="W104" s="709" t="e">
        <f t="shared" si="34"/>
        <v>#DIV/0!</v>
      </c>
      <c r="X104" s="709" t="e">
        <f t="shared" si="34"/>
        <v>#DIV/0!</v>
      </c>
      <c r="Y104" s="710" t="e">
        <f t="shared" si="34"/>
        <v>#DIV/0!</v>
      </c>
      <c r="AB104" s="675"/>
    </row>
    <row r="105" spans="2:28" ht="15" hidden="1" outlineLevel="1" thickBot="1">
      <c r="B105" s="701" t="str">
        <f t="shared" si="10"/>
        <v>Sección 2</v>
      </c>
      <c r="C105" s="702">
        <f t="shared" si="11"/>
        <v>0</v>
      </c>
      <c r="D105" s="702" t="e">
        <f>+$C105/$C$103*D$103</f>
        <v>#DIV/0!</v>
      </c>
      <c r="E105" s="702" t="e">
        <f t="shared" si="33"/>
        <v>#DIV/0!</v>
      </c>
      <c r="F105" s="702" t="e">
        <f t="shared" si="33"/>
        <v>#DIV/0!</v>
      </c>
      <c r="G105" s="702" t="e">
        <f t="shared" si="33"/>
        <v>#DIV/0!</v>
      </c>
      <c r="H105" s="702" t="e">
        <f t="shared" si="33"/>
        <v>#DIV/0!</v>
      </c>
      <c r="I105" s="702" t="e">
        <f t="shared" si="33"/>
        <v>#DIV/0!</v>
      </c>
      <c r="J105" s="702" t="e">
        <f t="shared" si="33"/>
        <v>#DIV/0!</v>
      </c>
      <c r="K105" s="702" t="e">
        <f t="shared" si="33"/>
        <v>#DIV/0!</v>
      </c>
      <c r="L105" s="702" t="e">
        <f t="shared" si="33"/>
        <v>#DIV/0!</v>
      </c>
      <c r="M105" s="702" t="e">
        <f t="shared" si="33"/>
        <v>#DIV/0!</v>
      </c>
      <c r="N105" s="708"/>
      <c r="O105" s="709" t="e">
        <f>+ROUNDUP($M105/$N$87,0)</f>
        <v>#DIV/0!</v>
      </c>
      <c r="P105" s="709" t="e">
        <f t="shared" si="34"/>
        <v>#DIV/0!</v>
      </c>
      <c r="Q105" s="709" t="e">
        <f t="shared" si="34"/>
        <v>#DIV/0!</v>
      </c>
      <c r="R105" s="709" t="e">
        <f t="shared" si="34"/>
        <v>#DIV/0!</v>
      </c>
      <c r="S105" s="709" t="e">
        <f t="shared" si="34"/>
        <v>#DIV/0!</v>
      </c>
      <c r="T105" s="709" t="e">
        <f t="shared" si="34"/>
        <v>#DIV/0!</v>
      </c>
      <c r="U105" s="709" t="e">
        <f t="shared" si="34"/>
        <v>#DIV/0!</v>
      </c>
      <c r="V105" s="709" t="e">
        <f t="shared" si="34"/>
        <v>#DIV/0!</v>
      </c>
      <c r="W105" s="709" t="e">
        <f t="shared" si="34"/>
        <v>#DIV/0!</v>
      </c>
      <c r="X105" s="709" t="e">
        <f t="shared" si="34"/>
        <v>#DIV/0!</v>
      </c>
      <c r="Y105" s="710" t="e">
        <f t="shared" si="34"/>
        <v>#DIV/0!</v>
      </c>
      <c r="AB105" s="675"/>
    </row>
    <row r="106" spans="2:28" ht="15" hidden="1" outlineLevel="1" thickBot="1">
      <c r="B106" s="701" t="str">
        <f t="shared" si="10"/>
        <v>Sección 3</v>
      </c>
      <c r="C106" s="702">
        <f t="shared" si="11"/>
        <v>0</v>
      </c>
      <c r="D106" s="702" t="e">
        <f>+$C106/$C$103*D$103</f>
        <v>#DIV/0!</v>
      </c>
      <c r="E106" s="702" t="e">
        <f t="shared" si="33"/>
        <v>#DIV/0!</v>
      </c>
      <c r="F106" s="702" t="e">
        <f t="shared" si="33"/>
        <v>#DIV/0!</v>
      </c>
      <c r="G106" s="702" t="e">
        <f t="shared" si="33"/>
        <v>#DIV/0!</v>
      </c>
      <c r="H106" s="702" t="e">
        <f t="shared" si="33"/>
        <v>#DIV/0!</v>
      </c>
      <c r="I106" s="702" t="e">
        <f t="shared" si="33"/>
        <v>#DIV/0!</v>
      </c>
      <c r="J106" s="702" t="e">
        <f t="shared" si="33"/>
        <v>#DIV/0!</v>
      </c>
      <c r="K106" s="702" t="e">
        <f t="shared" si="33"/>
        <v>#DIV/0!</v>
      </c>
      <c r="L106" s="702" t="e">
        <f t="shared" si="33"/>
        <v>#DIV/0!</v>
      </c>
      <c r="M106" s="702" t="e">
        <f t="shared" si="33"/>
        <v>#DIV/0!</v>
      </c>
      <c r="N106" s="708"/>
      <c r="O106" s="709" t="e">
        <f t="shared" ref="O106:Y107" si="35">+ROUNDUP($M106/$N$87,0)</f>
        <v>#DIV/0!</v>
      </c>
      <c r="P106" s="709" t="e">
        <f t="shared" si="35"/>
        <v>#DIV/0!</v>
      </c>
      <c r="Q106" s="709" t="e">
        <f t="shared" si="35"/>
        <v>#DIV/0!</v>
      </c>
      <c r="R106" s="709" t="e">
        <f t="shared" si="35"/>
        <v>#DIV/0!</v>
      </c>
      <c r="S106" s="709" t="e">
        <f t="shared" si="35"/>
        <v>#DIV/0!</v>
      </c>
      <c r="T106" s="709" t="e">
        <f t="shared" si="35"/>
        <v>#DIV/0!</v>
      </c>
      <c r="U106" s="709" t="e">
        <f t="shared" si="35"/>
        <v>#DIV/0!</v>
      </c>
      <c r="V106" s="709" t="e">
        <f t="shared" si="35"/>
        <v>#DIV/0!</v>
      </c>
      <c r="W106" s="709" t="e">
        <f t="shared" si="35"/>
        <v>#DIV/0!</v>
      </c>
      <c r="X106" s="709" t="e">
        <f t="shared" si="35"/>
        <v>#DIV/0!</v>
      </c>
      <c r="Y106" s="710" t="e">
        <f t="shared" si="35"/>
        <v>#DIV/0!</v>
      </c>
      <c r="AB106" s="675"/>
    </row>
    <row r="107" spans="2:28" ht="15" hidden="1" outlineLevel="1" thickBot="1">
      <c r="B107" s="701" t="str">
        <f t="shared" si="10"/>
        <v>Sección 4</v>
      </c>
      <c r="C107" s="702">
        <f t="shared" si="11"/>
        <v>0</v>
      </c>
      <c r="D107" s="702" t="e">
        <f>+$C107/$C$103*D$103</f>
        <v>#DIV/0!</v>
      </c>
      <c r="E107" s="702" t="e">
        <f t="shared" si="33"/>
        <v>#DIV/0!</v>
      </c>
      <c r="F107" s="702" t="e">
        <f t="shared" si="33"/>
        <v>#DIV/0!</v>
      </c>
      <c r="G107" s="702" t="e">
        <f t="shared" si="33"/>
        <v>#DIV/0!</v>
      </c>
      <c r="H107" s="702" t="e">
        <f t="shared" si="33"/>
        <v>#DIV/0!</v>
      </c>
      <c r="I107" s="702" t="e">
        <f t="shared" si="33"/>
        <v>#DIV/0!</v>
      </c>
      <c r="J107" s="702" t="e">
        <f t="shared" si="33"/>
        <v>#DIV/0!</v>
      </c>
      <c r="K107" s="702" t="e">
        <f t="shared" si="33"/>
        <v>#DIV/0!</v>
      </c>
      <c r="L107" s="702" t="e">
        <f t="shared" si="33"/>
        <v>#DIV/0!</v>
      </c>
      <c r="M107" s="702" t="e">
        <f t="shared" si="33"/>
        <v>#DIV/0!</v>
      </c>
      <c r="N107" s="708"/>
      <c r="O107" s="709" t="e">
        <f t="shared" si="35"/>
        <v>#DIV/0!</v>
      </c>
      <c r="P107" s="709" t="e">
        <f t="shared" si="35"/>
        <v>#DIV/0!</v>
      </c>
      <c r="Q107" s="709" t="e">
        <f t="shared" si="35"/>
        <v>#DIV/0!</v>
      </c>
      <c r="R107" s="709" t="e">
        <f t="shared" si="35"/>
        <v>#DIV/0!</v>
      </c>
      <c r="S107" s="709" t="e">
        <f t="shared" si="35"/>
        <v>#DIV/0!</v>
      </c>
      <c r="T107" s="709" t="e">
        <f t="shared" si="35"/>
        <v>#DIV/0!</v>
      </c>
      <c r="U107" s="709" t="e">
        <f t="shared" si="35"/>
        <v>#DIV/0!</v>
      </c>
      <c r="V107" s="709" t="e">
        <f t="shared" si="35"/>
        <v>#DIV/0!</v>
      </c>
      <c r="W107" s="709" t="e">
        <f t="shared" si="35"/>
        <v>#DIV/0!</v>
      </c>
      <c r="X107" s="709" t="e">
        <f t="shared" si="35"/>
        <v>#DIV/0!</v>
      </c>
      <c r="Y107" s="710" t="e">
        <f t="shared" si="35"/>
        <v>#DIV/0!</v>
      </c>
      <c r="AB107" s="675"/>
    </row>
    <row r="108" spans="2:28" ht="15" hidden="1" outlineLevel="1" thickBot="1">
      <c r="B108" s="701" t="str">
        <f t="shared" si="10"/>
        <v>No aplica</v>
      </c>
      <c r="C108" s="702">
        <f t="shared" si="11"/>
        <v>0</v>
      </c>
      <c r="D108" s="702">
        <f t="shared" ref="D108:M108" si="36">C103*$I41+C108*$K46+C108*$N46</f>
        <v>0</v>
      </c>
      <c r="E108" s="702">
        <f t="shared" si="36"/>
        <v>0</v>
      </c>
      <c r="F108" s="702">
        <f t="shared" si="36"/>
        <v>0</v>
      </c>
      <c r="G108" s="702">
        <f t="shared" si="36"/>
        <v>0</v>
      </c>
      <c r="H108" s="702">
        <f t="shared" si="36"/>
        <v>0</v>
      </c>
      <c r="I108" s="702">
        <f t="shared" si="36"/>
        <v>0</v>
      </c>
      <c r="J108" s="702">
        <f t="shared" si="36"/>
        <v>0</v>
      </c>
      <c r="K108" s="702">
        <f t="shared" si="36"/>
        <v>0</v>
      </c>
      <c r="L108" s="702">
        <f t="shared" si="36"/>
        <v>0</v>
      </c>
      <c r="M108" s="702">
        <f t="shared" si="36"/>
        <v>0</v>
      </c>
      <c r="N108" s="708">
        <f>+M108/$N$87</f>
        <v>0</v>
      </c>
      <c r="O108" s="709">
        <f>+ROUNDUP(C108/$N$87,0)</f>
        <v>0</v>
      </c>
      <c r="P108" s="709">
        <f t="shared" ref="P108:Y108" si="37">+ROUNDUP(D108/$N$87,0)</f>
        <v>0</v>
      </c>
      <c r="Q108" s="709">
        <f t="shared" si="37"/>
        <v>0</v>
      </c>
      <c r="R108" s="709">
        <f t="shared" si="37"/>
        <v>0</v>
      </c>
      <c r="S108" s="709">
        <f t="shared" si="37"/>
        <v>0</v>
      </c>
      <c r="T108" s="709">
        <f t="shared" si="37"/>
        <v>0</v>
      </c>
      <c r="U108" s="709">
        <f t="shared" si="37"/>
        <v>0</v>
      </c>
      <c r="V108" s="709">
        <f t="shared" si="37"/>
        <v>0</v>
      </c>
      <c r="W108" s="709">
        <f t="shared" si="37"/>
        <v>0</v>
      </c>
      <c r="X108" s="709">
        <f t="shared" si="37"/>
        <v>0</v>
      </c>
      <c r="Y108" s="710">
        <f t="shared" si="37"/>
        <v>0</v>
      </c>
      <c r="AB108" s="675"/>
    </row>
    <row r="109" spans="2:28" ht="15" hidden="1" outlineLevel="1" thickBot="1">
      <c r="B109" s="701" t="str">
        <f t="shared" si="10"/>
        <v>Sección 1</v>
      </c>
      <c r="C109" s="702">
        <f t="shared" si="11"/>
        <v>0</v>
      </c>
      <c r="D109" s="702" t="e">
        <f>+$C109/$C$108*D$108</f>
        <v>#DIV/0!</v>
      </c>
      <c r="E109" s="702" t="e">
        <f t="shared" ref="E109:M112" si="38">+$C109/$C$108*E$108</f>
        <v>#DIV/0!</v>
      </c>
      <c r="F109" s="702" t="e">
        <f t="shared" si="38"/>
        <v>#DIV/0!</v>
      </c>
      <c r="G109" s="702" t="e">
        <f t="shared" si="38"/>
        <v>#DIV/0!</v>
      </c>
      <c r="H109" s="702" t="e">
        <f t="shared" si="38"/>
        <v>#DIV/0!</v>
      </c>
      <c r="I109" s="702" t="e">
        <f t="shared" si="38"/>
        <v>#DIV/0!</v>
      </c>
      <c r="J109" s="702" t="e">
        <f t="shared" si="38"/>
        <v>#DIV/0!</v>
      </c>
      <c r="K109" s="702" t="e">
        <f t="shared" si="38"/>
        <v>#DIV/0!</v>
      </c>
      <c r="L109" s="702" t="e">
        <f t="shared" si="38"/>
        <v>#DIV/0!</v>
      </c>
      <c r="M109" s="702" t="e">
        <f t="shared" si="38"/>
        <v>#DIV/0!</v>
      </c>
      <c r="N109" s="708"/>
      <c r="O109" s="709" t="e">
        <f>+ROUNDUP($M109/$N$87,0)</f>
        <v>#DIV/0!</v>
      </c>
      <c r="P109" s="709" t="e">
        <f t="shared" ref="P109:Y110" si="39">+ROUNDUP($M109/$N$87,0)</f>
        <v>#DIV/0!</v>
      </c>
      <c r="Q109" s="709" t="e">
        <f t="shared" si="39"/>
        <v>#DIV/0!</v>
      </c>
      <c r="R109" s="709" t="e">
        <f t="shared" si="39"/>
        <v>#DIV/0!</v>
      </c>
      <c r="S109" s="709" t="e">
        <f t="shared" si="39"/>
        <v>#DIV/0!</v>
      </c>
      <c r="T109" s="709" t="e">
        <f t="shared" si="39"/>
        <v>#DIV/0!</v>
      </c>
      <c r="U109" s="709" t="e">
        <f t="shared" si="39"/>
        <v>#DIV/0!</v>
      </c>
      <c r="V109" s="709" t="e">
        <f t="shared" si="39"/>
        <v>#DIV/0!</v>
      </c>
      <c r="W109" s="709" t="e">
        <f t="shared" si="39"/>
        <v>#DIV/0!</v>
      </c>
      <c r="X109" s="709" t="e">
        <f t="shared" si="39"/>
        <v>#DIV/0!</v>
      </c>
      <c r="Y109" s="710" t="e">
        <f t="shared" si="39"/>
        <v>#DIV/0!</v>
      </c>
      <c r="AB109" s="675"/>
    </row>
    <row r="110" spans="2:28" ht="15" hidden="1" outlineLevel="1" thickBot="1">
      <c r="B110" s="701" t="str">
        <f t="shared" si="10"/>
        <v>Sección 2</v>
      </c>
      <c r="C110" s="702">
        <f t="shared" si="11"/>
        <v>0</v>
      </c>
      <c r="D110" s="702" t="e">
        <f>+$C110/$C$108*D$108</f>
        <v>#DIV/0!</v>
      </c>
      <c r="E110" s="702" t="e">
        <f t="shared" si="38"/>
        <v>#DIV/0!</v>
      </c>
      <c r="F110" s="702" t="e">
        <f t="shared" si="38"/>
        <v>#DIV/0!</v>
      </c>
      <c r="G110" s="702" t="e">
        <f t="shared" si="38"/>
        <v>#DIV/0!</v>
      </c>
      <c r="H110" s="702" t="e">
        <f t="shared" si="38"/>
        <v>#DIV/0!</v>
      </c>
      <c r="I110" s="702" t="e">
        <f t="shared" si="38"/>
        <v>#DIV/0!</v>
      </c>
      <c r="J110" s="702" t="e">
        <f t="shared" si="38"/>
        <v>#DIV/0!</v>
      </c>
      <c r="K110" s="702" t="e">
        <f t="shared" si="38"/>
        <v>#DIV/0!</v>
      </c>
      <c r="L110" s="702" t="e">
        <f t="shared" si="38"/>
        <v>#DIV/0!</v>
      </c>
      <c r="M110" s="702" t="e">
        <f t="shared" si="38"/>
        <v>#DIV/0!</v>
      </c>
      <c r="N110" s="708"/>
      <c r="O110" s="709" t="e">
        <f>+ROUNDUP($M110/$N$87,0)</f>
        <v>#DIV/0!</v>
      </c>
      <c r="P110" s="709" t="e">
        <f t="shared" si="39"/>
        <v>#DIV/0!</v>
      </c>
      <c r="Q110" s="709" t="e">
        <f t="shared" si="39"/>
        <v>#DIV/0!</v>
      </c>
      <c r="R110" s="709" t="e">
        <f t="shared" si="39"/>
        <v>#DIV/0!</v>
      </c>
      <c r="S110" s="709" t="e">
        <f t="shared" si="39"/>
        <v>#DIV/0!</v>
      </c>
      <c r="T110" s="709" t="e">
        <f t="shared" si="39"/>
        <v>#DIV/0!</v>
      </c>
      <c r="U110" s="709" t="e">
        <f t="shared" si="39"/>
        <v>#DIV/0!</v>
      </c>
      <c r="V110" s="709" t="e">
        <f t="shared" si="39"/>
        <v>#DIV/0!</v>
      </c>
      <c r="W110" s="709" t="e">
        <f t="shared" si="39"/>
        <v>#DIV/0!</v>
      </c>
      <c r="X110" s="709" t="e">
        <f t="shared" si="39"/>
        <v>#DIV/0!</v>
      </c>
      <c r="Y110" s="710" t="e">
        <f t="shared" si="39"/>
        <v>#DIV/0!</v>
      </c>
      <c r="AB110" s="675"/>
    </row>
    <row r="111" spans="2:28" ht="15" hidden="1" outlineLevel="1" thickBot="1">
      <c r="B111" s="701" t="str">
        <f t="shared" si="10"/>
        <v>Sección 3</v>
      </c>
      <c r="C111" s="702">
        <f t="shared" si="11"/>
        <v>0</v>
      </c>
      <c r="D111" s="702" t="e">
        <f>+$C111/$C$108*D$108</f>
        <v>#DIV/0!</v>
      </c>
      <c r="E111" s="702" t="e">
        <f t="shared" si="38"/>
        <v>#DIV/0!</v>
      </c>
      <c r="F111" s="702" t="e">
        <f t="shared" si="38"/>
        <v>#DIV/0!</v>
      </c>
      <c r="G111" s="702" t="e">
        <f t="shared" si="38"/>
        <v>#DIV/0!</v>
      </c>
      <c r="H111" s="702" t="e">
        <f t="shared" si="38"/>
        <v>#DIV/0!</v>
      </c>
      <c r="I111" s="702" t="e">
        <f t="shared" si="38"/>
        <v>#DIV/0!</v>
      </c>
      <c r="J111" s="702" t="e">
        <f t="shared" si="38"/>
        <v>#DIV/0!</v>
      </c>
      <c r="K111" s="702" t="e">
        <f t="shared" si="38"/>
        <v>#DIV/0!</v>
      </c>
      <c r="L111" s="702" t="e">
        <f t="shared" si="38"/>
        <v>#DIV/0!</v>
      </c>
      <c r="M111" s="702" t="e">
        <f t="shared" si="38"/>
        <v>#DIV/0!</v>
      </c>
      <c r="N111" s="708"/>
      <c r="O111" s="709" t="e">
        <f t="shared" ref="O111:Y112" si="40">+ROUNDUP($M111/$N$87,0)</f>
        <v>#DIV/0!</v>
      </c>
      <c r="P111" s="709" t="e">
        <f t="shared" si="40"/>
        <v>#DIV/0!</v>
      </c>
      <c r="Q111" s="709" t="e">
        <f t="shared" si="40"/>
        <v>#DIV/0!</v>
      </c>
      <c r="R111" s="709" t="e">
        <f t="shared" si="40"/>
        <v>#DIV/0!</v>
      </c>
      <c r="S111" s="709" t="e">
        <f t="shared" si="40"/>
        <v>#DIV/0!</v>
      </c>
      <c r="T111" s="709" t="e">
        <f t="shared" si="40"/>
        <v>#DIV/0!</v>
      </c>
      <c r="U111" s="709" t="e">
        <f t="shared" si="40"/>
        <v>#DIV/0!</v>
      </c>
      <c r="V111" s="709" t="e">
        <f t="shared" si="40"/>
        <v>#DIV/0!</v>
      </c>
      <c r="W111" s="709" t="e">
        <f t="shared" si="40"/>
        <v>#DIV/0!</v>
      </c>
      <c r="X111" s="709" t="e">
        <f t="shared" si="40"/>
        <v>#DIV/0!</v>
      </c>
      <c r="Y111" s="710" t="e">
        <f t="shared" si="40"/>
        <v>#DIV/0!</v>
      </c>
      <c r="AB111" s="675"/>
    </row>
    <row r="112" spans="2:28" ht="15" hidden="1" outlineLevel="1" thickBot="1">
      <c r="B112" s="701" t="str">
        <f t="shared" si="10"/>
        <v>Sección 4</v>
      </c>
      <c r="C112" s="702">
        <f t="shared" si="11"/>
        <v>0</v>
      </c>
      <c r="D112" s="702" t="e">
        <f>+$C112/$C$108*D$108</f>
        <v>#DIV/0!</v>
      </c>
      <c r="E112" s="702" t="e">
        <f t="shared" si="38"/>
        <v>#DIV/0!</v>
      </c>
      <c r="F112" s="702" t="e">
        <f t="shared" si="38"/>
        <v>#DIV/0!</v>
      </c>
      <c r="G112" s="702" t="e">
        <f t="shared" si="38"/>
        <v>#DIV/0!</v>
      </c>
      <c r="H112" s="702" t="e">
        <f t="shared" si="38"/>
        <v>#DIV/0!</v>
      </c>
      <c r="I112" s="702" t="e">
        <f t="shared" si="38"/>
        <v>#DIV/0!</v>
      </c>
      <c r="J112" s="702" t="e">
        <f t="shared" si="38"/>
        <v>#DIV/0!</v>
      </c>
      <c r="K112" s="702" t="e">
        <f t="shared" si="38"/>
        <v>#DIV/0!</v>
      </c>
      <c r="L112" s="702" t="e">
        <f t="shared" si="38"/>
        <v>#DIV/0!</v>
      </c>
      <c r="M112" s="702" t="e">
        <f t="shared" si="38"/>
        <v>#DIV/0!</v>
      </c>
      <c r="N112" s="708"/>
      <c r="O112" s="709" t="e">
        <f t="shared" si="40"/>
        <v>#DIV/0!</v>
      </c>
      <c r="P112" s="709" t="e">
        <f t="shared" si="40"/>
        <v>#DIV/0!</v>
      </c>
      <c r="Q112" s="709" t="e">
        <f t="shared" si="40"/>
        <v>#DIV/0!</v>
      </c>
      <c r="R112" s="709" t="e">
        <f t="shared" si="40"/>
        <v>#DIV/0!</v>
      </c>
      <c r="S112" s="709" t="e">
        <f t="shared" si="40"/>
        <v>#DIV/0!</v>
      </c>
      <c r="T112" s="709" t="e">
        <f t="shared" si="40"/>
        <v>#DIV/0!</v>
      </c>
      <c r="U112" s="709" t="e">
        <f t="shared" si="40"/>
        <v>#DIV/0!</v>
      </c>
      <c r="V112" s="709" t="e">
        <f t="shared" si="40"/>
        <v>#DIV/0!</v>
      </c>
      <c r="W112" s="709" t="e">
        <f t="shared" si="40"/>
        <v>#DIV/0!</v>
      </c>
      <c r="X112" s="709" t="e">
        <f t="shared" si="40"/>
        <v>#DIV/0!</v>
      </c>
      <c r="Y112" s="710" t="e">
        <f t="shared" si="40"/>
        <v>#DIV/0!</v>
      </c>
      <c r="AB112" s="675"/>
    </row>
    <row r="113" spans="2:28" ht="15" hidden="1" outlineLevel="1" thickBot="1">
      <c r="B113" s="701" t="str">
        <f t="shared" si="10"/>
        <v>No aplica</v>
      </c>
      <c r="C113" s="702">
        <f t="shared" si="11"/>
        <v>0</v>
      </c>
      <c r="D113" s="702">
        <f t="shared" ref="D113:M113" si="41">IF($F$9="Secundaria",0,C108*$I46+C113*$K51+C113*$N51)</f>
        <v>0</v>
      </c>
      <c r="E113" s="702">
        <f t="shared" si="41"/>
        <v>0</v>
      </c>
      <c r="F113" s="702">
        <f t="shared" si="41"/>
        <v>0</v>
      </c>
      <c r="G113" s="702">
        <f t="shared" si="41"/>
        <v>0</v>
      </c>
      <c r="H113" s="702">
        <f t="shared" si="41"/>
        <v>0</v>
      </c>
      <c r="I113" s="702">
        <f t="shared" si="41"/>
        <v>0</v>
      </c>
      <c r="J113" s="702">
        <f t="shared" si="41"/>
        <v>0</v>
      </c>
      <c r="K113" s="702">
        <f t="shared" si="41"/>
        <v>0</v>
      </c>
      <c r="L113" s="702">
        <f t="shared" si="41"/>
        <v>0</v>
      </c>
      <c r="M113" s="702">
        <f t="shared" si="41"/>
        <v>0</v>
      </c>
      <c r="N113" s="708">
        <f>+M113/$N$87</f>
        <v>0</v>
      </c>
      <c r="O113" s="709">
        <f>+ROUNDUP(C113/$N$87,0)</f>
        <v>0</v>
      </c>
      <c r="P113" s="709">
        <f t="shared" ref="P113:Y113" si="42">+IF($F$9="Secundaria",0,ROUNDUP(D113/$N$87,0))</f>
        <v>0</v>
      </c>
      <c r="Q113" s="709">
        <f t="shared" si="42"/>
        <v>0</v>
      </c>
      <c r="R113" s="709">
        <f t="shared" si="42"/>
        <v>0</v>
      </c>
      <c r="S113" s="709">
        <f t="shared" si="42"/>
        <v>0</v>
      </c>
      <c r="T113" s="709">
        <f t="shared" si="42"/>
        <v>0</v>
      </c>
      <c r="U113" s="709">
        <f t="shared" si="42"/>
        <v>0</v>
      </c>
      <c r="V113" s="709">
        <f t="shared" si="42"/>
        <v>0</v>
      </c>
      <c r="W113" s="709">
        <f t="shared" si="42"/>
        <v>0</v>
      </c>
      <c r="X113" s="709">
        <f t="shared" si="42"/>
        <v>0</v>
      </c>
      <c r="Y113" s="709">
        <f t="shared" si="42"/>
        <v>0</v>
      </c>
      <c r="AB113" s="675"/>
    </row>
    <row r="114" spans="2:28" ht="15" hidden="1" outlineLevel="1" thickBot="1">
      <c r="B114" s="701" t="str">
        <f t="shared" si="10"/>
        <v>Sección 1</v>
      </c>
      <c r="C114" s="702">
        <f t="shared" si="11"/>
        <v>0</v>
      </c>
      <c r="D114" s="702" t="e">
        <f>+$C114/$C$113*D$113</f>
        <v>#DIV/0!</v>
      </c>
      <c r="E114" s="702" t="e">
        <f t="shared" ref="E114:M114" si="43">+$C114/$C$113*E$113</f>
        <v>#DIV/0!</v>
      </c>
      <c r="F114" s="702" t="e">
        <f t="shared" si="43"/>
        <v>#DIV/0!</v>
      </c>
      <c r="G114" s="702" t="e">
        <f t="shared" si="43"/>
        <v>#DIV/0!</v>
      </c>
      <c r="H114" s="702" t="e">
        <f t="shared" si="43"/>
        <v>#DIV/0!</v>
      </c>
      <c r="I114" s="702" t="e">
        <f t="shared" si="43"/>
        <v>#DIV/0!</v>
      </c>
      <c r="J114" s="702" t="e">
        <f t="shared" si="43"/>
        <v>#DIV/0!</v>
      </c>
      <c r="K114" s="702" t="e">
        <f t="shared" si="43"/>
        <v>#DIV/0!</v>
      </c>
      <c r="L114" s="702" t="e">
        <f t="shared" si="43"/>
        <v>#DIV/0!</v>
      </c>
      <c r="M114" s="702" t="e">
        <f t="shared" si="43"/>
        <v>#DIV/0!</v>
      </c>
      <c r="N114" s="708"/>
      <c r="O114" s="709" t="e">
        <f>+ROUNDUP($M114/$N$87,0)</f>
        <v>#DIV/0!</v>
      </c>
      <c r="P114" s="709" t="e">
        <f t="shared" ref="P114:Y115" si="44">+ROUNDUP($M114/$N$87,0)</f>
        <v>#DIV/0!</v>
      </c>
      <c r="Q114" s="709" t="e">
        <f t="shared" si="44"/>
        <v>#DIV/0!</v>
      </c>
      <c r="R114" s="709" t="e">
        <f t="shared" si="44"/>
        <v>#DIV/0!</v>
      </c>
      <c r="S114" s="709" t="e">
        <f t="shared" si="44"/>
        <v>#DIV/0!</v>
      </c>
      <c r="T114" s="709" t="e">
        <f t="shared" si="44"/>
        <v>#DIV/0!</v>
      </c>
      <c r="U114" s="709" t="e">
        <f t="shared" si="44"/>
        <v>#DIV/0!</v>
      </c>
      <c r="V114" s="709" t="e">
        <f t="shared" si="44"/>
        <v>#DIV/0!</v>
      </c>
      <c r="W114" s="709" t="e">
        <f t="shared" si="44"/>
        <v>#DIV/0!</v>
      </c>
      <c r="X114" s="709" t="e">
        <f t="shared" si="44"/>
        <v>#DIV/0!</v>
      </c>
      <c r="Y114" s="710" t="e">
        <f t="shared" si="44"/>
        <v>#DIV/0!</v>
      </c>
      <c r="AB114" s="675"/>
    </row>
    <row r="115" spans="2:28" ht="15" hidden="1" outlineLevel="1" thickBot="1">
      <c r="B115" s="701" t="str">
        <f t="shared" si="10"/>
        <v>Sección 2</v>
      </c>
      <c r="C115" s="702">
        <f t="shared" si="11"/>
        <v>0</v>
      </c>
      <c r="D115" s="702" t="e">
        <f t="shared" ref="D115:M117" si="45">+$C115/$C$113*D$113</f>
        <v>#DIV/0!</v>
      </c>
      <c r="E115" s="702" t="e">
        <f t="shared" si="45"/>
        <v>#DIV/0!</v>
      </c>
      <c r="F115" s="702" t="e">
        <f t="shared" si="45"/>
        <v>#DIV/0!</v>
      </c>
      <c r="G115" s="702" t="e">
        <f t="shared" si="45"/>
        <v>#DIV/0!</v>
      </c>
      <c r="H115" s="702" t="e">
        <f t="shared" si="45"/>
        <v>#DIV/0!</v>
      </c>
      <c r="I115" s="702" t="e">
        <f t="shared" si="45"/>
        <v>#DIV/0!</v>
      </c>
      <c r="J115" s="702" t="e">
        <f t="shared" si="45"/>
        <v>#DIV/0!</v>
      </c>
      <c r="K115" s="702" t="e">
        <f t="shared" si="45"/>
        <v>#DIV/0!</v>
      </c>
      <c r="L115" s="702" t="e">
        <f t="shared" si="45"/>
        <v>#DIV/0!</v>
      </c>
      <c r="M115" s="702" t="e">
        <f t="shared" si="45"/>
        <v>#DIV/0!</v>
      </c>
      <c r="N115" s="708"/>
      <c r="O115" s="709" t="e">
        <f>+ROUNDUP($M115/$N$87,0)</f>
        <v>#DIV/0!</v>
      </c>
      <c r="P115" s="709" t="e">
        <f t="shared" si="44"/>
        <v>#DIV/0!</v>
      </c>
      <c r="Q115" s="709" t="e">
        <f t="shared" si="44"/>
        <v>#DIV/0!</v>
      </c>
      <c r="R115" s="709" t="e">
        <f t="shared" si="44"/>
        <v>#DIV/0!</v>
      </c>
      <c r="S115" s="709" t="e">
        <f t="shared" si="44"/>
        <v>#DIV/0!</v>
      </c>
      <c r="T115" s="709" t="e">
        <f t="shared" si="44"/>
        <v>#DIV/0!</v>
      </c>
      <c r="U115" s="709" t="e">
        <f t="shared" si="44"/>
        <v>#DIV/0!</v>
      </c>
      <c r="V115" s="709" t="e">
        <f t="shared" si="44"/>
        <v>#DIV/0!</v>
      </c>
      <c r="W115" s="709" t="e">
        <f t="shared" si="44"/>
        <v>#DIV/0!</v>
      </c>
      <c r="X115" s="709" t="e">
        <f t="shared" si="44"/>
        <v>#DIV/0!</v>
      </c>
      <c r="Y115" s="710" t="e">
        <f t="shared" si="44"/>
        <v>#DIV/0!</v>
      </c>
      <c r="AB115" s="675"/>
    </row>
    <row r="116" spans="2:28" ht="15" hidden="1" outlineLevel="1" thickBot="1">
      <c r="B116" s="701" t="str">
        <f t="shared" si="10"/>
        <v>Sección 3</v>
      </c>
      <c r="C116" s="702">
        <f t="shared" si="11"/>
        <v>0</v>
      </c>
      <c r="D116" s="702" t="e">
        <f t="shared" si="45"/>
        <v>#DIV/0!</v>
      </c>
      <c r="E116" s="702" t="e">
        <f t="shared" si="45"/>
        <v>#DIV/0!</v>
      </c>
      <c r="F116" s="702" t="e">
        <f t="shared" si="45"/>
        <v>#DIV/0!</v>
      </c>
      <c r="G116" s="702" t="e">
        <f t="shared" si="45"/>
        <v>#DIV/0!</v>
      </c>
      <c r="H116" s="702" t="e">
        <f t="shared" si="45"/>
        <v>#DIV/0!</v>
      </c>
      <c r="I116" s="702" t="e">
        <f t="shared" si="45"/>
        <v>#DIV/0!</v>
      </c>
      <c r="J116" s="702" t="e">
        <f t="shared" si="45"/>
        <v>#DIV/0!</v>
      </c>
      <c r="K116" s="702" t="e">
        <f t="shared" si="45"/>
        <v>#DIV/0!</v>
      </c>
      <c r="L116" s="702" t="e">
        <f t="shared" si="45"/>
        <v>#DIV/0!</v>
      </c>
      <c r="M116" s="702" t="e">
        <f t="shared" si="45"/>
        <v>#DIV/0!</v>
      </c>
      <c r="N116" s="708"/>
      <c r="O116" s="709" t="e">
        <f t="shared" ref="O116:Y117" si="46">+ROUNDUP($M116/$N$87,0)</f>
        <v>#DIV/0!</v>
      </c>
      <c r="P116" s="709" t="e">
        <f t="shared" si="46"/>
        <v>#DIV/0!</v>
      </c>
      <c r="Q116" s="709" t="e">
        <f t="shared" si="46"/>
        <v>#DIV/0!</v>
      </c>
      <c r="R116" s="709" t="e">
        <f t="shared" si="46"/>
        <v>#DIV/0!</v>
      </c>
      <c r="S116" s="709" t="e">
        <f t="shared" si="46"/>
        <v>#DIV/0!</v>
      </c>
      <c r="T116" s="709" t="e">
        <f t="shared" si="46"/>
        <v>#DIV/0!</v>
      </c>
      <c r="U116" s="709" t="e">
        <f t="shared" si="46"/>
        <v>#DIV/0!</v>
      </c>
      <c r="V116" s="709" t="e">
        <f t="shared" si="46"/>
        <v>#DIV/0!</v>
      </c>
      <c r="W116" s="709" t="e">
        <f t="shared" si="46"/>
        <v>#DIV/0!</v>
      </c>
      <c r="X116" s="709" t="e">
        <f t="shared" si="46"/>
        <v>#DIV/0!</v>
      </c>
      <c r="Y116" s="710" t="e">
        <f t="shared" si="46"/>
        <v>#DIV/0!</v>
      </c>
      <c r="AB116" s="675"/>
    </row>
    <row r="117" spans="2:28" ht="15" hidden="1" outlineLevel="1" thickBot="1">
      <c r="B117" s="701" t="str">
        <f t="shared" si="10"/>
        <v>Sección 4</v>
      </c>
      <c r="C117" s="702">
        <f t="shared" si="11"/>
        <v>0</v>
      </c>
      <c r="D117" s="702" t="e">
        <f t="shared" si="45"/>
        <v>#DIV/0!</v>
      </c>
      <c r="E117" s="702" t="e">
        <f t="shared" si="45"/>
        <v>#DIV/0!</v>
      </c>
      <c r="F117" s="702" t="e">
        <f t="shared" si="45"/>
        <v>#DIV/0!</v>
      </c>
      <c r="G117" s="702" t="e">
        <f t="shared" si="45"/>
        <v>#DIV/0!</v>
      </c>
      <c r="H117" s="702" t="e">
        <f t="shared" si="45"/>
        <v>#DIV/0!</v>
      </c>
      <c r="I117" s="702" t="e">
        <f t="shared" si="45"/>
        <v>#DIV/0!</v>
      </c>
      <c r="J117" s="702" t="e">
        <f t="shared" si="45"/>
        <v>#DIV/0!</v>
      </c>
      <c r="K117" s="702" t="e">
        <f t="shared" si="45"/>
        <v>#DIV/0!</v>
      </c>
      <c r="L117" s="702" t="e">
        <f t="shared" si="45"/>
        <v>#DIV/0!</v>
      </c>
      <c r="M117" s="702" t="e">
        <f t="shared" si="45"/>
        <v>#DIV/0!</v>
      </c>
      <c r="N117" s="708"/>
      <c r="O117" s="709" t="e">
        <f t="shared" si="46"/>
        <v>#DIV/0!</v>
      </c>
      <c r="P117" s="709" t="e">
        <f t="shared" si="46"/>
        <v>#DIV/0!</v>
      </c>
      <c r="Q117" s="709" t="e">
        <f t="shared" si="46"/>
        <v>#DIV/0!</v>
      </c>
      <c r="R117" s="709" t="e">
        <f t="shared" si="46"/>
        <v>#DIV/0!</v>
      </c>
      <c r="S117" s="709" t="e">
        <f t="shared" si="46"/>
        <v>#DIV/0!</v>
      </c>
      <c r="T117" s="709" t="e">
        <f t="shared" si="46"/>
        <v>#DIV/0!</v>
      </c>
      <c r="U117" s="709" t="e">
        <f t="shared" si="46"/>
        <v>#DIV/0!</v>
      </c>
      <c r="V117" s="709" t="e">
        <f t="shared" si="46"/>
        <v>#DIV/0!</v>
      </c>
      <c r="W117" s="709" t="e">
        <f t="shared" si="46"/>
        <v>#DIV/0!</v>
      </c>
      <c r="X117" s="709" t="e">
        <f t="shared" si="46"/>
        <v>#DIV/0!</v>
      </c>
      <c r="Y117" s="710" t="e">
        <f t="shared" si="46"/>
        <v>#DIV/0!</v>
      </c>
      <c r="AB117" s="675"/>
    </row>
    <row r="118" spans="2:28" ht="15" hidden="1" outlineLevel="1" thickBot="1">
      <c r="B118" s="703" t="s">
        <v>76</v>
      </c>
      <c r="C118" s="704">
        <f>ROUND(C88,0)+ROUND(C93,0)+ROUND(C98,0)+ROUND(C103,0)+ROUND(C108,0)+ROUND(C113,0)</f>
        <v>0</v>
      </c>
      <c r="D118" s="704" t="e">
        <f t="shared" ref="D118:Y118" si="47">ROUND(D88,0)+ROUND(D93,0)+ROUND(D98,0)+ROUND(D103,0)+ROUND(D108,0)+ROUND(D113,0)</f>
        <v>#DIV/0!</v>
      </c>
      <c r="E118" s="704" t="e">
        <f t="shared" si="47"/>
        <v>#DIV/0!</v>
      </c>
      <c r="F118" s="704" t="e">
        <f t="shared" si="47"/>
        <v>#DIV/0!</v>
      </c>
      <c r="G118" s="704" t="e">
        <f t="shared" si="47"/>
        <v>#DIV/0!</v>
      </c>
      <c r="H118" s="704" t="e">
        <f t="shared" si="47"/>
        <v>#DIV/0!</v>
      </c>
      <c r="I118" s="704" t="e">
        <f t="shared" si="47"/>
        <v>#DIV/0!</v>
      </c>
      <c r="J118" s="704" t="e">
        <f t="shared" si="47"/>
        <v>#DIV/0!</v>
      </c>
      <c r="K118" s="704" t="e">
        <f t="shared" si="47"/>
        <v>#DIV/0!</v>
      </c>
      <c r="L118" s="704" t="e">
        <f t="shared" si="47"/>
        <v>#DIV/0!</v>
      </c>
      <c r="M118" s="705" t="e">
        <f t="shared" si="47"/>
        <v>#DIV/0!</v>
      </c>
      <c r="N118" s="711" t="e">
        <f>ROUNDUP(N88,0)+ROUNDUP(N93,0)+ROUNDUP(N98,0)+ROUNDUP(N103,0)+ROUNDUP(N108,0)+ROUNDUP(N113,0)</f>
        <v>#DIV/0!</v>
      </c>
      <c r="O118" s="712">
        <f t="shared" si="47"/>
        <v>0</v>
      </c>
      <c r="P118" s="704" t="e">
        <f t="shared" si="47"/>
        <v>#DIV/0!</v>
      </c>
      <c r="Q118" s="704" t="e">
        <f t="shared" si="47"/>
        <v>#DIV/0!</v>
      </c>
      <c r="R118" s="704" t="e">
        <f t="shared" si="47"/>
        <v>#DIV/0!</v>
      </c>
      <c r="S118" s="704" t="e">
        <f t="shared" si="47"/>
        <v>#DIV/0!</v>
      </c>
      <c r="T118" s="704" t="e">
        <f t="shared" si="47"/>
        <v>#DIV/0!</v>
      </c>
      <c r="U118" s="704" t="e">
        <f t="shared" si="47"/>
        <v>#DIV/0!</v>
      </c>
      <c r="V118" s="704" t="e">
        <f t="shared" si="47"/>
        <v>#DIV/0!</v>
      </c>
      <c r="W118" s="704" t="e">
        <f t="shared" si="47"/>
        <v>#DIV/0!</v>
      </c>
      <c r="X118" s="704" t="e">
        <f t="shared" si="47"/>
        <v>#DIV/0!</v>
      </c>
      <c r="Y118" s="705" t="e">
        <f t="shared" si="47"/>
        <v>#DIV/0!</v>
      </c>
    </row>
    <row r="119" spans="2:28" ht="15" hidden="1" outlineLevel="1" thickBot="1">
      <c r="AB119" s="675"/>
    </row>
    <row r="120" spans="2:28" ht="15" hidden="1" outlineLevel="1" thickBot="1">
      <c r="B120" s="1913" t="s">
        <v>924</v>
      </c>
      <c r="C120" s="1914"/>
      <c r="D120" s="1914"/>
      <c r="E120" s="1914"/>
      <c r="F120" s="1914"/>
      <c r="G120" s="1914"/>
      <c r="H120" s="1914"/>
      <c r="I120" s="1914"/>
      <c r="J120" s="1914"/>
      <c r="K120" s="1914"/>
      <c r="L120" s="1914"/>
      <c r="M120" s="1915"/>
      <c r="N120" s="706" t="s">
        <v>923</v>
      </c>
      <c r="O120" s="1913" t="s">
        <v>925</v>
      </c>
      <c r="P120" s="1914"/>
      <c r="Q120" s="1914"/>
      <c r="R120" s="1914"/>
      <c r="S120" s="1914"/>
      <c r="T120" s="1914"/>
      <c r="U120" s="1914"/>
      <c r="V120" s="1914"/>
      <c r="W120" s="1914"/>
      <c r="X120" s="1914"/>
      <c r="Y120" s="1915"/>
      <c r="AB120" s="675"/>
    </row>
    <row r="121" spans="2:28" ht="15" hidden="1" outlineLevel="1" thickBot="1">
      <c r="B121" s="698" t="str">
        <f>+UPPER(B25)</f>
        <v>EDAD</v>
      </c>
      <c r="C121" s="699">
        <f>+C76</f>
        <v>0</v>
      </c>
      <c r="D121" s="699">
        <f>+C121+1</f>
        <v>1</v>
      </c>
      <c r="E121" s="699">
        <f t="shared" ref="E121:L121" si="48">+D121+1</f>
        <v>2</v>
      </c>
      <c r="F121" s="699">
        <f t="shared" si="48"/>
        <v>3</v>
      </c>
      <c r="G121" s="699">
        <f t="shared" si="48"/>
        <v>4</v>
      </c>
      <c r="H121" s="699">
        <f t="shared" si="48"/>
        <v>5</v>
      </c>
      <c r="I121" s="699">
        <f t="shared" si="48"/>
        <v>6</v>
      </c>
      <c r="J121" s="699">
        <f t="shared" si="48"/>
        <v>7</v>
      </c>
      <c r="K121" s="699">
        <f t="shared" si="48"/>
        <v>8</v>
      </c>
      <c r="L121" s="699">
        <f t="shared" si="48"/>
        <v>9</v>
      </c>
      <c r="M121" s="700">
        <f>+L121+1</f>
        <v>10</v>
      </c>
      <c r="N121" s="707">
        <f>+INDEX(Base_datos!K2:N4,MATCH(M9,Base_datos!K2:K4,0),MATCH(F9,Base_datos!K2:N2,0))</f>
        <v>25</v>
      </c>
      <c r="O121" s="698">
        <f>+C121</f>
        <v>0</v>
      </c>
      <c r="P121" s="699">
        <f t="shared" ref="P121:X121" si="49">+D121</f>
        <v>1</v>
      </c>
      <c r="Q121" s="699">
        <f t="shared" si="49"/>
        <v>2</v>
      </c>
      <c r="R121" s="699">
        <f t="shared" si="49"/>
        <v>3</v>
      </c>
      <c r="S121" s="699">
        <f t="shared" si="49"/>
        <v>4</v>
      </c>
      <c r="T121" s="699">
        <f t="shared" si="49"/>
        <v>5</v>
      </c>
      <c r="U121" s="699">
        <f t="shared" si="49"/>
        <v>6</v>
      </c>
      <c r="V121" s="699">
        <f t="shared" si="49"/>
        <v>7</v>
      </c>
      <c r="W121" s="699">
        <f t="shared" si="49"/>
        <v>8</v>
      </c>
      <c r="X121" s="699">
        <f t="shared" si="49"/>
        <v>9</v>
      </c>
      <c r="Y121" s="700">
        <f>+M121</f>
        <v>10</v>
      </c>
      <c r="AB121" s="675"/>
    </row>
    <row r="122" spans="2:28" ht="15" hidden="1" outlineLevel="1" thickBot="1">
      <c r="B122" s="701" t="str">
        <f t="shared" ref="B122:B151" si="50">+B26</f>
        <v>3 años</v>
      </c>
      <c r="C122" s="702">
        <f t="shared" ref="C122:C151" si="51">+H26</f>
        <v>0</v>
      </c>
      <c r="D122" s="702" t="e">
        <f>+C122*(1+(IF(($E$13/$D$13)^(1/14)-1&gt;0,MIN(($E$19/$D$19)^(1/14)-1,$R$21),IF(($E$19/$D$19)^(1/14)-1&gt;0,0,0))))</f>
        <v>#DIV/0!</v>
      </c>
      <c r="E122" s="702" t="e">
        <f t="shared" ref="E122:M122" si="52">+D122*(1+(IF(($E$13/$D$13)^(1/14)-1&gt;0,MIN(($E$19/$D$19)^(1/14)-1,$R$21),IF(($E$19/$D$19)^(1/14)-1&gt;0,0,0))))</f>
        <v>#DIV/0!</v>
      </c>
      <c r="F122" s="702" t="e">
        <f t="shared" si="52"/>
        <v>#DIV/0!</v>
      </c>
      <c r="G122" s="702" t="e">
        <f t="shared" si="52"/>
        <v>#DIV/0!</v>
      </c>
      <c r="H122" s="702" t="e">
        <f t="shared" si="52"/>
        <v>#DIV/0!</v>
      </c>
      <c r="I122" s="702" t="e">
        <f t="shared" si="52"/>
        <v>#DIV/0!</v>
      </c>
      <c r="J122" s="702" t="e">
        <f t="shared" si="52"/>
        <v>#DIV/0!</v>
      </c>
      <c r="K122" s="702" t="e">
        <f t="shared" si="52"/>
        <v>#DIV/0!</v>
      </c>
      <c r="L122" s="702" t="e">
        <f t="shared" si="52"/>
        <v>#DIV/0!</v>
      </c>
      <c r="M122" s="702" t="e">
        <f t="shared" si="52"/>
        <v>#DIV/0!</v>
      </c>
      <c r="N122" s="708" t="e">
        <f>+M122/$N$121</f>
        <v>#DIV/0!</v>
      </c>
      <c r="O122" s="709">
        <f>+ROUNDUP(C122/$N$121,0)</f>
        <v>0</v>
      </c>
      <c r="P122" s="709" t="e">
        <f t="shared" ref="P122:Y122" si="53">+ROUNDUP(D122/$N$121,0)</f>
        <v>#DIV/0!</v>
      </c>
      <c r="Q122" s="709" t="e">
        <f t="shared" si="53"/>
        <v>#DIV/0!</v>
      </c>
      <c r="R122" s="709" t="e">
        <f t="shared" si="53"/>
        <v>#DIV/0!</v>
      </c>
      <c r="S122" s="709" t="e">
        <f t="shared" si="53"/>
        <v>#DIV/0!</v>
      </c>
      <c r="T122" s="709" t="e">
        <f t="shared" si="53"/>
        <v>#DIV/0!</v>
      </c>
      <c r="U122" s="709" t="e">
        <f t="shared" si="53"/>
        <v>#DIV/0!</v>
      </c>
      <c r="V122" s="709" t="e">
        <f t="shared" si="53"/>
        <v>#DIV/0!</v>
      </c>
      <c r="W122" s="709" t="e">
        <f t="shared" si="53"/>
        <v>#DIV/0!</v>
      </c>
      <c r="X122" s="709" t="e">
        <f t="shared" si="53"/>
        <v>#DIV/0!</v>
      </c>
      <c r="Y122" s="709" t="e">
        <f t="shared" si="53"/>
        <v>#DIV/0!</v>
      </c>
      <c r="AB122" s="675"/>
    </row>
    <row r="123" spans="2:28" ht="15" hidden="1" outlineLevel="1" thickBot="1">
      <c r="B123" s="701" t="str">
        <f t="shared" si="50"/>
        <v>Sección 1</v>
      </c>
      <c r="C123" s="702">
        <f t="shared" si="51"/>
        <v>0</v>
      </c>
      <c r="D123" s="702" t="e">
        <f>+$C123/$C$122*D$122</f>
        <v>#DIV/0!</v>
      </c>
      <c r="E123" s="702" t="e">
        <f t="shared" ref="E123:M123" si="54">+$C123/$C$122*E$122</f>
        <v>#DIV/0!</v>
      </c>
      <c r="F123" s="702" t="e">
        <f t="shared" si="54"/>
        <v>#DIV/0!</v>
      </c>
      <c r="G123" s="702" t="e">
        <f t="shared" si="54"/>
        <v>#DIV/0!</v>
      </c>
      <c r="H123" s="702" t="e">
        <f t="shared" si="54"/>
        <v>#DIV/0!</v>
      </c>
      <c r="I123" s="702" t="e">
        <f t="shared" si="54"/>
        <v>#DIV/0!</v>
      </c>
      <c r="J123" s="702" t="e">
        <f t="shared" si="54"/>
        <v>#DIV/0!</v>
      </c>
      <c r="K123" s="702" t="e">
        <f t="shared" si="54"/>
        <v>#DIV/0!</v>
      </c>
      <c r="L123" s="702" t="e">
        <f t="shared" si="54"/>
        <v>#DIV/0!</v>
      </c>
      <c r="M123" s="713" t="e">
        <f t="shared" si="54"/>
        <v>#DIV/0!</v>
      </c>
      <c r="N123" s="708"/>
      <c r="O123" s="709" t="e">
        <f>+ROUNDUP($M123/$N$87,0)</f>
        <v>#DIV/0!</v>
      </c>
      <c r="P123" s="709" t="e">
        <f t="shared" ref="P123:Y124" si="55">+ROUNDUP($M123/$N$87,0)</f>
        <v>#DIV/0!</v>
      </c>
      <c r="Q123" s="709" t="e">
        <f t="shared" si="55"/>
        <v>#DIV/0!</v>
      </c>
      <c r="R123" s="709" t="e">
        <f t="shared" si="55"/>
        <v>#DIV/0!</v>
      </c>
      <c r="S123" s="709" t="e">
        <f t="shared" si="55"/>
        <v>#DIV/0!</v>
      </c>
      <c r="T123" s="709" t="e">
        <f t="shared" si="55"/>
        <v>#DIV/0!</v>
      </c>
      <c r="U123" s="709" t="e">
        <f t="shared" si="55"/>
        <v>#DIV/0!</v>
      </c>
      <c r="V123" s="709" t="e">
        <f t="shared" si="55"/>
        <v>#DIV/0!</v>
      </c>
      <c r="W123" s="709" t="e">
        <f t="shared" si="55"/>
        <v>#DIV/0!</v>
      </c>
      <c r="X123" s="709" t="e">
        <f t="shared" si="55"/>
        <v>#DIV/0!</v>
      </c>
      <c r="Y123" s="710" t="e">
        <f t="shared" si="55"/>
        <v>#DIV/0!</v>
      </c>
      <c r="AB123" s="675"/>
    </row>
    <row r="124" spans="2:28" ht="15" hidden="1" outlineLevel="1" thickBot="1">
      <c r="B124" s="701" t="str">
        <f t="shared" si="50"/>
        <v>Sección 2</v>
      </c>
      <c r="C124" s="702">
        <f t="shared" si="51"/>
        <v>0</v>
      </c>
      <c r="D124" s="702" t="e">
        <f t="shared" ref="D124:M126" si="56">+$C124/$C$122*D$122</f>
        <v>#DIV/0!</v>
      </c>
      <c r="E124" s="702" t="e">
        <f t="shared" si="56"/>
        <v>#DIV/0!</v>
      </c>
      <c r="F124" s="702" t="e">
        <f t="shared" si="56"/>
        <v>#DIV/0!</v>
      </c>
      <c r="G124" s="702" t="e">
        <f t="shared" si="56"/>
        <v>#DIV/0!</v>
      </c>
      <c r="H124" s="702" t="e">
        <f t="shared" si="56"/>
        <v>#DIV/0!</v>
      </c>
      <c r="I124" s="702" t="e">
        <f t="shared" si="56"/>
        <v>#DIV/0!</v>
      </c>
      <c r="J124" s="702" t="e">
        <f t="shared" si="56"/>
        <v>#DIV/0!</v>
      </c>
      <c r="K124" s="702" t="e">
        <f t="shared" si="56"/>
        <v>#DIV/0!</v>
      </c>
      <c r="L124" s="702" t="e">
        <f t="shared" si="56"/>
        <v>#DIV/0!</v>
      </c>
      <c r="M124" s="713" t="e">
        <f t="shared" si="56"/>
        <v>#DIV/0!</v>
      </c>
      <c r="N124" s="708"/>
      <c r="O124" s="709" t="e">
        <f>+ROUNDUP($M124/$N$87,0)</f>
        <v>#DIV/0!</v>
      </c>
      <c r="P124" s="709" t="e">
        <f t="shared" si="55"/>
        <v>#DIV/0!</v>
      </c>
      <c r="Q124" s="709" t="e">
        <f t="shared" si="55"/>
        <v>#DIV/0!</v>
      </c>
      <c r="R124" s="709" t="e">
        <f t="shared" si="55"/>
        <v>#DIV/0!</v>
      </c>
      <c r="S124" s="709" t="e">
        <f t="shared" si="55"/>
        <v>#DIV/0!</v>
      </c>
      <c r="T124" s="709" t="e">
        <f t="shared" si="55"/>
        <v>#DIV/0!</v>
      </c>
      <c r="U124" s="709" t="e">
        <f t="shared" si="55"/>
        <v>#DIV/0!</v>
      </c>
      <c r="V124" s="709" t="e">
        <f t="shared" si="55"/>
        <v>#DIV/0!</v>
      </c>
      <c r="W124" s="709" t="e">
        <f t="shared" si="55"/>
        <v>#DIV/0!</v>
      </c>
      <c r="X124" s="709" t="e">
        <f t="shared" si="55"/>
        <v>#DIV/0!</v>
      </c>
      <c r="Y124" s="710" t="e">
        <f t="shared" si="55"/>
        <v>#DIV/0!</v>
      </c>
      <c r="AB124" s="675"/>
    </row>
    <row r="125" spans="2:28" ht="15" hidden="1" outlineLevel="1" thickBot="1">
      <c r="B125" s="701" t="str">
        <f t="shared" si="50"/>
        <v>Sección 3</v>
      </c>
      <c r="C125" s="702">
        <f t="shared" si="51"/>
        <v>0</v>
      </c>
      <c r="D125" s="702" t="e">
        <f t="shared" si="56"/>
        <v>#DIV/0!</v>
      </c>
      <c r="E125" s="702" t="e">
        <f t="shared" si="56"/>
        <v>#DIV/0!</v>
      </c>
      <c r="F125" s="702" t="e">
        <f t="shared" si="56"/>
        <v>#DIV/0!</v>
      </c>
      <c r="G125" s="702" t="e">
        <f t="shared" si="56"/>
        <v>#DIV/0!</v>
      </c>
      <c r="H125" s="702" t="e">
        <f t="shared" si="56"/>
        <v>#DIV/0!</v>
      </c>
      <c r="I125" s="702" t="e">
        <f t="shared" si="56"/>
        <v>#DIV/0!</v>
      </c>
      <c r="J125" s="702" t="e">
        <f t="shared" si="56"/>
        <v>#DIV/0!</v>
      </c>
      <c r="K125" s="702" t="e">
        <f t="shared" si="56"/>
        <v>#DIV/0!</v>
      </c>
      <c r="L125" s="702" t="e">
        <f t="shared" si="56"/>
        <v>#DIV/0!</v>
      </c>
      <c r="M125" s="713" t="e">
        <f t="shared" si="56"/>
        <v>#DIV/0!</v>
      </c>
      <c r="N125" s="708"/>
      <c r="O125" s="709" t="e">
        <f t="shared" ref="O125:Y126" si="57">+ROUNDUP($M125/$N$87,0)</f>
        <v>#DIV/0!</v>
      </c>
      <c r="P125" s="709" t="e">
        <f t="shared" si="57"/>
        <v>#DIV/0!</v>
      </c>
      <c r="Q125" s="709" t="e">
        <f t="shared" si="57"/>
        <v>#DIV/0!</v>
      </c>
      <c r="R125" s="709" t="e">
        <f t="shared" si="57"/>
        <v>#DIV/0!</v>
      </c>
      <c r="S125" s="709" t="e">
        <f t="shared" si="57"/>
        <v>#DIV/0!</v>
      </c>
      <c r="T125" s="709" t="e">
        <f t="shared" si="57"/>
        <v>#DIV/0!</v>
      </c>
      <c r="U125" s="709" t="e">
        <f t="shared" si="57"/>
        <v>#DIV/0!</v>
      </c>
      <c r="V125" s="709" t="e">
        <f t="shared" si="57"/>
        <v>#DIV/0!</v>
      </c>
      <c r="W125" s="709" t="e">
        <f t="shared" si="57"/>
        <v>#DIV/0!</v>
      </c>
      <c r="X125" s="709" t="e">
        <f t="shared" si="57"/>
        <v>#DIV/0!</v>
      </c>
      <c r="Y125" s="710" t="e">
        <f t="shared" si="57"/>
        <v>#DIV/0!</v>
      </c>
      <c r="AB125" s="675"/>
    </row>
    <row r="126" spans="2:28" ht="15" hidden="1" outlineLevel="1" thickBot="1">
      <c r="B126" s="701" t="str">
        <f t="shared" si="50"/>
        <v>Sección 4</v>
      </c>
      <c r="C126" s="702">
        <f t="shared" si="51"/>
        <v>0</v>
      </c>
      <c r="D126" s="702" t="e">
        <f t="shared" si="56"/>
        <v>#DIV/0!</v>
      </c>
      <c r="E126" s="702" t="e">
        <f t="shared" si="56"/>
        <v>#DIV/0!</v>
      </c>
      <c r="F126" s="702" t="e">
        <f t="shared" si="56"/>
        <v>#DIV/0!</v>
      </c>
      <c r="G126" s="702" t="e">
        <f t="shared" si="56"/>
        <v>#DIV/0!</v>
      </c>
      <c r="H126" s="702" t="e">
        <f t="shared" si="56"/>
        <v>#DIV/0!</v>
      </c>
      <c r="I126" s="702" t="e">
        <f t="shared" si="56"/>
        <v>#DIV/0!</v>
      </c>
      <c r="J126" s="702" t="e">
        <f t="shared" si="56"/>
        <v>#DIV/0!</v>
      </c>
      <c r="K126" s="702" t="e">
        <f t="shared" si="56"/>
        <v>#DIV/0!</v>
      </c>
      <c r="L126" s="702" t="e">
        <f t="shared" si="56"/>
        <v>#DIV/0!</v>
      </c>
      <c r="M126" s="713" t="e">
        <f t="shared" si="56"/>
        <v>#DIV/0!</v>
      </c>
      <c r="N126" s="708"/>
      <c r="O126" s="709" t="e">
        <f t="shared" si="57"/>
        <v>#DIV/0!</v>
      </c>
      <c r="P126" s="709" t="e">
        <f t="shared" si="57"/>
        <v>#DIV/0!</v>
      </c>
      <c r="Q126" s="709" t="e">
        <f t="shared" si="57"/>
        <v>#DIV/0!</v>
      </c>
      <c r="R126" s="709" t="e">
        <f t="shared" si="57"/>
        <v>#DIV/0!</v>
      </c>
      <c r="S126" s="709" t="e">
        <f t="shared" si="57"/>
        <v>#DIV/0!</v>
      </c>
      <c r="T126" s="709" t="e">
        <f t="shared" si="57"/>
        <v>#DIV/0!</v>
      </c>
      <c r="U126" s="709" t="e">
        <f t="shared" si="57"/>
        <v>#DIV/0!</v>
      </c>
      <c r="V126" s="709" t="e">
        <f t="shared" si="57"/>
        <v>#DIV/0!</v>
      </c>
      <c r="W126" s="709" t="e">
        <f t="shared" si="57"/>
        <v>#DIV/0!</v>
      </c>
      <c r="X126" s="709" t="e">
        <f t="shared" si="57"/>
        <v>#DIV/0!</v>
      </c>
      <c r="Y126" s="710" t="e">
        <f t="shared" si="57"/>
        <v>#DIV/0!</v>
      </c>
      <c r="AB126" s="675"/>
    </row>
    <row r="127" spans="2:28" ht="15" hidden="1" outlineLevel="1" thickBot="1">
      <c r="B127" s="701" t="str">
        <f t="shared" si="50"/>
        <v>4 años</v>
      </c>
      <c r="C127" s="702">
        <f t="shared" si="51"/>
        <v>0</v>
      </c>
      <c r="D127" s="702">
        <f t="shared" ref="D127:M127" si="58">+C122*$Q26+C127*$S31+C127*$V31</f>
        <v>0</v>
      </c>
      <c r="E127" s="702" t="e">
        <f t="shared" si="58"/>
        <v>#DIV/0!</v>
      </c>
      <c r="F127" s="702" t="e">
        <f t="shared" si="58"/>
        <v>#DIV/0!</v>
      </c>
      <c r="G127" s="702" t="e">
        <f t="shared" si="58"/>
        <v>#DIV/0!</v>
      </c>
      <c r="H127" s="702" t="e">
        <f t="shared" si="58"/>
        <v>#DIV/0!</v>
      </c>
      <c r="I127" s="702" t="e">
        <f t="shared" si="58"/>
        <v>#DIV/0!</v>
      </c>
      <c r="J127" s="702" t="e">
        <f t="shared" si="58"/>
        <v>#DIV/0!</v>
      </c>
      <c r="K127" s="702" t="e">
        <f t="shared" si="58"/>
        <v>#DIV/0!</v>
      </c>
      <c r="L127" s="702" t="e">
        <f t="shared" si="58"/>
        <v>#DIV/0!</v>
      </c>
      <c r="M127" s="702" t="e">
        <f t="shared" si="58"/>
        <v>#DIV/0!</v>
      </c>
      <c r="N127" s="708" t="e">
        <f>+M127/$N$121</f>
        <v>#DIV/0!</v>
      </c>
      <c r="O127" s="709">
        <f>+ROUNDUP(C127/$N$121,0)</f>
        <v>0</v>
      </c>
      <c r="P127" s="709">
        <f t="shared" ref="P127:Y127" si="59">+ROUNDUP(D127/$N$121,0)</f>
        <v>0</v>
      </c>
      <c r="Q127" s="709" t="e">
        <f t="shared" si="59"/>
        <v>#DIV/0!</v>
      </c>
      <c r="R127" s="709" t="e">
        <f t="shared" si="59"/>
        <v>#DIV/0!</v>
      </c>
      <c r="S127" s="709" t="e">
        <f t="shared" si="59"/>
        <v>#DIV/0!</v>
      </c>
      <c r="T127" s="709" t="e">
        <f t="shared" si="59"/>
        <v>#DIV/0!</v>
      </c>
      <c r="U127" s="709" t="e">
        <f t="shared" si="59"/>
        <v>#DIV/0!</v>
      </c>
      <c r="V127" s="709" t="e">
        <f t="shared" si="59"/>
        <v>#DIV/0!</v>
      </c>
      <c r="W127" s="709" t="e">
        <f t="shared" si="59"/>
        <v>#DIV/0!</v>
      </c>
      <c r="X127" s="709" t="e">
        <f t="shared" si="59"/>
        <v>#DIV/0!</v>
      </c>
      <c r="Y127" s="709" t="e">
        <f t="shared" si="59"/>
        <v>#DIV/0!</v>
      </c>
      <c r="AB127" s="675"/>
    </row>
    <row r="128" spans="2:28" ht="15" hidden="1" outlineLevel="1" thickBot="1">
      <c r="B128" s="701" t="str">
        <f t="shared" si="50"/>
        <v>Sección 1</v>
      </c>
      <c r="C128" s="702">
        <f t="shared" si="51"/>
        <v>0</v>
      </c>
      <c r="D128" s="702" t="e">
        <f>+$C128/$C$127*D$127</f>
        <v>#DIV/0!</v>
      </c>
      <c r="E128" s="702" t="e">
        <f t="shared" ref="E128:M128" si="60">+$C128/$C$127*E$127</f>
        <v>#DIV/0!</v>
      </c>
      <c r="F128" s="702" t="e">
        <f t="shared" si="60"/>
        <v>#DIV/0!</v>
      </c>
      <c r="G128" s="702" t="e">
        <f t="shared" si="60"/>
        <v>#DIV/0!</v>
      </c>
      <c r="H128" s="702" t="e">
        <f t="shared" si="60"/>
        <v>#DIV/0!</v>
      </c>
      <c r="I128" s="702" t="e">
        <f t="shared" si="60"/>
        <v>#DIV/0!</v>
      </c>
      <c r="J128" s="702" t="e">
        <f t="shared" si="60"/>
        <v>#DIV/0!</v>
      </c>
      <c r="K128" s="702" t="e">
        <f t="shared" si="60"/>
        <v>#DIV/0!</v>
      </c>
      <c r="L128" s="702" t="e">
        <f t="shared" si="60"/>
        <v>#DIV/0!</v>
      </c>
      <c r="M128" s="713" t="e">
        <f t="shared" si="60"/>
        <v>#DIV/0!</v>
      </c>
      <c r="N128" s="708"/>
      <c r="O128" s="709" t="e">
        <f>+ROUNDUP($M128/$N$87,0)</f>
        <v>#DIV/0!</v>
      </c>
      <c r="P128" s="709" t="e">
        <f t="shared" ref="P128:Y129" si="61">+ROUNDUP($M128/$N$87,0)</f>
        <v>#DIV/0!</v>
      </c>
      <c r="Q128" s="709" t="e">
        <f t="shared" si="61"/>
        <v>#DIV/0!</v>
      </c>
      <c r="R128" s="709" t="e">
        <f t="shared" si="61"/>
        <v>#DIV/0!</v>
      </c>
      <c r="S128" s="709" t="e">
        <f t="shared" si="61"/>
        <v>#DIV/0!</v>
      </c>
      <c r="T128" s="709" t="e">
        <f t="shared" si="61"/>
        <v>#DIV/0!</v>
      </c>
      <c r="U128" s="709" t="e">
        <f t="shared" si="61"/>
        <v>#DIV/0!</v>
      </c>
      <c r="V128" s="709" t="e">
        <f t="shared" si="61"/>
        <v>#DIV/0!</v>
      </c>
      <c r="W128" s="709" t="e">
        <f t="shared" si="61"/>
        <v>#DIV/0!</v>
      </c>
      <c r="X128" s="709" t="e">
        <f t="shared" si="61"/>
        <v>#DIV/0!</v>
      </c>
      <c r="Y128" s="710" t="e">
        <f t="shared" si="61"/>
        <v>#DIV/0!</v>
      </c>
      <c r="AB128" s="675"/>
    </row>
    <row r="129" spans="2:28" ht="15" hidden="1" outlineLevel="1" thickBot="1">
      <c r="B129" s="701" t="str">
        <f t="shared" si="50"/>
        <v>Sección 2</v>
      </c>
      <c r="C129" s="702">
        <f t="shared" si="51"/>
        <v>0</v>
      </c>
      <c r="D129" s="702" t="e">
        <f t="shared" ref="D129:M131" si="62">+$C129/$C$127*D$127</f>
        <v>#DIV/0!</v>
      </c>
      <c r="E129" s="702" t="e">
        <f t="shared" si="62"/>
        <v>#DIV/0!</v>
      </c>
      <c r="F129" s="702" t="e">
        <f t="shared" si="62"/>
        <v>#DIV/0!</v>
      </c>
      <c r="G129" s="702" t="e">
        <f t="shared" si="62"/>
        <v>#DIV/0!</v>
      </c>
      <c r="H129" s="702" t="e">
        <f t="shared" si="62"/>
        <v>#DIV/0!</v>
      </c>
      <c r="I129" s="702" t="e">
        <f t="shared" si="62"/>
        <v>#DIV/0!</v>
      </c>
      <c r="J129" s="702" t="e">
        <f t="shared" si="62"/>
        <v>#DIV/0!</v>
      </c>
      <c r="K129" s="702" t="e">
        <f t="shared" si="62"/>
        <v>#DIV/0!</v>
      </c>
      <c r="L129" s="702" t="e">
        <f t="shared" si="62"/>
        <v>#DIV/0!</v>
      </c>
      <c r="M129" s="713" t="e">
        <f t="shared" si="62"/>
        <v>#DIV/0!</v>
      </c>
      <c r="N129" s="708"/>
      <c r="O129" s="709" t="e">
        <f>+ROUNDUP($M129/$N$87,0)</f>
        <v>#DIV/0!</v>
      </c>
      <c r="P129" s="709" t="e">
        <f t="shared" si="61"/>
        <v>#DIV/0!</v>
      </c>
      <c r="Q129" s="709" t="e">
        <f t="shared" si="61"/>
        <v>#DIV/0!</v>
      </c>
      <c r="R129" s="709" t="e">
        <f t="shared" si="61"/>
        <v>#DIV/0!</v>
      </c>
      <c r="S129" s="709" t="e">
        <f t="shared" si="61"/>
        <v>#DIV/0!</v>
      </c>
      <c r="T129" s="709" t="e">
        <f t="shared" si="61"/>
        <v>#DIV/0!</v>
      </c>
      <c r="U129" s="709" t="e">
        <f t="shared" si="61"/>
        <v>#DIV/0!</v>
      </c>
      <c r="V129" s="709" t="e">
        <f t="shared" si="61"/>
        <v>#DIV/0!</v>
      </c>
      <c r="W129" s="709" t="e">
        <f t="shared" si="61"/>
        <v>#DIV/0!</v>
      </c>
      <c r="X129" s="709" t="e">
        <f t="shared" si="61"/>
        <v>#DIV/0!</v>
      </c>
      <c r="Y129" s="710" t="e">
        <f t="shared" si="61"/>
        <v>#DIV/0!</v>
      </c>
      <c r="AB129" s="675"/>
    </row>
    <row r="130" spans="2:28" ht="15" hidden="1" outlineLevel="1" thickBot="1">
      <c r="B130" s="701" t="str">
        <f t="shared" si="50"/>
        <v>Sección 3</v>
      </c>
      <c r="C130" s="702">
        <f t="shared" si="51"/>
        <v>0</v>
      </c>
      <c r="D130" s="702" t="e">
        <f t="shared" si="62"/>
        <v>#DIV/0!</v>
      </c>
      <c r="E130" s="702" t="e">
        <f t="shared" si="62"/>
        <v>#DIV/0!</v>
      </c>
      <c r="F130" s="702" t="e">
        <f t="shared" si="62"/>
        <v>#DIV/0!</v>
      </c>
      <c r="G130" s="702" t="e">
        <f t="shared" si="62"/>
        <v>#DIV/0!</v>
      </c>
      <c r="H130" s="702" t="e">
        <f t="shared" si="62"/>
        <v>#DIV/0!</v>
      </c>
      <c r="I130" s="702" t="e">
        <f t="shared" si="62"/>
        <v>#DIV/0!</v>
      </c>
      <c r="J130" s="702" t="e">
        <f t="shared" si="62"/>
        <v>#DIV/0!</v>
      </c>
      <c r="K130" s="702" t="e">
        <f t="shared" si="62"/>
        <v>#DIV/0!</v>
      </c>
      <c r="L130" s="702" t="e">
        <f t="shared" si="62"/>
        <v>#DIV/0!</v>
      </c>
      <c r="M130" s="713" t="e">
        <f t="shared" si="62"/>
        <v>#DIV/0!</v>
      </c>
      <c r="N130" s="708"/>
      <c r="O130" s="709" t="e">
        <f t="shared" ref="O130:Y131" si="63">+ROUNDUP($M130/$N$87,0)</f>
        <v>#DIV/0!</v>
      </c>
      <c r="P130" s="709" t="e">
        <f t="shared" si="63"/>
        <v>#DIV/0!</v>
      </c>
      <c r="Q130" s="709" t="e">
        <f t="shared" si="63"/>
        <v>#DIV/0!</v>
      </c>
      <c r="R130" s="709" t="e">
        <f t="shared" si="63"/>
        <v>#DIV/0!</v>
      </c>
      <c r="S130" s="709" t="e">
        <f t="shared" si="63"/>
        <v>#DIV/0!</v>
      </c>
      <c r="T130" s="709" t="e">
        <f t="shared" si="63"/>
        <v>#DIV/0!</v>
      </c>
      <c r="U130" s="709" t="e">
        <f t="shared" si="63"/>
        <v>#DIV/0!</v>
      </c>
      <c r="V130" s="709" t="e">
        <f t="shared" si="63"/>
        <v>#DIV/0!</v>
      </c>
      <c r="W130" s="709" t="e">
        <f t="shared" si="63"/>
        <v>#DIV/0!</v>
      </c>
      <c r="X130" s="709" t="e">
        <f t="shared" si="63"/>
        <v>#DIV/0!</v>
      </c>
      <c r="Y130" s="710" t="e">
        <f t="shared" si="63"/>
        <v>#DIV/0!</v>
      </c>
      <c r="AB130" s="675"/>
    </row>
    <row r="131" spans="2:28" ht="15" hidden="1" outlineLevel="1" thickBot="1">
      <c r="B131" s="701" t="str">
        <f t="shared" si="50"/>
        <v>Sección 4</v>
      </c>
      <c r="C131" s="702">
        <f t="shared" si="51"/>
        <v>0</v>
      </c>
      <c r="D131" s="702" t="e">
        <f t="shared" si="62"/>
        <v>#DIV/0!</v>
      </c>
      <c r="E131" s="702" t="e">
        <f t="shared" si="62"/>
        <v>#DIV/0!</v>
      </c>
      <c r="F131" s="702" t="e">
        <f t="shared" si="62"/>
        <v>#DIV/0!</v>
      </c>
      <c r="G131" s="702" t="e">
        <f t="shared" si="62"/>
        <v>#DIV/0!</v>
      </c>
      <c r="H131" s="702" t="e">
        <f t="shared" si="62"/>
        <v>#DIV/0!</v>
      </c>
      <c r="I131" s="702" t="e">
        <f t="shared" si="62"/>
        <v>#DIV/0!</v>
      </c>
      <c r="J131" s="702" t="e">
        <f t="shared" si="62"/>
        <v>#DIV/0!</v>
      </c>
      <c r="K131" s="702" t="e">
        <f t="shared" si="62"/>
        <v>#DIV/0!</v>
      </c>
      <c r="L131" s="702" t="e">
        <f t="shared" si="62"/>
        <v>#DIV/0!</v>
      </c>
      <c r="M131" s="713" t="e">
        <f t="shared" si="62"/>
        <v>#DIV/0!</v>
      </c>
      <c r="N131" s="708"/>
      <c r="O131" s="709" t="e">
        <f t="shared" si="63"/>
        <v>#DIV/0!</v>
      </c>
      <c r="P131" s="709" t="e">
        <f t="shared" si="63"/>
        <v>#DIV/0!</v>
      </c>
      <c r="Q131" s="709" t="e">
        <f t="shared" si="63"/>
        <v>#DIV/0!</v>
      </c>
      <c r="R131" s="709" t="e">
        <f t="shared" si="63"/>
        <v>#DIV/0!</v>
      </c>
      <c r="S131" s="709" t="e">
        <f t="shared" si="63"/>
        <v>#DIV/0!</v>
      </c>
      <c r="T131" s="709" t="e">
        <f t="shared" si="63"/>
        <v>#DIV/0!</v>
      </c>
      <c r="U131" s="709" t="e">
        <f t="shared" si="63"/>
        <v>#DIV/0!</v>
      </c>
      <c r="V131" s="709" t="e">
        <f t="shared" si="63"/>
        <v>#DIV/0!</v>
      </c>
      <c r="W131" s="709" t="e">
        <f t="shared" si="63"/>
        <v>#DIV/0!</v>
      </c>
      <c r="X131" s="709" t="e">
        <f t="shared" si="63"/>
        <v>#DIV/0!</v>
      </c>
      <c r="Y131" s="710" t="e">
        <f t="shared" si="63"/>
        <v>#DIV/0!</v>
      </c>
      <c r="AB131" s="675"/>
    </row>
    <row r="132" spans="2:28" ht="15" hidden="1" outlineLevel="1" thickBot="1">
      <c r="B132" s="703" t="str">
        <f t="shared" si="50"/>
        <v>5 años</v>
      </c>
      <c r="C132" s="704">
        <f t="shared" si="51"/>
        <v>0</v>
      </c>
      <c r="D132" s="704">
        <f t="shared" ref="D132:M132" si="64">+C127*$Q31+C132*$S36+C132*$V36</f>
        <v>0</v>
      </c>
      <c r="E132" s="704">
        <f t="shared" si="64"/>
        <v>0</v>
      </c>
      <c r="F132" s="704" t="e">
        <f t="shared" si="64"/>
        <v>#DIV/0!</v>
      </c>
      <c r="G132" s="704" t="e">
        <f t="shared" si="64"/>
        <v>#DIV/0!</v>
      </c>
      <c r="H132" s="704" t="e">
        <f t="shared" si="64"/>
        <v>#DIV/0!</v>
      </c>
      <c r="I132" s="704" t="e">
        <f t="shared" si="64"/>
        <v>#DIV/0!</v>
      </c>
      <c r="J132" s="704" t="e">
        <f t="shared" si="64"/>
        <v>#DIV/0!</v>
      </c>
      <c r="K132" s="704" t="e">
        <f t="shared" si="64"/>
        <v>#DIV/0!</v>
      </c>
      <c r="L132" s="704" t="e">
        <f t="shared" si="64"/>
        <v>#DIV/0!</v>
      </c>
      <c r="M132" s="704" t="e">
        <f t="shared" si="64"/>
        <v>#DIV/0!</v>
      </c>
      <c r="N132" s="711" t="e">
        <f>+M132/$N$121</f>
        <v>#DIV/0!</v>
      </c>
      <c r="O132" s="714">
        <f>+ROUNDUP(C132/$N$121,0)</f>
        <v>0</v>
      </c>
      <c r="P132" s="714">
        <f t="shared" ref="P132:Y132" si="65">+ROUNDUP(D132/$N$121,0)</f>
        <v>0</v>
      </c>
      <c r="Q132" s="714">
        <f t="shared" si="65"/>
        <v>0</v>
      </c>
      <c r="R132" s="714" t="e">
        <f t="shared" si="65"/>
        <v>#DIV/0!</v>
      </c>
      <c r="S132" s="714" t="e">
        <f t="shared" si="65"/>
        <v>#DIV/0!</v>
      </c>
      <c r="T132" s="714" t="e">
        <f t="shared" si="65"/>
        <v>#DIV/0!</v>
      </c>
      <c r="U132" s="714" t="e">
        <f t="shared" si="65"/>
        <v>#DIV/0!</v>
      </c>
      <c r="V132" s="714" t="e">
        <f t="shared" si="65"/>
        <v>#DIV/0!</v>
      </c>
      <c r="W132" s="714" t="e">
        <f t="shared" si="65"/>
        <v>#DIV/0!</v>
      </c>
      <c r="X132" s="714" t="e">
        <f t="shared" si="65"/>
        <v>#DIV/0!</v>
      </c>
      <c r="Y132" s="714" t="e">
        <f t="shared" si="65"/>
        <v>#DIV/0!</v>
      </c>
      <c r="AB132" s="675"/>
    </row>
    <row r="133" spans="2:28" ht="15" hidden="1" outlineLevel="1" thickBot="1">
      <c r="B133" s="701" t="str">
        <f t="shared" si="50"/>
        <v>Sección 1</v>
      </c>
      <c r="C133" s="702">
        <f t="shared" si="51"/>
        <v>0</v>
      </c>
      <c r="D133" s="702" t="e">
        <f>+$C133/$C$132*D$132</f>
        <v>#DIV/0!</v>
      </c>
      <c r="E133" s="702" t="e">
        <f t="shared" ref="E133:M133" si="66">+$C133/$C$132*E$132</f>
        <v>#DIV/0!</v>
      </c>
      <c r="F133" s="702" t="e">
        <f t="shared" si="66"/>
        <v>#DIV/0!</v>
      </c>
      <c r="G133" s="702" t="e">
        <f t="shared" si="66"/>
        <v>#DIV/0!</v>
      </c>
      <c r="H133" s="702" t="e">
        <f t="shared" si="66"/>
        <v>#DIV/0!</v>
      </c>
      <c r="I133" s="702" t="e">
        <f t="shared" si="66"/>
        <v>#DIV/0!</v>
      </c>
      <c r="J133" s="702" t="e">
        <f t="shared" si="66"/>
        <v>#DIV/0!</v>
      </c>
      <c r="K133" s="702" t="e">
        <f t="shared" si="66"/>
        <v>#DIV/0!</v>
      </c>
      <c r="L133" s="702" t="e">
        <f t="shared" si="66"/>
        <v>#DIV/0!</v>
      </c>
      <c r="M133" s="713" t="e">
        <f t="shared" si="66"/>
        <v>#DIV/0!</v>
      </c>
      <c r="N133" s="708"/>
      <c r="O133" s="709" t="e">
        <f>+ROUNDUP($M133/$N$87,0)</f>
        <v>#DIV/0!</v>
      </c>
      <c r="P133" s="709" t="e">
        <f t="shared" ref="P133:Y134" si="67">+ROUNDUP($M133/$N$87,0)</f>
        <v>#DIV/0!</v>
      </c>
      <c r="Q133" s="709" t="e">
        <f t="shared" si="67"/>
        <v>#DIV/0!</v>
      </c>
      <c r="R133" s="709" t="e">
        <f t="shared" si="67"/>
        <v>#DIV/0!</v>
      </c>
      <c r="S133" s="709" t="e">
        <f t="shared" si="67"/>
        <v>#DIV/0!</v>
      </c>
      <c r="T133" s="709" t="e">
        <f t="shared" si="67"/>
        <v>#DIV/0!</v>
      </c>
      <c r="U133" s="709" t="e">
        <f t="shared" si="67"/>
        <v>#DIV/0!</v>
      </c>
      <c r="V133" s="709" t="e">
        <f t="shared" si="67"/>
        <v>#DIV/0!</v>
      </c>
      <c r="W133" s="709" t="e">
        <f t="shared" si="67"/>
        <v>#DIV/0!</v>
      </c>
      <c r="X133" s="709" t="e">
        <f t="shared" si="67"/>
        <v>#DIV/0!</v>
      </c>
      <c r="Y133" s="710" t="e">
        <f t="shared" si="67"/>
        <v>#DIV/0!</v>
      </c>
      <c r="AB133" s="675"/>
    </row>
    <row r="134" spans="2:28" ht="15" hidden="1" outlineLevel="1" thickBot="1">
      <c r="B134" s="701" t="str">
        <f t="shared" si="50"/>
        <v>Sección 2</v>
      </c>
      <c r="C134" s="702">
        <f t="shared" si="51"/>
        <v>0</v>
      </c>
      <c r="D134" s="702" t="e">
        <f t="shared" ref="D134:M136" si="68">+$C134/$C$132*D$132</f>
        <v>#DIV/0!</v>
      </c>
      <c r="E134" s="702" t="e">
        <f t="shared" si="68"/>
        <v>#DIV/0!</v>
      </c>
      <c r="F134" s="702" t="e">
        <f t="shared" si="68"/>
        <v>#DIV/0!</v>
      </c>
      <c r="G134" s="702" t="e">
        <f t="shared" si="68"/>
        <v>#DIV/0!</v>
      </c>
      <c r="H134" s="702" t="e">
        <f t="shared" si="68"/>
        <v>#DIV/0!</v>
      </c>
      <c r="I134" s="702" t="e">
        <f t="shared" si="68"/>
        <v>#DIV/0!</v>
      </c>
      <c r="J134" s="702" t="e">
        <f t="shared" si="68"/>
        <v>#DIV/0!</v>
      </c>
      <c r="K134" s="702" t="e">
        <f t="shared" si="68"/>
        <v>#DIV/0!</v>
      </c>
      <c r="L134" s="702" t="e">
        <f t="shared" si="68"/>
        <v>#DIV/0!</v>
      </c>
      <c r="M134" s="713" t="e">
        <f t="shared" si="68"/>
        <v>#DIV/0!</v>
      </c>
      <c r="N134" s="708"/>
      <c r="O134" s="709" t="e">
        <f>+ROUNDUP($M134/$N$87,0)</f>
        <v>#DIV/0!</v>
      </c>
      <c r="P134" s="709" t="e">
        <f t="shared" si="67"/>
        <v>#DIV/0!</v>
      </c>
      <c r="Q134" s="709" t="e">
        <f t="shared" si="67"/>
        <v>#DIV/0!</v>
      </c>
      <c r="R134" s="709" t="e">
        <f t="shared" si="67"/>
        <v>#DIV/0!</v>
      </c>
      <c r="S134" s="709" t="e">
        <f t="shared" si="67"/>
        <v>#DIV/0!</v>
      </c>
      <c r="T134" s="709" t="e">
        <f t="shared" si="67"/>
        <v>#DIV/0!</v>
      </c>
      <c r="U134" s="709" t="e">
        <f t="shared" si="67"/>
        <v>#DIV/0!</v>
      </c>
      <c r="V134" s="709" t="e">
        <f t="shared" si="67"/>
        <v>#DIV/0!</v>
      </c>
      <c r="W134" s="709" t="e">
        <f t="shared" si="67"/>
        <v>#DIV/0!</v>
      </c>
      <c r="X134" s="709" t="e">
        <f t="shared" si="67"/>
        <v>#DIV/0!</v>
      </c>
      <c r="Y134" s="710" t="e">
        <f t="shared" si="67"/>
        <v>#DIV/0!</v>
      </c>
      <c r="AB134" s="675"/>
    </row>
    <row r="135" spans="2:28" ht="15" hidden="1" outlineLevel="1" thickBot="1">
      <c r="B135" s="701" t="str">
        <f t="shared" si="50"/>
        <v>Sección 3</v>
      </c>
      <c r="C135" s="702">
        <f t="shared" si="51"/>
        <v>0</v>
      </c>
      <c r="D135" s="702" t="e">
        <f t="shared" si="68"/>
        <v>#DIV/0!</v>
      </c>
      <c r="E135" s="702" t="e">
        <f t="shared" si="68"/>
        <v>#DIV/0!</v>
      </c>
      <c r="F135" s="702" t="e">
        <f t="shared" si="68"/>
        <v>#DIV/0!</v>
      </c>
      <c r="G135" s="702" t="e">
        <f t="shared" si="68"/>
        <v>#DIV/0!</v>
      </c>
      <c r="H135" s="702" t="e">
        <f t="shared" si="68"/>
        <v>#DIV/0!</v>
      </c>
      <c r="I135" s="702" t="e">
        <f t="shared" si="68"/>
        <v>#DIV/0!</v>
      </c>
      <c r="J135" s="702" t="e">
        <f t="shared" si="68"/>
        <v>#DIV/0!</v>
      </c>
      <c r="K135" s="702" t="e">
        <f t="shared" si="68"/>
        <v>#DIV/0!</v>
      </c>
      <c r="L135" s="702" t="e">
        <f t="shared" si="68"/>
        <v>#DIV/0!</v>
      </c>
      <c r="M135" s="713" t="e">
        <f t="shared" si="68"/>
        <v>#DIV/0!</v>
      </c>
      <c r="N135" s="708"/>
      <c r="O135" s="709" t="e">
        <f t="shared" ref="O135:Y136" si="69">+ROUNDUP($M135/$N$87,0)</f>
        <v>#DIV/0!</v>
      </c>
      <c r="P135" s="709" t="e">
        <f t="shared" si="69"/>
        <v>#DIV/0!</v>
      </c>
      <c r="Q135" s="709" t="e">
        <f t="shared" si="69"/>
        <v>#DIV/0!</v>
      </c>
      <c r="R135" s="709" t="e">
        <f t="shared" si="69"/>
        <v>#DIV/0!</v>
      </c>
      <c r="S135" s="709" t="e">
        <f t="shared" si="69"/>
        <v>#DIV/0!</v>
      </c>
      <c r="T135" s="709" t="e">
        <f t="shared" si="69"/>
        <v>#DIV/0!</v>
      </c>
      <c r="U135" s="709" t="e">
        <f t="shared" si="69"/>
        <v>#DIV/0!</v>
      </c>
      <c r="V135" s="709" t="e">
        <f t="shared" si="69"/>
        <v>#DIV/0!</v>
      </c>
      <c r="W135" s="709" t="e">
        <f t="shared" si="69"/>
        <v>#DIV/0!</v>
      </c>
      <c r="X135" s="709" t="e">
        <f t="shared" si="69"/>
        <v>#DIV/0!</v>
      </c>
      <c r="Y135" s="710" t="e">
        <f t="shared" si="69"/>
        <v>#DIV/0!</v>
      </c>
      <c r="AB135" s="675"/>
    </row>
    <row r="136" spans="2:28" ht="15" hidden="1" outlineLevel="1" thickBot="1">
      <c r="B136" s="701" t="str">
        <f t="shared" si="50"/>
        <v>Sección 4</v>
      </c>
      <c r="C136" s="702">
        <f t="shared" si="51"/>
        <v>0</v>
      </c>
      <c r="D136" s="702" t="e">
        <f t="shared" si="68"/>
        <v>#DIV/0!</v>
      </c>
      <c r="E136" s="702" t="e">
        <f t="shared" si="68"/>
        <v>#DIV/0!</v>
      </c>
      <c r="F136" s="702" t="e">
        <f t="shared" si="68"/>
        <v>#DIV/0!</v>
      </c>
      <c r="G136" s="702" t="e">
        <f t="shared" si="68"/>
        <v>#DIV/0!</v>
      </c>
      <c r="H136" s="702" t="e">
        <f t="shared" si="68"/>
        <v>#DIV/0!</v>
      </c>
      <c r="I136" s="702" t="e">
        <f t="shared" si="68"/>
        <v>#DIV/0!</v>
      </c>
      <c r="J136" s="702" t="e">
        <f t="shared" si="68"/>
        <v>#DIV/0!</v>
      </c>
      <c r="K136" s="702" t="e">
        <f t="shared" si="68"/>
        <v>#DIV/0!</v>
      </c>
      <c r="L136" s="702" t="e">
        <f t="shared" si="68"/>
        <v>#DIV/0!</v>
      </c>
      <c r="M136" s="713" t="e">
        <f t="shared" si="68"/>
        <v>#DIV/0!</v>
      </c>
      <c r="N136" s="708"/>
      <c r="O136" s="709" t="e">
        <f t="shared" si="69"/>
        <v>#DIV/0!</v>
      </c>
      <c r="P136" s="709" t="e">
        <f t="shared" si="69"/>
        <v>#DIV/0!</v>
      </c>
      <c r="Q136" s="709" t="e">
        <f t="shared" si="69"/>
        <v>#DIV/0!</v>
      </c>
      <c r="R136" s="709" t="e">
        <f t="shared" si="69"/>
        <v>#DIV/0!</v>
      </c>
      <c r="S136" s="709" t="e">
        <f t="shared" si="69"/>
        <v>#DIV/0!</v>
      </c>
      <c r="T136" s="709" t="e">
        <f t="shared" si="69"/>
        <v>#DIV/0!</v>
      </c>
      <c r="U136" s="709" t="e">
        <f t="shared" si="69"/>
        <v>#DIV/0!</v>
      </c>
      <c r="V136" s="709" t="e">
        <f t="shared" si="69"/>
        <v>#DIV/0!</v>
      </c>
      <c r="W136" s="709" t="e">
        <f t="shared" si="69"/>
        <v>#DIV/0!</v>
      </c>
      <c r="X136" s="709" t="e">
        <f t="shared" si="69"/>
        <v>#DIV/0!</v>
      </c>
      <c r="Y136" s="710" t="e">
        <f t="shared" si="69"/>
        <v>#DIV/0!</v>
      </c>
      <c r="AB136" s="675"/>
    </row>
    <row r="137" spans="2:28" ht="15" hidden="1" outlineLevel="1" thickBot="1">
      <c r="B137" s="701" t="str">
        <f t="shared" si="50"/>
        <v>No aplica</v>
      </c>
      <c r="C137" s="702">
        <f t="shared" si="51"/>
        <v>0</v>
      </c>
      <c r="D137" s="702">
        <f t="shared" ref="D137:M137" si="70">+IF($F$9="Inicial",0,C132*$Q36+C137*$S41+C137*$V41)</f>
        <v>0</v>
      </c>
      <c r="E137" s="702">
        <f t="shared" si="70"/>
        <v>0</v>
      </c>
      <c r="F137" s="702">
        <f t="shared" si="70"/>
        <v>0</v>
      </c>
      <c r="G137" s="702">
        <f t="shared" si="70"/>
        <v>0</v>
      </c>
      <c r="H137" s="702">
        <f t="shared" si="70"/>
        <v>0</v>
      </c>
      <c r="I137" s="702">
        <f t="shared" si="70"/>
        <v>0</v>
      </c>
      <c r="J137" s="702">
        <f t="shared" si="70"/>
        <v>0</v>
      </c>
      <c r="K137" s="702">
        <f t="shared" si="70"/>
        <v>0</v>
      </c>
      <c r="L137" s="702">
        <f t="shared" si="70"/>
        <v>0</v>
      </c>
      <c r="M137" s="702">
        <f t="shared" si="70"/>
        <v>0</v>
      </c>
      <c r="N137" s="708">
        <f>+M137/$N$121</f>
        <v>0</v>
      </c>
      <c r="O137" s="709">
        <f>+ROUNDUP(C137/$N$121,0)</f>
        <v>0</v>
      </c>
      <c r="P137" s="709">
        <f t="shared" ref="P137:Y137" si="71">+IF($F$9="Inicial",0,ROUNDUP(D137/$N$121,0))</f>
        <v>0</v>
      </c>
      <c r="Q137" s="709">
        <f t="shared" si="71"/>
        <v>0</v>
      </c>
      <c r="R137" s="709">
        <f t="shared" si="71"/>
        <v>0</v>
      </c>
      <c r="S137" s="709">
        <f t="shared" si="71"/>
        <v>0</v>
      </c>
      <c r="T137" s="709">
        <f t="shared" si="71"/>
        <v>0</v>
      </c>
      <c r="U137" s="709">
        <f t="shared" si="71"/>
        <v>0</v>
      </c>
      <c r="V137" s="709">
        <f t="shared" si="71"/>
        <v>0</v>
      </c>
      <c r="W137" s="709">
        <f t="shared" si="71"/>
        <v>0</v>
      </c>
      <c r="X137" s="709">
        <f t="shared" si="71"/>
        <v>0</v>
      </c>
      <c r="Y137" s="709">
        <f t="shared" si="71"/>
        <v>0</v>
      </c>
      <c r="AB137" s="675"/>
    </row>
    <row r="138" spans="2:28" ht="15" hidden="1" outlineLevel="1" thickBot="1">
      <c r="B138" s="701" t="str">
        <f t="shared" si="50"/>
        <v>Sección 1</v>
      </c>
      <c r="C138" s="702">
        <f t="shared" si="51"/>
        <v>0</v>
      </c>
      <c r="D138" s="702" t="e">
        <f>+$C138/$C$137*D$137</f>
        <v>#DIV/0!</v>
      </c>
      <c r="E138" s="702" t="e">
        <f t="shared" ref="E138:M138" si="72">+$C138/$C$137*E$137</f>
        <v>#DIV/0!</v>
      </c>
      <c r="F138" s="702" t="e">
        <f t="shared" si="72"/>
        <v>#DIV/0!</v>
      </c>
      <c r="G138" s="702" t="e">
        <f t="shared" si="72"/>
        <v>#DIV/0!</v>
      </c>
      <c r="H138" s="702" t="e">
        <f t="shared" si="72"/>
        <v>#DIV/0!</v>
      </c>
      <c r="I138" s="702" t="e">
        <f t="shared" si="72"/>
        <v>#DIV/0!</v>
      </c>
      <c r="J138" s="702" t="e">
        <f t="shared" si="72"/>
        <v>#DIV/0!</v>
      </c>
      <c r="K138" s="702" t="e">
        <f t="shared" si="72"/>
        <v>#DIV/0!</v>
      </c>
      <c r="L138" s="702" t="e">
        <f t="shared" si="72"/>
        <v>#DIV/0!</v>
      </c>
      <c r="M138" s="713" t="e">
        <f t="shared" si="72"/>
        <v>#DIV/0!</v>
      </c>
      <c r="N138" s="708"/>
      <c r="O138" s="709" t="e">
        <f>+ROUNDUP($M138/$N$87,0)</f>
        <v>#DIV/0!</v>
      </c>
      <c r="P138" s="709" t="e">
        <f t="shared" ref="P138:Y139" si="73">+ROUNDUP($M138/$N$87,0)</f>
        <v>#DIV/0!</v>
      </c>
      <c r="Q138" s="709" t="e">
        <f t="shared" si="73"/>
        <v>#DIV/0!</v>
      </c>
      <c r="R138" s="709" t="e">
        <f t="shared" si="73"/>
        <v>#DIV/0!</v>
      </c>
      <c r="S138" s="709" t="e">
        <f t="shared" si="73"/>
        <v>#DIV/0!</v>
      </c>
      <c r="T138" s="709" t="e">
        <f t="shared" si="73"/>
        <v>#DIV/0!</v>
      </c>
      <c r="U138" s="709" t="e">
        <f t="shared" si="73"/>
        <v>#DIV/0!</v>
      </c>
      <c r="V138" s="709" t="e">
        <f t="shared" si="73"/>
        <v>#DIV/0!</v>
      </c>
      <c r="W138" s="709" t="e">
        <f t="shared" si="73"/>
        <v>#DIV/0!</v>
      </c>
      <c r="X138" s="709" t="e">
        <f t="shared" si="73"/>
        <v>#DIV/0!</v>
      </c>
      <c r="Y138" s="710" t="e">
        <f t="shared" si="73"/>
        <v>#DIV/0!</v>
      </c>
      <c r="AB138" s="675"/>
    </row>
    <row r="139" spans="2:28" ht="15" hidden="1" outlineLevel="1" thickBot="1">
      <c r="B139" s="701" t="str">
        <f t="shared" si="50"/>
        <v>Sección 2</v>
      </c>
      <c r="C139" s="702">
        <f t="shared" si="51"/>
        <v>0</v>
      </c>
      <c r="D139" s="702" t="e">
        <f t="shared" ref="D139:M141" si="74">+$C139/$C$137*D$137</f>
        <v>#DIV/0!</v>
      </c>
      <c r="E139" s="702" t="e">
        <f t="shared" si="74"/>
        <v>#DIV/0!</v>
      </c>
      <c r="F139" s="702" t="e">
        <f t="shared" si="74"/>
        <v>#DIV/0!</v>
      </c>
      <c r="G139" s="702" t="e">
        <f t="shared" si="74"/>
        <v>#DIV/0!</v>
      </c>
      <c r="H139" s="702" t="e">
        <f t="shared" si="74"/>
        <v>#DIV/0!</v>
      </c>
      <c r="I139" s="702" t="e">
        <f t="shared" si="74"/>
        <v>#DIV/0!</v>
      </c>
      <c r="J139" s="702" t="e">
        <f t="shared" si="74"/>
        <v>#DIV/0!</v>
      </c>
      <c r="K139" s="702" t="e">
        <f t="shared" si="74"/>
        <v>#DIV/0!</v>
      </c>
      <c r="L139" s="702" t="e">
        <f t="shared" si="74"/>
        <v>#DIV/0!</v>
      </c>
      <c r="M139" s="713" t="e">
        <f t="shared" si="74"/>
        <v>#DIV/0!</v>
      </c>
      <c r="N139" s="708"/>
      <c r="O139" s="709" t="e">
        <f>+ROUNDUP($M139/$N$87,0)</f>
        <v>#DIV/0!</v>
      </c>
      <c r="P139" s="709" t="e">
        <f t="shared" si="73"/>
        <v>#DIV/0!</v>
      </c>
      <c r="Q139" s="709" t="e">
        <f t="shared" si="73"/>
        <v>#DIV/0!</v>
      </c>
      <c r="R139" s="709" t="e">
        <f t="shared" si="73"/>
        <v>#DIV/0!</v>
      </c>
      <c r="S139" s="709" t="e">
        <f t="shared" si="73"/>
        <v>#DIV/0!</v>
      </c>
      <c r="T139" s="709" t="e">
        <f t="shared" si="73"/>
        <v>#DIV/0!</v>
      </c>
      <c r="U139" s="709" t="e">
        <f t="shared" si="73"/>
        <v>#DIV/0!</v>
      </c>
      <c r="V139" s="709" t="e">
        <f t="shared" si="73"/>
        <v>#DIV/0!</v>
      </c>
      <c r="W139" s="709" t="e">
        <f t="shared" si="73"/>
        <v>#DIV/0!</v>
      </c>
      <c r="X139" s="709" t="e">
        <f t="shared" si="73"/>
        <v>#DIV/0!</v>
      </c>
      <c r="Y139" s="710" t="e">
        <f t="shared" si="73"/>
        <v>#DIV/0!</v>
      </c>
      <c r="AB139" s="675"/>
    </row>
    <row r="140" spans="2:28" ht="15" hidden="1" outlineLevel="1" thickBot="1">
      <c r="B140" s="701" t="str">
        <f t="shared" si="50"/>
        <v>Sección 3</v>
      </c>
      <c r="C140" s="702">
        <f t="shared" si="51"/>
        <v>0</v>
      </c>
      <c r="D140" s="702" t="e">
        <f t="shared" si="74"/>
        <v>#DIV/0!</v>
      </c>
      <c r="E140" s="702" t="e">
        <f t="shared" si="74"/>
        <v>#DIV/0!</v>
      </c>
      <c r="F140" s="702" t="e">
        <f t="shared" si="74"/>
        <v>#DIV/0!</v>
      </c>
      <c r="G140" s="702" t="e">
        <f t="shared" si="74"/>
        <v>#DIV/0!</v>
      </c>
      <c r="H140" s="702" t="e">
        <f t="shared" si="74"/>
        <v>#DIV/0!</v>
      </c>
      <c r="I140" s="702" t="e">
        <f t="shared" si="74"/>
        <v>#DIV/0!</v>
      </c>
      <c r="J140" s="702" t="e">
        <f t="shared" si="74"/>
        <v>#DIV/0!</v>
      </c>
      <c r="K140" s="702" t="e">
        <f t="shared" si="74"/>
        <v>#DIV/0!</v>
      </c>
      <c r="L140" s="702" t="e">
        <f t="shared" si="74"/>
        <v>#DIV/0!</v>
      </c>
      <c r="M140" s="713" t="e">
        <f t="shared" si="74"/>
        <v>#DIV/0!</v>
      </c>
      <c r="N140" s="708"/>
      <c r="O140" s="709" t="e">
        <f t="shared" ref="O140:Y141" si="75">+ROUNDUP($M140/$N$87,0)</f>
        <v>#DIV/0!</v>
      </c>
      <c r="P140" s="709" t="e">
        <f t="shared" si="75"/>
        <v>#DIV/0!</v>
      </c>
      <c r="Q140" s="709" t="e">
        <f t="shared" si="75"/>
        <v>#DIV/0!</v>
      </c>
      <c r="R140" s="709" t="e">
        <f t="shared" si="75"/>
        <v>#DIV/0!</v>
      </c>
      <c r="S140" s="709" t="e">
        <f t="shared" si="75"/>
        <v>#DIV/0!</v>
      </c>
      <c r="T140" s="709" t="e">
        <f t="shared" si="75"/>
        <v>#DIV/0!</v>
      </c>
      <c r="U140" s="709" t="e">
        <f t="shared" si="75"/>
        <v>#DIV/0!</v>
      </c>
      <c r="V140" s="709" t="e">
        <f t="shared" si="75"/>
        <v>#DIV/0!</v>
      </c>
      <c r="W140" s="709" t="e">
        <f t="shared" si="75"/>
        <v>#DIV/0!</v>
      </c>
      <c r="X140" s="709" t="e">
        <f t="shared" si="75"/>
        <v>#DIV/0!</v>
      </c>
      <c r="Y140" s="710" t="e">
        <f t="shared" si="75"/>
        <v>#DIV/0!</v>
      </c>
      <c r="AB140" s="675"/>
    </row>
    <row r="141" spans="2:28" ht="15" hidden="1" outlineLevel="1" thickBot="1">
      <c r="B141" s="701" t="str">
        <f t="shared" si="50"/>
        <v>Sección 4</v>
      </c>
      <c r="C141" s="702">
        <f t="shared" si="51"/>
        <v>0</v>
      </c>
      <c r="D141" s="702" t="e">
        <f t="shared" si="74"/>
        <v>#DIV/0!</v>
      </c>
      <c r="E141" s="702" t="e">
        <f t="shared" si="74"/>
        <v>#DIV/0!</v>
      </c>
      <c r="F141" s="702" t="e">
        <f t="shared" si="74"/>
        <v>#DIV/0!</v>
      </c>
      <c r="G141" s="702" t="e">
        <f t="shared" si="74"/>
        <v>#DIV/0!</v>
      </c>
      <c r="H141" s="702" t="e">
        <f t="shared" si="74"/>
        <v>#DIV/0!</v>
      </c>
      <c r="I141" s="702" t="e">
        <f t="shared" si="74"/>
        <v>#DIV/0!</v>
      </c>
      <c r="J141" s="702" t="e">
        <f t="shared" si="74"/>
        <v>#DIV/0!</v>
      </c>
      <c r="K141" s="702" t="e">
        <f t="shared" si="74"/>
        <v>#DIV/0!</v>
      </c>
      <c r="L141" s="702" t="e">
        <f t="shared" si="74"/>
        <v>#DIV/0!</v>
      </c>
      <c r="M141" s="713" t="e">
        <f t="shared" si="74"/>
        <v>#DIV/0!</v>
      </c>
      <c r="N141" s="708"/>
      <c r="O141" s="709" t="e">
        <f t="shared" si="75"/>
        <v>#DIV/0!</v>
      </c>
      <c r="P141" s="709" t="e">
        <f t="shared" si="75"/>
        <v>#DIV/0!</v>
      </c>
      <c r="Q141" s="709" t="e">
        <f t="shared" si="75"/>
        <v>#DIV/0!</v>
      </c>
      <c r="R141" s="709" t="e">
        <f t="shared" si="75"/>
        <v>#DIV/0!</v>
      </c>
      <c r="S141" s="709" t="e">
        <f t="shared" si="75"/>
        <v>#DIV/0!</v>
      </c>
      <c r="T141" s="709" t="e">
        <f t="shared" si="75"/>
        <v>#DIV/0!</v>
      </c>
      <c r="U141" s="709" t="e">
        <f t="shared" si="75"/>
        <v>#DIV/0!</v>
      </c>
      <c r="V141" s="709" t="e">
        <f t="shared" si="75"/>
        <v>#DIV/0!</v>
      </c>
      <c r="W141" s="709" t="e">
        <f t="shared" si="75"/>
        <v>#DIV/0!</v>
      </c>
      <c r="X141" s="709" t="e">
        <f t="shared" si="75"/>
        <v>#DIV/0!</v>
      </c>
      <c r="Y141" s="710" t="e">
        <f t="shared" si="75"/>
        <v>#DIV/0!</v>
      </c>
      <c r="AB141" s="675"/>
    </row>
    <row r="142" spans="2:28" ht="15" hidden="1" outlineLevel="1" thickBot="1">
      <c r="B142" s="701" t="str">
        <f t="shared" si="50"/>
        <v>No aplica</v>
      </c>
      <c r="C142" s="702">
        <f t="shared" si="51"/>
        <v>0</v>
      </c>
      <c r="D142" s="702">
        <f t="shared" ref="D142:M142" si="76">+C137*$Q41+C142*$S46+C142*$V46</f>
        <v>0</v>
      </c>
      <c r="E142" s="702">
        <f t="shared" si="76"/>
        <v>0</v>
      </c>
      <c r="F142" s="702">
        <f t="shared" si="76"/>
        <v>0</v>
      </c>
      <c r="G142" s="702">
        <f t="shared" si="76"/>
        <v>0</v>
      </c>
      <c r="H142" s="702">
        <f t="shared" si="76"/>
        <v>0</v>
      </c>
      <c r="I142" s="702">
        <f t="shared" si="76"/>
        <v>0</v>
      </c>
      <c r="J142" s="702">
        <f t="shared" si="76"/>
        <v>0</v>
      </c>
      <c r="K142" s="702">
        <f t="shared" si="76"/>
        <v>0</v>
      </c>
      <c r="L142" s="702">
        <f t="shared" si="76"/>
        <v>0</v>
      </c>
      <c r="M142" s="702">
        <f t="shared" si="76"/>
        <v>0</v>
      </c>
      <c r="N142" s="708">
        <f>+M142/$N$121</f>
        <v>0</v>
      </c>
      <c r="O142" s="709">
        <f>+ROUNDUP(C142/$N$121,0)</f>
        <v>0</v>
      </c>
      <c r="P142" s="709">
        <f t="shared" ref="P142:Y142" si="77">+ROUNDUP(D142/$N$121,0)</f>
        <v>0</v>
      </c>
      <c r="Q142" s="709">
        <f t="shared" si="77"/>
        <v>0</v>
      </c>
      <c r="R142" s="709">
        <f t="shared" si="77"/>
        <v>0</v>
      </c>
      <c r="S142" s="709">
        <f t="shared" si="77"/>
        <v>0</v>
      </c>
      <c r="T142" s="709">
        <f t="shared" si="77"/>
        <v>0</v>
      </c>
      <c r="U142" s="709">
        <f t="shared" si="77"/>
        <v>0</v>
      </c>
      <c r="V142" s="709">
        <f t="shared" si="77"/>
        <v>0</v>
      </c>
      <c r="W142" s="709">
        <f t="shared" si="77"/>
        <v>0</v>
      </c>
      <c r="X142" s="709">
        <f t="shared" si="77"/>
        <v>0</v>
      </c>
      <c r="Y142" s="709">
        <f t="shared" si="77"/>
        <v>0</v>
      </c>
      <c r="AB142" s="675"/>
    </row>
    <row r="143" spans="2:28" ht="15" hidden="1" outlineLevel="1" thickBot="1">
      <c r="B143" s="701" t="str">
        <f t="shared" si="50"/>
        <v>Sección 1</v>
      </c>
      <c r="C143" s="702">
        <f t="shared" si="51"/>
        <v>0</v>
      </c>
      <c r="D143" s="702" t="e">
        <f>+$C143/$C$142*D$142</f>
        <v>#DIV/0!</v>
      </c>
      <c r="E143" s="702" t="e">
        <f t="shared" ref="E143:M143" si="78">+$C143/$C$142*E$142</f>
        <v>#DIV/0!</v>
      </c>
      <c r="F143" s="702" t="e">
        <f t="shared" si="78"/>
        <v>#DIV/0!</v>
      </c>
      <c r="G143" s="702" t="e">
        <f t="shared" si="78"/>
        <v>#DIV/0!</v>
      </c>
      <c r="H143" s="702" t="e">
        <f t="shared" si="78"/>
        <v>#DIV/0!</v>
      </c>
      <c r="I143" s="702" t="e">
        <f t="shared" si="78"/>
        <v>#DIV/0!</v>
      </c>
      <c r="J143" s="702" t="e">
        <f t="shared" si="78"/>
        <v>#DIV/0!</v>
      </c>
      <c r="K143" s="702" t="e">
        <f t="shared" si="78"/>
        <v>#DIV/0!</v>
      </c>
      <c r="L143" s="702" t="e">
        <f t="shared" si="78"/>
        <v>#DIV/0!</v>
      </c>
      <c r="M143" s="713" t="e">
        <f t="shared" si="78"/>
        <v>#DIV/0!</v>
      </c>
      <c r="N143" s="708"/>
      <c r="O143" s="709" t="e">
        <f>+ROUNDUP($M143/$N$87,0)</f>
        <v>#DIV/0!</v>
      </c>
      <c r="P143" s="709" t="e">
        <f t="shared" ref="P143:Y144" si="79">+ROUNDUP($M143/$N$87,0)</f>
        <v>#DIV/0!</v>
      </c>
      <c r="Q143" s="709" t="e">
        <f t="shared" si="79"/>
        <v>#DIV/0!</v>
      </c>
      <c r="R143" s="709" t="e">
        <f t="shared" si="79"/>
        <v>#DIV/0!</v>
      </c>
      <c r="S143" s="709" t="e">
        <f t="shared" si="79"/>
        <v>#DIV/0!</v>
      </c>
      <c r="T143" s="709" t="e">
        <f t="shared" si="79"/>
        <v>#DIV/0!</v>
      </c>
      <c r="U143" s="709" t="e">
        <f t="shared" si="79"/>
        <v>#DIV/0!</v>
      </c>
      <c r="V143" s="709" t="e">
        <f t="shared" si="79"/>
        <v>#DIV/0!</v>
      </c>
      <c r="W143" s="709" t="e">
        <f t="shared" si="79"/>
        <v>#DIV/0!</v>
      </c>
      <c r="X143" s="709" t="e">
        <f t="shared" si="79"/>
        <v>#DIV/0!</v>
      </c>
      <c r="Y143" s="710" t="e">
        <f t="shared" si="79"/>
        <v>#DIV/0!</v>
      </c>
      <c r="AB143" s="675"/>
    </row>
    <row r="144" spans="2:28" ht="15" hidden="1" outlineLevel="1" thickBot="1">
      <c r="B144" s="701" t="str">
        <f t="shared" si="50"/>
        <v>Sección 2</v>
      </c>
      <c r="C144" s="702">
        <f t="shared" si="51"/>
        <v>0</v>
      </c>
      <c r="D144" s="702" t="e">
        <f t="shared" ref="D144:M146" si="80">+$C144/$C$142*D$142</f>
        <v>#DIV/0!</v>
      </c>
      <c r="E144" s="702" t="e">
        <f t="shared" si="80"/>
        <v>#DIV/0!</v>
      </c>
      <c r="F144" s="702" t="e">
        <f t="shared" si="80"/>
        <v>#DIV/0!</v>
      </c>
      <c r="G144" s="702" t="e">
        <f t="shared" si="80"/>
        <v>#DIV/0!</v>
      </c>
      <c r="H144" s="702" t="e">
        <f t="shared" si="80"/>
        <v>#DIV/0!</v>
      </c>
      <c r="I144" s="702" t="e">
        <f t="shared" si="80"/>
        <v>#DIV/0!</v>
      </c>
      <c r="J144" s="702" t="e">
        <f t="shared" si="80"/>
        <v>#DIV/0!</v>
      </c>
      <c r="K144" s="702" t="e">
        <f t="shared" si="80"/>
        <v>#DIV/0!</v>
      </c>
      <c r="L144" s="702" t="e">
        <f t="shared" si="80"/>
        <v>#DIV/0!</v>
      </c>
      <c r="M144" s="713" t="e">
        <f t="shared" si="80"/>
        <v>#DIV/0!</v>
      </c>
      <c r="N144" s="708"/>
      <c r="O144" s="709" t="e">
        <f>+ROUNDUP($M144/$N$87,0)</f>
        <v>#DIV/0!</v>
      </c>
      <c r="P144" s="709" t="e">
        <f t="shared" si="79"/>
        <v>#DIV/0!</v>
      </c>
      <c r="Q144" s="709" t="e">
        <f t="shared" si="79"/>
        <v>#DIV/0!</v>
      </c>
      <c r="R144" s="709" t="e">
        <f t="shared" si="79"/>
        <v>#DIV/0!</v>
      </c>
      <c r="S144" s="709" t="e">
        <f t="shared" si="79"/>
        <v>#DIV/0!</v>
      </c>
      <c r="T144" s="709" t="e">
        <f t="shared" si="79"/>
        <v>#DIV/0!</v>
      </c>
      <c r="U144" s="709" t="e">
        <f t="shared" si="79"/>
        <v>#DIV/0!</v>
      </c>
      <c r="V144" s="709" t="e">
        <f t="shared" si="79"/>
        <v>#DIV/0!</v>
      </c>
      <c r="W144" s="709" t="e">
        <f t="shared" si="79"/>
        <v>#DIV/0!</v>
      </c>
      <c r="X144" s="709" t="e">
        <f t="shared" si="79"/>
        <v>#DIV/0!</v>
      </c>
      <c r="Y144" s="710" t="e">
        <f t="shared" si="79"/>
        <v>#DIV/0!</v>
      </c>
      <c r="AB144" s="675"/>
    </row>
    <row r="145" spans="2:28" ht="15" hidden="1" outlineLevel="1" thickBot="1">
      <c r="B145" s="701" t="str">
        <f t="shared" si="50"/>
        <v>Sección 3</v>
      </c>
      <c r="C145" s="702">
        <f t="shared" si="51"/>
        <v>0</v>
      </c>
      <c r="D145" s="702" t="e">
        <f t="shared" si="80"/>
        <v>#DIV/0!</v>
      </c>
      <c r="E145" s="702" t="e">
        <f t="shared" si="80"/>
        <v>#DIV/0!</v>
      </c>
      <c r="F145" s="702" t="e">
        <f t="shared" si="80"/>
        <v>#DIV/0!</v>
      </c>
      <c r="G145" s="702" t="e">
        <f t="shared" si="80"/>
        <v>#DIV/0!</v>
      </c>
      <c r="H145" s="702" t="e">
        <f t="shared" si="80"/>
        <v>#DIV/0!</v>
      </c>
      <c r="I145" s="702" t="e">
        <f t="shared" si="80"/>
        <v>#DIV/0!</v>
      </c>
      <c r="J145" s="702" t="e">
        <f t="shared" si="80"/>
        <v>#DIV/0!</v>
      </c>
      <c r="K145" s="702" t="e">
        <f t="shared" si="80"/>
        <v>#DIV/0!</v>
      </c>
      <c r="L145" s="702" t="e">
        <f t="shared" si="80"/>
        <v>#DIV/0!</v>
      </c>
      <c r="M145" s="713" t="e">
        <f t="shared" si="80"/>
        <v>#DIV/0!</v>
      </c>
      <c r="N145" s="708"/>
      <c r="O145" s="709" t="e">
        <f t="shared" ref="O145:Y146" si="81">+ROUNDUP($M145/$N$87,0)</f>
        <v>#DIV/0!</v>
      </c>
      <c r="P145" s="709" t="e">
        <f t="shared" si="81"/>
        <v>#DIV/0!</v>
      </c>
      <c r="Q145" s="709" t="e">
        <f t="shared" si="81"/>
        <v>#DIV/0!</v>
      </c>
      <c r="R145" s="709" t="e">
        <f t="shared" si="81"/>
        <v>#DIV/0!</v>
      </c>
      <c r="S145" s="709" t="e">
        <f t="shared" si="81"/>
        <v>#DIV/0!</v>
      </c>
      <c r="T145" s="709" t="e">
        <f t="shared" si="81"/>
        <v>#DIV/0!</v>
      </c>
      <c r="U145" s="709" t="e">
        <f t="shared" si="81"/>
        <v>#DIV/0!</v>
      </c>
      <c r="V145" s="709" t="e">
        <f t="shared" si="81"/>
        <v>#DIV/0!</v>
      </c>
      <c r="W145" s="709" t="e">
        <f t="shared" si="81"/>
        <v>#DIV/0!</v>
      </c>
      <c r="X145" s="709" t="e">
        <f t="shared" si="81"/>
        <v>#DIV/0!</v>
      </c>
      <c r="Y145" s="710" t="e">
        <f t="shared" si="81"/>
        <v>#DIV/0!</v>
      </c>
      <c r="AB145" s="675"/>
    </row>
    <row r="146" spans="2:28" ht="15" hidden="1" outlineLevel="1" thickBot="1">
      <c r="B146" s="701" t="str">
        <f t="shared" si="50"/>
        <v>Sección 4</v>
      </c>
      <c r="C146" s="702">
        <f t="shared" si="51"/>
        <v>0</v>
      </c>
      <c r="D146" s="702" t="e">
        <f t="shared" si="80"/>
        <v>#DIV/0!</v>
      </c>
      <c r="E146" s="702" t="e">
        <f t="shared" si="80"/>
        <v>#DIV/0!</v>
      </c>
      <c r="F146" s="702" t="e">
        <f t="shared" si="80"/>
        <v>#DIV/0!</v>
      </c>
      <c r="G146" s="702" t="e">
        <f t="shared" si="80"/>
        <v>#DIV/0!</v>
      </c>
      <c r="H146" s="702" t="e">
        <f t="shared" si="80"/>
        <v>#DIV/0!</v>
      </c>
      <c r="I146" s="702" t="e">
        <f t="shared" si="80"/>
        <v>#DIV/0!</v>
      </c>
      <c r="J146" s="702" t="e">
        <f t="shared" si="80"/>
        <v>#DIV/0!</v>
      </c>
      <c r="K146" s="702" t="e">
        <f t="shared" si="80"/>
        <v>#DIV/0!</v>
      </c>
      <c r="L146" s="702" t="e">
        <f t="shared" si="80"/>
        <v>#DIV/0!</v>
      </c>
      <c r="M146" s="713" t="e">
        <f t="shared" si="80"/>
        <v>#DIV/0!</v>
      </c>
      <c r="N146" s="708"/>
      <c r="O146" s="709" t="e">
        <f t="shared" si="81"/>
        <v>#DIV/0!</v>
      </c>
      <c r="P146" s="709" t="e">
        <f t="shared" si="81"/>
        <v>#DIV/0!</v>
      </c>
      <c r="Q146" s="709" t="e">
        <f t="shared" si="81"/>
        <v>#DIV/0!</v>
      </c>
      <c r="R146" s="709" t="e">
        <f t="shared" si="81"/>
        <v>#DIV/0!</v>
      </c>
      <c r="S146" s="709" t="e">
        <f t="shared" si="81"/>
        <v>#DIV/0!</v>
      </c>
      <c r="T146" s="709" t="e">
        <f t="shared" si="81"/>
        <v>#DIV/0!</v>
      </c>
      <c r="U146" s="709" t="e">
        <f t="shared" si="81"/>
        <v>#DIV/0!</v>
      </c>
      <c r="V146" s="709" t="e">
        <f t="shared" si="81"/>
        <v>#DIV/0!</v>
      </c>
      <c r="W146" s="709" t="e">
        <f t="shared" si="81"/>
        <v>#DIV/0!</v>
      </c>
      <c r="X146" s="709" t="e">
        <f t="shared" si="81"/>
        <v>#DIV/0!</v>
      </c>
      <c r="Y146" s="710" t="e">
        <f t="shared" si="81"/>
        <v>#DIV/0!</v>
      </c>
      <c r="AB146" s="675"/>
    </row>
    <row r="147" spans="2:28" ht="15" hidden="1" outlineLevel="1" thickBot="1">
      <c r="B147" s="701" t="str">
        <f t="shared" si="50"/>
        <v>No aplica</v>
      </c>
      <c r="C147" s="702">
        <f t="shared" si="51"/>
        <v>0</v>
      </c>
      <c r="D147" s="702">
        <f t="shared" ref="D147:M147" si="82">+IF($F$9="Secundaria",0,C142*$Q46+C147*$S51+C147*$V51)</f>
        <v>0</v>
      </c>
      <c r="E147" s="702">
        <f t="shared" si="82"/>
        <v>0</v>
      </c>
      <c r="F147" s="702">
        <f t="shared" si="82"/>
        <v>0</v>
      </c>
      <c r="G147" s="702">
        <f t="shared" si="82"/>
        <v>0</v>
      </c>
      <c r="H147" s="702">
        <f t="shared" si="82"/>
        <v>0</v>
      </c>
      <c r="I147" s="702">
        <f t="shared" si="82"/>
        <v>0</v>
      </c>
      <c r="J147" s="702">
        <f t="shared" si="82"/>
        <v>0</v>
      </c>
      <c r="K147" s="702">
        <f t="shared" si="82"/>
        <v>0</v>
      </c>
      <c r="L147" s="702">
        <f t="shared" si="82"/>
        <v>0</v>
      </c>
      <c r="M147" s="702">
        <f t="shared" si="82"/>
        <v>0</v>
      </c>
      <c r="N147" s="708">
        <f>+M147/$N$121</f>
        <v>0</v>
      </c>
      <c r="O147" s="709">
        <f>+ROUNDUP(C147/$N$121,0)</f>
        <v>0</v>
      </c>
      <c r="P147" s="709">
        <f t="shared" ref="P147:Y147" si="83">+IF($F$9="Secundaria",0,ROUNDUP(D147/$N$121,0))</f>
        <v>0</v>
      </c>
      <c r="Q147" s="709">
        <f t="shared" si="83"/>
        <v>0</v>
      </c>
      <c r="R147" s="709">
        <f t="shared" si="83"/>
        <v>0</v>
      </c>
      <c r="S147" s="709">
        <f t="shared" si="83"/>
        <v>0</v>
      </c>
      <c r="T147" s="709">
        <f t="shared" si="83"/>
        <v>0</v>
      </c>
      <c r="U147" s="709">
        <f t="shared" si="83"/>
        <v>0</v>
      </c>
      <c r="V147" s="709">
        <f t="shared" si="83"/>
        <v>0</v>
      </c>
      <c r="W147" s="709">
        <f t="shared" si="83"/>
        <v>0</v>
      </c>
      <c r="X147" s="709">
        <f t="shared" si="83"/>
        <v>0</v>
      </c>
      <c r="Y147" s="709">
        <f t="shared" si="83"/>
        <v>0</v>
      </c>
      <c r="AB147" s="675"/>
    </row>
    <row r="148" spans="2:28" ht="15" hidden="1" outlineLevel="1" thickBot="1">
      <c r="B148" s="701" t="str">
        <f t="shared" si="50"/>
        <v>Sección 1</v>
      </c>
      <c r="C148" s="702">
        <f t="shared" si="51"/>
        <v>0</v>
      </c>
      <c r="D148" s="702" t="e">
        <f>+$C148/$C$147*D$147</f>
        <v>#DIV/0!</v>
      </c>
      <c r="E148" s="702" t="e">
        <f t="shared" ref="E148:M148" si="84">+$C148/$C$147*E$147</f>
        <v>#DIV/0!</v>
      </c>
      <c r="F148" s="702" t="e">
        <f t="shared" si="84"/>
        <v>#DIV/0!</v>
      </c>
      <c r="G148" s="702" t="e">
        <f t="shared" si="84"/>
        <v>#DIV/0!</v>
      </c>
      <c r="H148" s="702" t="e">
        <f t="shared" si="84"/>
        <v>#DIV/0!</v>
      </c>
      <c r="I148" s="702" t="e">
        <f t="shared" si="84"/>
        <v>#DIV/0!</v>
      </c>
      <c r="J148" s="702" t="e">
        <f t="shared" si="84"/>
        <v>#DIV/0!</v>
      </c>
      <c r="K148" s="702" t="e">
        <f t="shared" si="84"/>
        <v>#DIV/0!</v>
      </c>
      <c r="L148" s="702" t="e">
        <f t="shared" si="84"/>
        <v>#DIV/0!</v>
      </c>
      <c r="M148" s="713" t="e">
        <f t="shared" si="84"/>
        <v>#DIV/0!</v>
      </c>
      <c r="N148" s="708"/>
      <c r="O148" s="709" t="e">
        <f>+ROUNDUP($M148/$N$87,0)</f>
        <v>#DIV/0!</v>
      </c>
      <c r="P148" s="709" t="e">
        <f t="shared" ref="P148:Y149" si="85">+ROUNDUP($M148/$N$87,0)</f>
        <v>#DIV/0!</v>
      </c>
      <c r="Q148" s="709" t="e">
        <f t="shared" si="85"/>
        <v>#DIV/0!</v>
      </c>
      <c r="R148" s="709" t="e">
        <f t="shared" si="85"/>
        <v>#DIV/0!</v>
      </c>
      <c r="S148" s="709" t="e">
        <f t="shared" si="85"/>
        <v>#DIV/0!</v>
      </c>
      <c r="T148" s="709" t="e">
        <f t="shared" si="85"/>
        <v>#DIV/0!</v>
      </c>
      <c r="U148" s="709" t="e">
        <f t="shared" si="85"/>
        <v>#DIV/0!</v>
      </c>
      <c r="V148" s="709" t="e">
        <f t="shared" si="85"/>
        <v>#DIV/0!</v>
      </c>
      <c r="W148" s="709" t="e">
        <f t="shared" si="85"/>
        <v>#DIV/0!</v>
      </c>
      <c r="X148" s="709" t="e">
        <f t="shared" si="85"/>
        <v>#DIV/0!</v>
      </c>
      <c r="Y148" s="710" t="e">
        <f t="shared" si="85"/>
        <v>#DIV/0!</v>
      </c>
      <c r="AB148" s="675"/>
    </row>
    <row r="149" spans="2:28" ht="15" hidden="1" outlineLevel="1" thickBot="1">
      <c r="B149" s="701" t="str">
        <f t="shared" si="50"/>
        <v>Sección 2</v>
      </c>
      <c r="C149" s="702">
        <f t="shared" si="51"/>
        <v>0</v>
      </c>
      <c r="D149" s="702" t="e">
        <f t="shared" ref="D149:M151" si="86">+$C149/$C$147*D$147</f>
        <v>#DIV/0!</v>
      </c>
      <c r="E149" s="702" t="e">
        <f t="shared" si="86"/>
        <v>#DIV/0!</v>
      </c>
      <c r="F149" s="702" t="e">
        <f t="shared" si="86"/>
        <v>#DIV/0!</v>
      </c>
      <c r="G149" s="702" t="e">
        <f t="shared" si="86"/>
        <v>#DIV/0!</v>
      </c>
      <c r="H149" s="702" t="e">
        <f t="shared" si="86"/>
        <v>#DIV/0!</v>
      </c>
      <c r="I149" s="702" t="e">
        <f t="shared" si="86"/>
        <v>#DIV/0!</v>
      </c>
      <c r="J149" s="702" t="e">
        <f t="shared" si="86"/>
        <v>#DIV/0!</v>
      </c>
      <c r="K149" s="702" t="e">
        <f t="shared" si="86"/>
        <v>#DIV/0!</v>
      </c>
      <c r="L149" s="702" t="e">
        <f t="shared" si="86"/>
        <v>#DIV/0!</v>
      </c>
      <c r="M149" s="713" t="e">
        <f t="shared" si="86"/>
        <v>#DIV/0!</v>
      </c>
      <c r="N149" s="708"/>
      <c r="O149" s="709" t="e">
        <f>+ROUNDUP($M149/$N$87,0)</f>
        <v>#DIV/0!</v>
      </c>
      <c r="P149" s="709" t="e">
        <f t="shared" si="85"/>
        <v>#DIV/0!</v>
      </c>
      <c r="Q149" s="709" t="e">
        <f t="shared" si="85"/>
        <v>#DIV/0!</v>
      </c>
      <c r="R149" s="709" t="e">
        <f t="shared" si="85"/>
        <v>#DIV/0!</v>
      </c>
      <c r="S149" s="709" t="e">
        <f t="shared" si="85"/>
        <v>#DIV/0!</v>
      </c>
      <c r="T149" s="709" t="e">
        <f t="shared" si="85"/>
        <v>#DIV/0!</v>
      </c>
      <c r="U149" s="709" t="e">
        <f t="shared" si="85"/>
        <v>#DIV/0!</v>
      </c>
      <c r="V149" s="709" t="e">
        <f t="shared" si="85"/>
        <v>#DIV/0!</v>
      </c>
      <c r="W149" s="709" t="e">
        <f t="shared" si="85"/>
        <v>#DIV/0!</v>
      </c>
      <c r="X149" s="709" t="e">
        <f t="shared" si="85"/>
        <v>#DIV/0!</v>
      </c>
      <c r="Y149" s="710" t="e">
        <f t="shared" si="85"/>
        <v>#DIV/0!</v>
      </c>
      <c r="AB149" s="675"/>
    </row>
    <row r="150" spans="2:28" ht="15" hidden="1" outlineLevel="1" thickBot="1">
      <c r="B150" s="701" t="str">
        <f t="shared" si="50"/>
        <v>Sección 3</v>
      </c>
      <c r="C150" s="702">
        <f t="shared" si="51"/>
        <v>0</v>
      </c>
      <c r="D150" s="702" t="e">
        <f t="shared" si="86"/>
        <v>#DIV/0!</v>
      </c>
      <c r="E150" s="702" t="e">
        <f t="shared" si="86"/>
        <v>#DIV/0!</v>
      </c>
      <c r="F150" s="702" t="e">
        <f t="shared" si="86"/>
        <v>#DIV/0!</v>
      </c>
      <c r="G150" s="702" t="e">
        <f t="shared" si="86"/>
        <v>#DIV/0!</v>
      </c>
      <c r="H150" s="702" t="e">
        <f t="shared" si="86"/>
        <v>#DIV/0!</v>
      </c>
      <c r="I150" s="702" t="e">
        <f t="shared" si="86"/>
        <v>#DIV/0!</v>
      </c>
      <c r="J150" s="702" t="e">
        <f t="shared" si="86"/>
        <v>#DIV/0!</v>
      </c>
      <c r="K150" s="702" t="e">
        <f t="shared" si="86"/>
        <v>#DIV/0!</v>
      </c>
      <c r="L150" s="702" t="e">
        <f t="shared" si="86"/>
        <v>#DIV/0!</v>
      </c>
      <c r="M150" s="713" t="e">
        <f t="shared" si="86"/>
        <v>#DIV/0!</v>
      </c>
      <c r="N150" s="708"/>
      <c r="O150" s="709" t="e">
        <f t="shared" ref="O150:Y151" si="87">+ROUNDUP($M150/$N$87,0)</f>
        <v>#DIV/0!</v>
      </c>
      <c r="P150" s="709" t="e">
        <f t="shared" si="87"/>
        <v>#DIV/0!</v>
      </c>
      <c r="Q150" s="709" t="e">
        <f t="shared" si="87"/>
        <v>#DIV/0!</v>
      </c>
      <c r="R150" s="709" t="e">
        <f t="shared" si="87"/>
        <v>#DIV/0!</v>
      </c>
      <c r="S150" s="709" t="e">
        <f t="shared" si="87"/>
        <v>#DIV/0!</v>
      </c>
      <c r="T150" s="709" t="e">
        <f t="shared" si="87"/>
        <v>#DIV/0!</v>
      </c>
      <c r="U150" s="709" t="e">
        <f t="shared" si="87"/>
        <v>#DIV/0!</v>
      </c>
      <c r="V150" s="709" t="e">
        <f t="shared" si="87"/>
        <v>#DIV/0!</v>
      </c>
      <c r="W150" s="709" t="e">
        <f t="shared" si="87"/>
        <v>#DIV/0!</v>
      </c>
      <c r="X150" s="709" t="e">
        <f t="shared" si="87"/>
        <v>#DIV/0!</v>
      </c>
      <c r="Y150" s="710" t="e">
        <f t="shared" si="87"/>
        <v>#DIV/0!</v>
      </c>
      <c r="AB150" s="675"/>
    </row>
    <row r="151" spans="2:28" ht="15" hidden="1" outlineLevel="1" thickBot="1">
      <c r="B151" s="701" t="str">
        <f t="shared" si="50"/>
        <v>Sección 4</v>
      </c>
      <c r="C151" s="702">
        <f t="shared" si="51"/>
        <v>0</v>
      </c>
      <c r="D151" s="702" t="e">
        <f t="shared" si="86"/>
        <v>#DIV/0!</v>
      </c>
      <c r="E151" s="702" t="e">
        <f t="shared" si="86"/>
        <v>#DIV/0!</v>
      </c>
      <c r="F151" s="702" t="e">
        <f t="shared" si="86"/>
        <v>#DIV/0!</v>
      </c>
      <c r="G151" s="702" t="e">
        <f t="shared" si="86"/>
        <v>#DIV/0!</v>
      </c>
      <c r="H151" s="702" t="e">
        <f t="shared" si="86"/>
        <v>#DIV/0!</v>
      </c>
      <c r="I151" s="702" t="e">
        <f t="shared" si="86"/>
        <v>#DIV/0!</v>
      </c>
      <c r="J151" s="702" t="e">
        <f t="shared" si="86"/>
        <v>#DIV/0!</v>
      </c>
      <c r="K151" s="702" t="e">
        <f t="shared" si="86"/>
        <v>#DIV/0!</v>
      </c>
      <c r="L151" s="702" t="e">
        <f t="shared" si="86"/>
        <v>#DIV/0!</v>
      </c>
      <c r="M151" s="713" t="e">
        <f t="shared" si="86"/>
        <v>#DIV/0!</v>
      </c>
      <c r="N151" s="708"/>
      <c r="O151" s="709" t="e">
        <f t="shared" si="87"/>
        <v>#DIV/0!</v>
      </c>
      <c r="P151" s="709" t="e">
        <f t="shared" si="87"/>
        <v>#DIV/0!</v>
      </c>
      <c r="Q151" s="709" t="e">
        <f t="shared" si="87"/>
        <v>#DIV/0!</v>
      </c>
      <c r="R151" s="709" t="e">
        <f t="shared" si="87"/>
        <v>#DIV/0!</v>
      </c>
      <c r="S151" s="709" t="e">
        <f t="shared" si="87"/>
        <v>#DIV/0!</v>
      </c>
      <c r="T151" s="709" t="e">
        <f t="shared" si="87"/>
        <v>#DIV/0!</v>
      </c>
      <c r="U151" s="709" t="e">
        <f t="shared" si="87"/>
        <v>#DIV/0!</v>
      </c>
      <c r="V151" s="709" t="e">
        <f t="shared" si="87"/>
        <v>#DIV/0!</v>
      </c>
      <c r="W151" s="709" t="e">
        <f t="shared" si="87"/>
        <v>#DIV/0!</v>
      </c>
      <c r="X151" s="709" t="e">
        <f t="shared" si="87"/>
        <v>#DIV/0!</v>
      </c>
      <c r="Y151" s="710" t="e">
        <f t="shared" si="87"/>
        <v>#DIV/0!</v>
      </c>
      <c r="AB151" s="675"/>
    </row>
    <row r="152" spans="2:28" ht="15" hidden="1" outlineLevel="1" thickBot="1">
      <c r="B152" s="703" t="s">
        <v>76</v>
      </c>
      <c r="C152" s="704">
        <f t="shared" ref="C152:M152" si="88">ROUND(C122,0)+ROUND(C127,0)+ROUND(C132,0)+ROUND(C137,0)+ROUND(C142,0)+ROUND(C147,0)</f>
        <v>0</v>
      </c>
      <c r="D152" s="704" t="e">
        <f t="shared" si="88"/>
        <v>#DIV/0!</v>
      </c>
      <c r="E152" s="704" t="e">
        <f t="shared" si="88"/>
        <v>#DIV/0!</v>
      </c>
      <c r="F152" s="704" t="e">
        <f t="shared" si="88"/>
        <v>#DIV/0!</v>
      </c>
      <c r="G152" s="704" t="e">
        <f t="shared" si="88"/>
        <v>#DIV/0!</v>
      </c>
      <c r="H152" s="704" t="e">
        <f t="shared" si="88"/>
        <v>#DIV/0!</v>
      </c>
      <c r="I152" s="704" t="e">
        <f t="shared" si="88"/>
        <v>#DIV/0!</v>
      </c>
      <c r="J152" s="704" t="e">
        <f t="shared" si="88"/>
        <v>#DIV/0!</v>
      </c>
      <c r="K152" s="704" t="e">
        <f t="shared" si="88"/>
        <v>#DIV/0!</v>
      </c>
      <c r="L152" s="704" t="e">
        <f t="shared" si="88"/>
        <v>#DIV/0!</v>
      </c>
      <c r="M152" s="705" t="e">
        <f t="shared" si="88"/>
        <v>#DIV/0!</v>
      </c>
      <c r="N152" s="711" t="e">
        <f>ROUNDUP(N122,0)+ROUNDUP(N127,0)+ROUNDUP(N132,0)+ROUNDUP(N137,0)+ROUNDUP(N142,0)+ROUNDUP(N147,0)</f>
        <v>#DIV/0!</v>
      </c>
      <c r="O152" s="712">
        <f t="shared" ref="O152:Y152" si="89">ROUND(O122,0)+ROUND(O127,0)+ROUND(O132,0)+ROUND(O137,0)+ROUND(O142,0)+ROUND(O147,0)</f>
        <v>0</v>
      </c>
      <c r="P152" s="704" t="e">
        <f t="shared" si="89"/>
        <v>#DIV/0!</v>
      </c>
      <c r="Q152" s="704" t="e">
        <f t="shared" si="89"/>
        <v>#DIV/0!</v>
      </c>
      <c r="R152" s="704" t="e">
        <f t="shared" si="89"/>
        <v>#DIV/0!</v>
      </c>
      <c r="S152" s="704" t="e">
        <f t="shared" si="89"/>
        <v>#DIV/0!</v>
      </c>
      <c r="T152" s="704" t="e">
        <f t="shared" si="89"/>
        <v>#DIV/0!</v>
      </c>
      <c r="U152" s="704" t="e">
        <f t="shared" si="89"/>
        <v>#DIV/0!</v>
      </c>
      <c r="V152" s="704" t="e">
        <f t="shared" si="89"/>
        <v>#DIV/0!</v>
      </c>
      <c r="W152" s="704" t="e">
        <f t="shared" si="89"/>
        <v>#DIV/0!</v>
      </c>
      <c r="X152" s="704" t="e">
        <f t="shared" si="89"/>
        <v>#DIV/0!</v>
      </c>
      <c r="Y152" s="705" t="e">
        <f t="shared" si="89"/>
        <v>#DIV/0!</v>
      </c>
    </row>
    <row r="153" spans="2:28" hidden="1">
      <c r="AB153" s="675"/>
    </row>
    <row r="154" spans="2:28" hidden="1">
      <c r="AB154" s="675"/>
    </row>
    <row r="155" spans="2:28" ht="19.5" hidden="1" thickBot="1">
      <c r="B155" s="671" t="s">
        <v>926</v>
      </c>
      <c r="C155" s="671"/>
      <c r="D155" s="671"/>
      <c r="E155" s="671"/>
      <c r="F155" s="671"/>
      <c r="G155" s="671"/>
      <c r="H155" s="671"/>
      <c r="I155" s="671"/>
    </row>
    <row r="156" spans="2:28" ht="15.75" hidden="1" thickTop="1" thickBot="1"/>
    <row r="157" spans="2:28" ht="64.5" hidden="1" customHeight="1" outlineLevel="1" thickBot="1">
      <c r="B157" s="715" t="str">
        <f>+UPPER(B25)</f>
        <v>EDAD</v>
      </c>
      <c r="C157" s="1908" t="s">
        <v>927</v>
      </c>
      <c r="D157" s="1908"/>
      <c r="E157" s="1908" t="s">
        <v>928</v>
      </c>
      <c r="F157" s="1908"/>
      <c r="G157" s="1908" t="str">
        <f>+G58</f>
        <v>MÓDULOS EN BUEN ESTADO</v>
      </c>
      <c r="H157" s="1908"/>
      <c r="I157" s="1908" t="str">
        <f>+I58</f>
        <v>NO APLICA</v>
      </c>
      <c r="J157" s="1908"/>
      <c r="K157" s="1908" t="s">
        <v>929</v>
      </c>
      <c r="L157" s="1916"/>
      <c r="P157" s="715" t="str">
        <f>+UPPER(B25)</f>
        <v>EDAD</v>
      </c>
      <c r="Q157" s="1908" t="s">
        <v>927</v>
      </c>
      <c r="R157" s="1908"/>
      <c r="S157" s="1908" t="s">
        <v>928</v>
      </c>
      <c r="T157" s="1908"/>
      <c r="U157" s="1908" t="str">
        <f>+W58</f>
        <v>MÓDULOS OPTIMIZADOS</v>
      </c>
      <c r="V157" s="1908"/>
      <c r="W157" s="1908" t="str">
        <f>+Y58</f>
        <v>NO APLICA</v>
      </c>
      <c r="X157" s="1908"/>
      <c r="Y157" s="1908" t="s">
        <v>930</v>
      </c>
      <c r="Z157" s="1916"/>
    </row>
    <row r="158" spans="2:28" ht="15" hidden="1" outlineLevel="1" thickBot="1">
      <c r="B158" s="716" t="str">
        <f t="shared" ref="B158:B163" si="90">+B59</f>
        <v>3 años</v>
      </c>
      <c r="C158" s="1907">
        <f t="shared" ref="C158:C163" si="91">+$N$87*C59</f>
        <v>0</v>
      </c>
      <c r="D158" s="1907"/>
      <c r="E158" s="1907">
        <f t="shared" ref="E158:E163" si="92">+$N$87*E59</f>
        <v>0</v>
      </c>
      <c r="F158" s="1907"/>
      <c r="G158" s="1907">
        <f t="shared" ref="G158:G163" si="93">+IF(AND($F$9="Inicial",$M$9="Urbana"),G59*5,IF(AND($F$9="Inicial",$M$9="Rural"),G59*4,G59*1))</f>
        <v>0</v>
      </c>
      <c r="H158" s="1907"/>
      <c r="I158" s="1907">
        <f t="shared" ref="I158:I163" si="94">+I59*2</f>
        <v>0</v>
      </c>
      <c r="J158" s="1907"/>
      <c r="K158" s="1910">
        <f t="shared" ref="K158:K163" si="95">+IF(I158=0,MIN(C158:H158),IF(G158=0,MIN(C158,E158,I158),0))</f>
        <v>0</v>
      </c>
      <c r="L158" s="1912"/>
      <c r="P158" s="716" t="str">
        <f t="shared" ref="P158:P163" si="96">+B59</f>
        <v>3 años</v>
      </c>
      <c r="Q158" s="1907">
        <f t="shared" ref="Q158:Q163" si="97">+P59</f>
        <v>0</v>
      </c>
      <c r="R158" s="1907"/>
      <c r="S158" s="1907">
        <f t="shared" ref="S158:S163" si="98">+$N$87*U59</f>
        <v>0</v>
      </c>
      <c r="T158" s="1907"/>
      <c r="U158" s="1907">
        <f t="shared" ref="U158:U163" si="99">+IF(AND($F$9="Inicial",$M$9="Urbana"),W59*5,IF(AND($F$9="Inicial",$M$9="Rural"),W59*4,W59*1))</f>
        <v>0</v>
      </c>
      <c r="V158" s="1907"/>
      <c r="W158" s="1907">
        <f t="shared" ref="W158:W163" si="100">+Y59*2</f>
        <v>0</v>
      </c>
      <c r="X158" s="1907"/>
      <c r="Y158" s="1910">
        <f t="shared" ref="Y158:Y163" si="101">+IF(W158=0,MIN(Q158:V158),IF(U158=0,MIN(Q158,S158,W158),0))</f>
        <v>0</v>
      </c>
      <c r="Z158" s="1912"/>
    </row>
    <row r="159" spans="2:28" ht="15" hidden="1" outlineLevel="1" thickBot="1">
      <c r="B159" s="716" t="str">
        <f t="shared" si="90"/>
        <v>4 años</v>
      </c>
      <c r="C159" s="1907">
        <f t="shared" si="91"/>
        <v>0</v>
      </c>
      <c r="D159" s="1907"/>
      <c r="E159" s="1907">
        <f t="shared" si="92"/>
        <v>0</v>
      </c>
      <c r="F159" s="1907"/>
      <c r="G159" s="1907">
        <f t="shared" si="93"/>
        <v>0</v>
      </c>
      <c r="H159" s="1907"/>
      <c r="I159" s="1907">
        <f t="shared" si="94"/>
        <v>0</v>
      </c>
      <c r="J159" s="1907"/>
      <c r="K159" s="1910">
        <f t="shared" si="95"/>
        <v>0</v>
      </c>
      <c r="L159" s="1912"/>
      <c r="P159" s="716" t="str">
        <f t="shared" si="96"/>
        <v>4 años</v>
      </c>
      <c r="Q159" s="1907">
        <f t="shared" si="97"/>
        <v>0</v>
      </c>
      <c r="R159" s="1907"/>
      <c r="S159" s="1907">
        <f t="shared" si="98"/>
        <v>0</v>
      </c>
      <c r="T159" s="1907"/>
      <c r="U159" s="1907">
        <f t="shared" si="99"/>
        <v>0</v>
      </c>
      <c r="V159" s="1907"/>
      <c r="W159" s="1907">
        <f t="shared" si="100"/>
        <v>0</v>
      </c>
      <c r="X159" s="1907"/>
      <c r="Y159" s="1910">
        <f t="shared" si="101"/>
        <v>0</v>
      </c>
      <c r="Z159" s="1912"/>
    </row>
    <row r="160" spans="2:28" ht="15" hidden="1" outlineLevel="1" thickBot="1">
      <c r="B160" s="716" t="str">
        <f t="shared" si="90"/>
        <v>5 años</v>
      </c>
      <c r="C160" s="1907">
        <f t="shared" si="91"/>
        <v>0</v>
      </c>
      <c r="D160" s="1907"/>
      <c r="E160" s="1907">
        <f t="shared" si="92"/>
        <v>0</v>
      </c>
      <c r="F160" s="1907"/>
      <c r="G160" s="1907">
        <f t="shared" si="93"/>
        <v>0</v>
      </c>
      <c r="H160" s="1907"/>
      <c r="I160" s="1907">
        <f t="shared" si="94"/>
        <v>0</v>
      </c>
      <c r="J160" s="1907"/>
      <c r="K160" s="1910">
        <f t="shared" si="95"/>
        <v>0</v>
      </c>
      <c r="L160" s="1912"/>
      <c r="P160" s="716" t="str">
        <f t="shared" si="96"/>
        <v>5 años</v>
      </c>
      <c r="Q160" s="1907">
        <f t="shared" si="97"/>
        <v>0</v>
      </c>
      <c r="R160" s="1907"/>
      <c r="S160" s="1907">
        <f t="shared" si="98"/>
        <v>0</v>
      </c>
      <c r="T160" s="1907"/>
      <c r="U160" s="1907">
        <f t="shared" si="99"/>
        <v>0</v>
      </c>
      <c r="V160" s="1907"/>
      <c r="W160" s="1907">
        <f t="shared" si="100"/>
        <v>0</v>
      </c>
      <c r="X160" s="1907"/>
      <c r="Y160" s="1910">
        <f t="shared" si="101"/>
        <v>0</v>
      </c>
      <c r="Z160" s="1912"/>
    </row>
    <row r="161" spans="2:33" ht="15" hidden="1" outlineLevel="1" thickBot="1">
      <c r="B161" s="716" t="str">
        <f t="shared" si="90"/>
        <v>No aplica</v>
      </c>
      <c r="C161" s="1907">
        <f t="shared" si="91"/>
        <v>0</v>
      </c>
      <c r="D161" s="1907"/>
      <c r="E161" s="1907">
        <f t="shared" si="92"/>
        <v>0</v>
      </c>
      <c r="F161" s="1907"/>
      <c r="G161" s="1907">
        <f t="shared" si="93"/>
        <v>0</v>
      </c>
      <c r="H161" s="1907"/>
      <c r="I161" s="1907">
        <f t="shared" si="94"/>
        <v>0</v>
      </c>
      <c r="J161" s="1907"/>
      <c r="K161" s="1910">
        <f t="shared" si="95"/>
        <v>0</v>
      </c>
      <c r="L161" s="1912"/>
      <c r="P161" s="716" t="str">
        <f t="shared" si="96"/>
        <v>No aplica</v>
      </c>
      <c r="Q161" s="1907">
        <f t="shared" si="97"/>
        <v>0</v>
      </c>
      <c r="R161" s="1907"/>
      <c r="S161" s="1907">
        <f t="shared" si="98"/>
        <v>0</v>
      </c>
      <c r="T161" s="1907"/>
      <c r="U161" s="1907">
        <f t="shared" si="99"/>
        <v>0</v>
      </c>
      <c r="V161" s="1907"/>
      <c r="W161" s="1907">
        <f t="shared" si="100"/>
        <v>0</v>
      </c>
      <c r="X161" s="1907"/>
      <c r="Y161" s="1910">
        <f t="shared" si="101"/>
        <v>0</v>
      </c>
      <c r="Z161" s="1912"/>
    </row>
    <row r="162" spans="2:33" ht="15" hidden="1" outlineLevel="1" thickBot="1">
      <c r="B162" s="716" t="str">
        <f t="shared" si="90"/>
        <v>No aplica</v>
      </c>
      <c r="C162" s="1907">
        <f t="shared" si="91"/>
        <v>0</v>
      </c>
      <c r="D162" s="1907"/>
      <c r="E162" s="1907">
        <f t="shared" si="92"/>
        <v>0</v>
      </c>
      <c r="F162" s="1907"/>
      <c r="G162" s="1907">
        <f t="shared" si="93"/>
        <v>0</v>
      </c>
      <c r="H162" s="1907"/>
      <c r="I162" s="1907">
        <f t="shared" si="94"/>
        <v>0</v>
      </c>
      <c r="J162" s="1907"/>
      <c r="K162" s="1910">
        <f t="shared" si="95"/>
        <v>0</v>
      </c>
      <c r="L162" s="1912"/>
      <c r="P162" s="716" t="str">
        <f t="shared" si="96"/>
        <v>No aplica</v>
      </c>
      <c r="Q162" s="1907">
        <f t="shared" si="97"/>
        <v>0</v>
      </c>
      <c r="R162" s="1907"/>
      <c r="S162" s="1907">
        <f t="shared" si="98"/>
        <v>0</v>
      </c>
      <c r="T162" s="1907"/>
      <c r="U162" s="1907">
        <f t="shared" si="99"/>
        <v>0</v>
      </c>
      <c r="V162" s="1907"/>
      <c r="W162" s="1907">
        <f t="shared" si="100"/>
        <v>0</v>
      </c>
      <c r="X162" s="1907"/>
      <c r="Y162" s="1910">
        <f t="shared" si="101"/>
        <v>0</v>
      </c>
      <c r="Z162" s="1912"/>
    </row>
    <row r="163" spans="2:33" ht="15" hidden="1" outlineLevel="1" thickBot="1">
      <c r="B163" s="716" t="str">
        <f t="shared" si="90"/>
        <v>No aplica</v>
      </c>
      <c r="C163" s="1907">
        <f t="shared" si="91"/>
        <v>0</v>
      </c>
      <c r="D163" s="1907"/>
      <c r="E163" s="1907">
        <f t="shared" si="92"/>
        <v>0</v>
      </c>
      <c r="F163" s="1907"/>
      <c r="G163" s="1907">
        <f t="shared" si="93"/>
        <v>0</v>
      </c>
      <c r="H163" s="1907"/>
      <c r="I163" s="1907">
        <f t="shared" si="94"/>
        <v>0</v>
      </c>
      <c r="J163" s="1907"/>
      <c r="K163" s="1910">
        <f t="shared" si="95"/>
        <v>0</v>
      </c>
      <c r="L163" s="1912"/>
      <c r="P163" s="716" t="str">
        <f t="shared" si="96"/>
        <v>No aplica</v>
      </c>
      <c r="Q163" s="1907">
        <f t="shared" si="97"/>
        <v>0</v>
      </c>
      <c r="R163" s="1907"/>
      <c r="S163" s="1907">
        <f t="shared" si="98"/>
        <v>0</v>
      </c>
      <c r="T163" s="1907"/>
      <c r="U163" s="1907">
        <f t="shared" si="99"/>
        <v>0</v>
      </c>
      <c r="V163" s="1907"/>
      <c r="W163" s="1907">
        <f t="shared" si="100"/>
        <v>0</v>
      </c>
      <c r="X163" s="1907"/>
      <c r="Y163" s="1910">
        <f t="shared" si="101"/>
        <v>0</v>
      </c>
      <c r="Z163" s="1912"/>
    </row>
    <row r="164" spans="2:33" ht="15" hidden="1" outlineLevel="1" thickBot="1">
      <c r="B164" s="717" t="s">
        <v>76</v>
      </c>
      <c r="C164" s="1911">
        <f>+SUM(C158:D163)</f>
        <v>0</v>
      </c>
      <c r="D164" s="1911"/>
      <c r="E164" s="1911">
        <f>+SUM(E158:F163)</f>
        <v>0</v>
      </c>
      <c r="F164" s="1911"/>
      <c r="G164" s="1911">
        <f>+SUM(G158:H163)</f>
        <v>0</v>
      </c>
      <c r="H164" s="1911"/>
      <c r="I164" s="1911">
        <f>+SUM(I158:J163)</f>
        <v>0</v>
      </c>
      <c r="J164" s="1911"/>
      <c r="K164" s="1910">
        <f>+SUM(K158:L163)</f>
        <v>0</v>
      </c>
      <c r="L164" s="1912"/>
      <c r="P164" s="717" t="s">
        <v>76</v>
      </c>
      <c r="Q164" s="1911">
        <f>+SUM(Q158:R163)</f>
        <v>0</v>
      </c>
      <c r="R164" s="1911"/>
      <c r="S164" s="1911">
        <f>+SUM(S158:T163)</f>
        <v>0</v>
      </c>
      <c r="T164" s="1911"/>
      <c r="U164" s="1911">
        <f>+SUM(U158:V163)</f>
        <v>0</v>
      </c>
      <c r="V164" s="1911"/>
      <c r="W164" s="1911">
        <f>+SUM(W158:X163)</f>
        <v>0</v>
      </c>
      <c r="X164" s="1911"/>
      <c r="Y164" s="1910">
        <f>+SUM(Y158:Z163)</f>
        <v>0</v>
      </c>
      <c r="Z164" s="1912"/>
    </row>
    <row r="165" spans="2:33" hidden="1" outlineLevel="1"/>
    <row r="166" spans="2:33" hidden="1"/>
    <row r="167" spans="2:33" ht="19.5" hidden="1" thickBot="1">
      <c r="B167" s="671" t="s">
        <v>931</v>
      </c>
      <c r="C167" s="671"/>
      <c r="D167" s="671"/>
      <c r="E167" s="671"/>
      <c r="F167" s="671"/>
      <c r="G167" s="671"/>
      <c r="H167" s="671"/>
      <c r="I167" s="671"/>
    </row>
    <row r="168" spans="2:33" ht="15.75" hidden="1" thickTop="1" thickBot="1"/>
    <row r="169" spans="2:33" ht="15" hidden="1" customHeight="1" outlineLevel="1" thickBot="1">
      <c r="B169" s="1913" t="s">
        <v>1276</v>
      </c>
      <c r="C169" s="1914"/>
      <c r="D169" s="1914"/>
      <c r="E169" s="1914"/>
      <c r="F169" s="1914"/>
      <c r="G169" s="1914"/>
      <c r="H169" s="1914"/>
      <c r="I169" s="1914"/>
      <c r="J169" s="1914"/>
      <c r="K169" s="1914"/>
      <c r="L169" s="1914"/>
      <c r="M169" s="1915"/>
      <c r="N169" s="1913" t="s">
        <v>932</v>
      </c>
      <c r="O169" s="1914"/>
      <c r="P169" s="1914"/>
      <c r="Q169" s="1914"/>
      <c r="R169" s="1914"/>
      <c r="S169" s="1914"/>
      <c r="T169" s="1914"/>
      <c r="U169" s="1914"/>
      <c r="V169" s="1914"/>
      <c r="W169" s="1914"/>
      <c r="X169" s="1914"/>
      <c r="Y169" s="1914"/>
      <c r="Z169" s="1914"/>
      <c r="AA169" s="1914"/>
      <c r="AB169" s="1914"/>
      <c r="AC169" s="1914"/>
      <c r="AD169" s="1915"/>
    </row>
    <row r="170" spans="2:33" ht="41.25" hidden="1" customHeight="1" outlineLevel="1" thickBot="1">
      <c r="B170" s="698" t="s">
        <v>933</v>
      </c>
      <c r="C170" s="699">
        <f t="shared" ref="C170:M170" si="102">+C76</f>
        <v>0</v>
      </c>
      <c r="D170" s="699">
        <f t="shared" si="102"/>
        <v>1</v>
      </c>
      <c r="E170" s="699">
        <f t="shared" si="102"/>
        <v>2</v>
      </c>
      <c r="F170" s="699">
        <f t="shared" si="102"/>
        <v>3</v>
      </c>
      <c r="G170" s="699">
        <f t="shared" si="102"/>
        <v>4</v>
      </c>
      <c r="H170" s="699">
        <f t="shared" si="102"/>
        <v>5</v>
      </c>
      <c r="I170" s="699">
        <f t="shared" si="102"/>
        <v>6</v>
      </c>
      <c r="J170" s="699">
        <f t="shared" si="102"/>
        <v>7</v>
      </c>
      <c r="K170" s="699">
        <f t="shared" si="102"/>
        <v>8</v>
      </c>
      <c r="L170" s="699">
        <f t="shared" si="102"/>
        <v>9</v>
      </c>
      <c r="M170" s="700">
        <f t="shared" si="102"/>
        <v>10</v>
      </c>
      <c r="N170" s="698">
        <f>+C170</f>
        <v>0</v>
      </c>
      <c r="O170" s="699">
        <f t="shared" ref="O170:X170" si="103">+D170</f>
        <v>1</v>
      </c>
      <c r="P170" s="699">
        <f t="shared" si="103"/>
        <v>2</v>
      </c>
      <c r="Q170" s="699">
        <f t="shared" si="103"/>
        <v>3</v>
      </c>
      <c r="R170" s="699">
        <f t="shared" si="103"/>
        <v>4</v>
      </c>
      <c r="S170" s="699">
        <f t="shared" si="103"/>
        <v>5</v>
      </c>
      <c r="T170" s="699">
        <f t="shared" si="103"/>
        <v>6</v>
      </c>
      <c r="U170" s="699">
        <f t="shared" si="103"/>
        <v>7</v>
      </c>
      <c r="V170" s="699">
        <f t="shared" si="103"/>
        <v>8</v>
      </c>
      <c r="W170" s="699">
        <f t="shared" si="103"/>
        <v>9</v>
      </c>
      <c r="X170" s="699">
        <f t="shared" si="103"/>
        <v>10</v>
      </c>
      <c r="Y170" s="718" t="s">
        <v>934</v>
      </c>
      <c r="Z170" s="718" t="s">
        <v>935</v>
      </c>
      <c r="AA170" s="718" t="s">
        <v>936</v>
      </c>
      <c r="AB170" s="718" t="s">
        <v>937</v>
      </c>
      <c r="AC170" s="718" t="s">
        <v>938</v>
      </c>
      <c r="AD170" s="719" t="s">
        <v>939</v>
      </c>
      <c r="AE170" s="720"/>
      <c r="AG170" s="697"/>
    </row>
    <row r="171" spans="2:33" ht="15" hidden="1" outlineLevel="1" thickBot="1">
      <c r="B171" s="716" t="str">
        <f t="shared" ref="B171:B176" si="104">+B59</f>
        <v>3 años</v>
      </c>
      <c r="C171" s="702">
        <f>+$Y158-C122</f>
        <v>0</v>
      </c>
      <c r="D171" s="702" t="e">
        <f t="shared" ref="D171:M171" si="105">+$Y158-D122</f>
        <v>#DIV/0!</v>
      </c>
      <c r="E171" s="702" t="e">
        <f t="shared" si="105"/>
        <v>#DIV/0!</v>
      </c>
      <c r="F171" s="702" t="e">
        <f t="shared" si="105"/>
        <v>#DIV/0!</v>
      </c>
      <c r="G171" s="702" t="e">
        <f t="shared" si="105"/>
        <v>#DIV/0!</v>
      </c>
      <c r="H171" s="702" t="e">
        <f t="shared" si="105"/>
        <v>#DIV/0!</v>
      </c>
      <c r="I171" s="702" t="e">
        <f t="shared" si="105"/>
        <v>#DIV/0!</v>
      </c>
      <c r="J171" s="702" t="e">
        <f t="shared" si="105"/>
        <v>#DIV/0!</v>
      </c>
      <c r="K171" s="702" t="e">
        <f t="shared" si="105"/>
        <v>#DIV/0!</v>
      </c>
      <c r="L171" s="702" t="e">
        <f t="shared" si="105"/>
        <v>#DIV/0!</v>
      </c>
      <c r="M171" s="705" t="e">
        <f t="shared" si="105"/>
        <v>#DIV/0!</v>
      </c>
      <c r="N171" s="721">
        <f t="shared" ref="N171:W171" si="106">+($Q158-C122)</f>
        <v>0</v>
      </c>
      <c r="O171" s="708" t="e">
        <f t="shared" si="106"/>
        <v>#DIV/0!</v>
      </c>
      <c r="P171" s="708" t="e">
        <f t="shared" si="106"/>
        <v>#DIV/0!</v>
      </c>
      <c r="Q171" s="708" t="e">
        <f t="shared" si="106"/>
        <v>#DIV/0!</v>
      </c>
      <c r="R171" s="708" t="e">
        <f t="shared" si="106"/>
        <v>#DIV/0!</v>
      </c>
      <c r="S171" s="708" t="e">
        <f t="shared" si="106"/>
        <v>#DIV/0!</v>
      </c>
      <c r="T171" s="708" t="e">
        <f t="shared" si="106"/>
        <v>#DIV/0!</v>
      </c>
      <c r="U171" s="708" t="e">
        <f t="shared" si="106"/>
        <v>#DIV/0!</v>
      </c>
      <c r="V171" s="708" t="e">
        <f t="shared" si="106"/>
        <v>#DIV/0!</v>
      </c>
      <c r="W171" s="708" t="e">
        <f t="shared" si="106"/>
        <v>#DIV/0!</v>
      </c>
      <c r="X171" s="722" t="e">
        <f>$Q158-M122</f>
        <v>#DIV/0!</v>
      </c>
      <c r="Y171" s="723" t="e">
        <f t="shared" ref="Y171:Y176" si="107">+IF(Z171&lt;0,ROUNDUP(Z171/MAX(M123:M126),0),0)</f>
        <v>#DIV/0!</v>
      </c>
      <c r="Z171" s="724" t="e">
        <f t="shared" ref="Z171:Z176" si="108">+ROUNDUP(X171,0)</f>
        <v>#DIV/0!</v>
      </c>
      <c r="AA171" s="702" t="e">
        <f t="shared" ref="AA171:AA176" si="109">+IF(Z171&lt;0,IF(AND(-Z171&gt;$N$121,-Z171&lt;=2*$N$121),2,IF(AND(-Z171&gt;2*$N$121,-Z171&lt;=3*$N$121),3,IF(AND(-Z171&gt;3*$N$121,-Z171&lt;=4*$N$121),4,1))),0)</f>
        <v>#DIV/0!</v>
      </c>
      <c r="AB171" s="725" t="e">
        <f t="shared" ref="AB171:AB176" si="110">+IF(Z171&lt;0,IF(AND(AA59="SI",AA171=2),AA171/2,IF(AND(AA59="SI",AA171=3),AA171-1,IF(AND(AA59="SI",AA171=4),AA171/2,IF(AND(AA59="SI",AA171=5),AA171-3,AA171)))),0)</f>
        <v>#DIV/0!</v>
      </c>
      <c r="AC171" s="709" t="e">
        <f>+ROUNDUP(IF(Y171&lt;0,MAX(-Z171/AA171,MAX(M123:M126)),0),0)</f>
        <v>#DIV/0!</v>
      </c>
      <c r="AD171" s="710" t="e">
        <f t="shared" ref="AD171:AD176" si="111">+IF(Z171&lt;0,HLOOKUP(AC171,$B$180:$AK$181,2,FALSE)*AB171,0)</f>
        <v>#DIV/0!</v>
      </c>
      <c r="AE171" s="676"/>
    </row>
    <row r="172" spans="2:33" ht="15" hidden="1" outlineLevel="1" thickBot="1">
      <c r="B172" s="716" t="str">
        <f t="shared" si="104"/>
        <v>4 años</v>
      </c>
      <c r="C172" s="702">
        <f t="shared" ref="C172:M172" si="112">+$Y159-C127</f>
        <v>0</v>
      </c>
      <c r="D172" s="702">
        <f t="shared" si="112"/>
        <v>0</v>
      </c>
      <c r="E172" s="702" t="e">
        <f t="shared" si="112"/>
        <v>#DIV/0!</v>
      </c>
      <c r="F172" s="702" t="e">
        <f t="shared" si="112"/>
        <v>#DIV/0!</v>
      </c>
      <c r="G172" s="702" t="e">
        <f t="shared" si="112"/>
        <v>#DIV/0!</v>
      </c>
      <c r="H172" s="702" t="e">
        <f t="shared" si="112"/>
        <v>#DIV/0!</v>
      </c>
      <c r="I172" s="702" t="e">
        <f t="shared" si="112"/>
        <v>#DIV/0!</v>
      </c>
      <c r="J172" s="702" t="e">
        <f t="shared" si="112"/>
        <v>#DIV/0!</v>
      </c>
      <c r="K172" s="702" t="e">
        <f t="shared" si="112"/>
        <v>#DIV/0!</v>
      </c>
      <c r="L172" s="702" t="e">
        <f t="shared" si="112"/>
        <v>#DIV/0!</v>
      </c>
      <c r="M172" s="705" t="e">
        <f t="shared" si="112"/>
        <v>#DIV/0!</v>
      </c>
      <c r="N172" s="721">
        <f t="shared" ref="N172:X172" si="113">+($Q159-C127)</f>
        <v>0</v>
      </c>
      <c r="O172" s="708">
        <f t="shared" si="113"/>
        <v>0</v>
      </c>
      <c r="P172" s="708" t="e">
        <f t="shared" si="113"/>
        <v>#DIV/0!</v>
      </c>
      <c r="Q172" s="708" t="e">
        <f t="shared" si="113"/>
        <v>#DIV/0!</v>
      </c>
      <c r="R172" s="708" t="e">
        <f t="shared" si="113"/>
        <v>#DIV/0!</v>
      </c>
      <c r="S172" s="708" t="e">
        <f t="shared" si="113"/>
        <v>#DIV/0!</v>
      </c>
      <c r="T172" s="708" t="e">
        <f t="shared" si="113"/>
        <v>#DIV/0!</v>
      </c>
      <c r="U172" s="708" t="e">
        <f t="shared" si="113"/>
        <v>#DIV/0!</v>
      </c>
      <c r="V172" s="708" t="e">
        <f t="shared" si="113"/>
        <v>#DIV/0!</v>
      </c>
      <c r="W172" s="708" t="e">
        <f t="shared" si="113"/>
        <v>#DIV/0!</v>
      </c>
      <c r="X172" s="722" t="e">
        <f t="shared" si="113"/>
        <v>#DIV/0!</v>
      </c>
      <c r="Y172" s="723" t="e">
        <f t="shared" si="107"/>
        <v>#DIV/0!</v>
      </c>
      <c r="Z172" s="724" t="e">
        <f t="shared" si="108"/>
        <v>#DIV/0!</v>
      </c>
      <c r="AA172" s="702" t="e">
        <f t="shared" si="109"/>
        <v>#DIV/0!</v>
      </c>
      <c r="AB172" s="725" t="e">
        <f t="shared" si="110"/>
        <v>#DIV/0!</v>
      </c>
      <c r="AC172" s="709" t="e">
        <f>+ROUNDUP(IF(Y172&lt;0,MAX(-Z172/AA172,MAX(M128:M131)),0),0)</f>
        <v>#DIV/0!</v>
      </c>
      <c r="AD172" s="710" t="e">
        <f t="shared" si="111"/>
        <v>#DIV/0!</v>
      </c>
      <c r="AE172" s="676"/>
    </row>
    <row r="173" spans="2:33" ht="15" hidden="1" outlineLevel="1" thickBot="1">
      <c r="B173" s="716" t="str">
        <f t="shared" si="104"/>
        <v>5 años</v>
      </c>
      <c r="C173" s="702">
        <f t="shared" ref="C173:M173" si="114">+$Y160-C132</f>
        <v>0</v>
      </c>
      <c r="D173" s="702">
        <f t="shared" si="114"/>
        <v>0</v>
      </c>
      <c r="E173" s="702">
        <f t="shared" si="114"/>
        <v>0</v>
      </c>
      <c r="F173" s="702" t="e">
        <f t="shared" si="114"/>
        <v>#DIV/0!</v>
      </c>
      <c r="G173" s="702" t="e">
        <f t="shared" si="114"/>
        <v>#DIV/0!</v>
      </c>
      <c r="H173" s="702" t="e">
        <f t="shared" si="114"/>
        <v>#DIV/0!</v>
      </c>
      <c r="I173" s="702" t="e">
        <f t="shared" si="114"/>
        <v>#DIV/0!</v>
      </c>
      <c r="J173" s="702" t="e">
        <f t="shared" si="114"/>
        <v>#DIV/0!</v>
      </c>
      <c r="K173" s="702" t="e">
        <f t="shared" si="114"/>
        <v>#DIV/0!</v>
      </c>
      <c r="L173" s="702" t="e">
        <f t="shared" si="114"/>
        <v>#DIV/0!</v>
      </c>
      <c r="M173" s="705" t="e">
        <f t="shared" si="114"/>
        <v>#DIV/0!</v>
      </c>
      <c r="N173" s="721">
        <f t="shared" ref="N173:X173" si="115">+($Q160-C132)</f>
        <v>0</v>
      </c>
      <c r="O173" s="708">
        <f t="shared" si="115"/>
        <v>0</v>
      </c>
      <c r="P173" s="708">
        <f t="shared" si="115"/>
        <v>0</v>
      </c>
      <c r="Q173" s="708" t="e">
        <f t="shared" si="115"/>
        <v>#DIV/0!</v>
      </c>
      <c r="R173" s="708" t="e">
        <f t="shared" si="115"/>
        <v>#DIV/0!</v>
      </c>
      <c r="S173" s="708" t="e">
        <f t="shared" si="115"/>
        <v>#DIV/0!</v>
      </c>
      <c r="T173" s="708" t="e">
        <f t="shared" si="115"/>
        <v>#DIV/0!</v>
      </c>
      <c r="U173" s="708" t="e">
        <f t="shared" si="115"/>
        <v>#DIV/0!</v>
      </c>
      <c r="V173" s="708" t="e">
        <f t="shared" si="115"/>
        <v>#DIV/0!</v>
      </c>
      <c r="W173" s="708" t="e">
        <f t="shared" si="115"/>
        <v>#DIV/0!</v>
      </c>
      <c r="X173" s="722" t="e">
        <f t="shared" si="115"/>
        <v>#DIV/0!</v>
      </c>
      <c r="Y173" s="723" t="e">
        <f t="shared" si="107"/>
        <v>#DIV/0!</v>
      </c>
      <c r="Z173" s="724" t="e">
        <f t="shared" si="108"/>
        <v>#DIV/0!</v>
      </c>
      <c r="AA173" s="702" t="e">
        <f t="shared" si="109"/>
        <v>#DIV/0!</v>
      </c>
      <c r="AB173" s="725" t="e">
        <f t="shared" si="110"/>
        <v>#DIV/0!</v>
      </c>
      <c r="AC173" s="709" t="e">
        <f>+ROUNDUP(IF(Y173&lt;0,MAX(-Z173/AA173,MAX(M133:M136)),0),0)</f>
        <v>#DIV/0!</v>
      </c>
      <c r="AD173" s="710" t="e">
        <f t="shared" si="111"/>
        <v>#DIV/0!</v>
      </c>
      <c r="AE173" s="676"/>
    </row>
    <row r="174" spans="2:33" ht="15" hidden="1" outlineLevel="1" thickBot="1">
      <c r="B174" s="716" t="str">
        <f t="shared" si="104"/>
        <v>No aplica</v>
      </c>
      <c r="C174" s="702">
        <f t="shared" ref="C174:M174" si="116">+$Y161-C137</f>
        <v>0</v>
      </c>
      <c r="D174" s="702">
        <f t="shared" si="116"/>
        <v>0</v>
      </c>
      <c r="E174" s="702">
        <f t="shared" si="116"/>
        <v>0</v>
      </c>
      <c r="F174" s="702">
        <f t="shared" si="116"/>
        <v>0</v>
      </c>
      <c r="G174" s="702">
        <f t="shared" si="116"/>
        <v>0</v>
      </c>
      <c r="H174" s="702">
        <f t="shared" si="116"/>
        <v>0</v>
      </c>
      <c r="I174" s="702">
        <f t="shared" si="116"/>
        <v>0</v>
      </c>
      <c r="J174" s="702">
        <f t="shared" si="116"/>
        <v>0</v>
      </c>
      <c r="K174" s="702">
        <f t="shared" si="116"/>
        <v>0</v>
      </c>
      <c r="L174" s="702">
        <f t="shared" si="116"/>
        <v>0</v>
      </c>
      <c r="M174" s="705">
        <f t="shared" si="116"/>
        <v>0</v>
      </c>
      <c r="N174" s="721">
        <f t="shared" ref="N174:X174" si="117">+($Q161-C137)</f>
        <v>0</v>
      </c>
      <c r="O174" s="708">
        <f t="shared" si="117"/>
        <v>0</v>
      </c>
      <c r="P174" s="708">
        <f t="shared" si="117"/>
        <v>0</v>
      </c>
      <c r="Q174" s="708">
        <f t="shared" si="117"/>
        <v>0</v>
      </c>
      <c r="R174" s="708">
        <f t="shared" si="117"/>
        <v>0</v>
      </c>
      <c r="S174" s="708">
        <f t="shared" si="117"/>
        <v>0</v>
      </c>
      <c r="T174" s="708">
        <f t="shared" si="117"/>
        <v>0</v>
      </c>
      <c r="U174" s="708">
        <f t="shared" si="117"/>
        <v>0</v>
      </c>
      <c r="V174" s="708">
        <f t="shared" si="117"/>
        <v>0</v>
      </c>
      <c r="W174" s="708">
        <f t="shared" si="117"/>
        <v>0</v>
      </c>
      <c r="X174" s="722">
        <f t="shared" si="117"/>
        <v>0</v>
      </c>
      <c r="Y174" s="723">
        <f t="shared" si="107"/>
        <v>0</v>
      </c>
      <c r="Z174" s="724">
        <f t="shared" si="108"/>
        <v>0</v>
      </c>
      <c r="AA174" s="702">
        <f t="shared" si="109"/>
        <v>0</v>
      </c>
      <c r="AB174" s="725">
        <f t="shared" si="110"/>
        <v>0</v>
      </c>
      <c r="AC174" s="709">
        <f>+ROUNDUP(IF(Y174&lt;0,MAX(-Z174/AA174,MAX(M138:M141)),0),0)</f>
        <v>0</v>
      </c>
      <c r="AD174" s="710">
        <f t="shared" si="111"/>
        <v>0</v>
      </c>
      <c r="AE174" s="676"/>
    </row>
    <row r="175" spans="2:33" ht="15" hidden="1" outlineLevel="1" thickBot="1">
      <c r="B175" s="716" t="str">
        <f t="shared" si="104"/>
        <v>No aplica</v>
      </c>
      <c r="C175" s="702">
        <f t="shared" ref="C175:M175" si="118">+$Y162-C142</f>
        <v>0</v>
      </c>
      <c r="D175" s="702">
        <f t="shared" si="118"/>
        <v>0</v>
      </c>
      <c r="E175" s="702">
        <f t="shared" si="118"/>
        <v>0</v>
      </c>
      <c r="F175" s="702">
        <f t="shared" si="118"/>
        <v>0</v>
      </c>
      <c r="G175" s="702">
        <f t="shared" si="118"/>
        <v>0</v>
      </c>
      <c r="H175" s="702">
        <f t="shared" si="118"/>
        <v>0</v>
      </c>
      <c r="I175" s="702">
        <f t="shared" si="118"/>
        <v>0</v>
      </c>
      <c r="J175" s="702">
        <f t="shared" si="118"/>
        <v>0</v>
      </c>
      <c r="K175" s="702">
        <f t="shared" si="118"/>
        <v>0</v>
      </c>
      <c r="L175" s="702">
        <f t="shared" si="118"/>
        <v>0</v>
      </c>
      <c r="M175" s="705">
        <f t="shared" si="118"/>
        <v>0</v>
      </c>
      <c r="N175" s="721">
        <f t="shared" ref="N175:X175" si="119">+($Q162-C142)</f>
        <v>0</v>
      </c>
      <c r="O175" s="708">
        <f t="shared" si="119"/>
        <v>0</v>
      </c>
      <c r="P175" s="708">
        <f t="shared" si="119"/>
        <v>0</v>
      </c>
      <c r="Q175" s="708">
        <f t="shared" si="119"/>
        <v>0</v>
      </c>
      <c r="R175" s="708">
        <f t="shared" si="119"/>
        <v>0</v>
      </c>
      <c r="S175" s="708">
        <f t="shared" si="119"/>
        <v>0</v>
      </c>
      <c r="T175" s="708">
        <f t="shared" si="119"/>
        <v>0</v>
      </c>
      <c r="U175" s="708">
        <f t="shared" si="119"/>
        <v>0</v>
      </c>
      <c r="V175" s="708">
        <f t="shared" si="119"/>
        <v>0</v>
      </c>
      <c r="W175" s="708">
        <f t="shared" si="119"/>
        <v>0</v>
      </c>
      <c r="X175" s="722">
        <f t="shared" si="119"/>
        <v>0</v>
      </c>
      <c r="Y175" s="723">
        <f t="shared" si="107"/>
        <v>0</v>
      </c>
      <c r="Z175" s="724">
        <f t="shared" si="108"/>
        <v>0</v>
      </c>
      <c r="AA175" s="702">
        <f t="shared" si="109"/>
        <v>0</v>
      </c>
      <c r="AB175" s="725">
        <f t="shared" si="110"/>
        <v>0</v>
      </c>
      <c r="AC175" s="709">
        <f>+ROUNDUP(IF(Y175&lt;0,MAX(-Z175/AA175,MAX(M143:M146)),0),0)</f>
        <v>0</v>
      </c>
      <c r="AD175" s="710">
        <f t="shared" si="111"/>
        <v>0</v>
      </c>
      <c r="AE175" s="676"/>
    </row>
    <row r="176" spans="2:33" ht="15" hidden="1" outlineLevel="1" thickBot="1">
      <c r="B176" s="716" t="str">
        <f t="shared" si="104"/>
        <v>No aplica</v>
      </c>
      <c r="C176" s="702">
        <f t="shared" ref="C176:M176" si="120">+$Y163-C147</f>
        <v>0</v>
      </c>
      <c r="D176" s="702">
        <f t="shared" si="120"/>
        <v>0</v>
      </c>
      <c r="E176" s="702">
        <f t="shared" si="120"/>
        <v>0</v>
      </c>
      <c r="F176" s="702">
        <f t="shared" si="120"/>
        <v>0</v>
      </c>
      <c r="G176" s="702">
        <f t="shared" si="120"/>
        <v>0</v>
      </c>
      <c r="H176" s="702">
        <f t="shared" si="120"/>
        <v>0</v>
      </c>
      <c r="I176" s="702">
        <f t="shared" si="120"/>
        <v>0</v>
      </c>
      <c r="J176" s="702">
        <f t="shared" si="120"/>
        <v>0</v>
      </c>
      <c r="K176" s="702">
        <f t="shared" si="120"/>
        <v>0</v>
      </c>
      <c r="L176" s="702">
        <f t="shared" si="120"/>
        <v>0</v>
      </c>
      <c r="M176" s="705">
        <f t="shared" si="120"/>
        <v>0</v>
      </c>
      <c r="N176" s="721">
        <f t="shared" ref="N176:X176" si="121">+($Q163-C147)</f>
        <v>0</v>
      </c>
      <c r="O176" s="708">
        <f t="shared" si="121"/>
        <v>0</v>
      </c>
      <c r="P176" s="708">
        <f t="shared" si="121"/>
        <v>0</v>
      </c>
      <c r="Q176" s="708">
        <f t="shared" si="121"/>
        <v>0</v>
      </c>
      <c r="R176" s="708">
        <f t="shared" si="121"/>
        <v>0</v>
      </c>
      <c r="S176" s="708">
        <f t="shared" si="121"/>
        <v>0</v>
      </c>
      <c r="T176" s="708">
        <f t="shared" si="121"/>
        <v>0</v>
      </c>
      <c r="U176" s="708">
        <f t="shared" si="121"/>
        <v>0</v>
      </c>
      <c r="V176" s="708">
        <f t="shared" si="121"/>
        <v>0</v>
      </c>
      <c r="W176" s="708">
        <f t="shared" si="121"/>
        <v>0</v>
      </c>
      <c r="X176" s="722">
        <f t="shared" si="121"/>
        <v>0</v>
      </c>
      <c r="Y176" s="723">
        <f t="shared" si="107"/>
        <v>0</v>
      </c>
      <c r="Z176" s="724">
        <f t="shared" si="108"/>
        <v>0</v>
      </c>
      <c r="AA176" s="702">
        <f t="shared" si="109"/>
        <v>0</v>
      </c>
      <c r="AB176" s="725">
        <f t="shared" si="110"/>
        <v>0</v>
      </c>
      <c r="AC176" s="709">
        <f>+ROUNDUP(IF(Y176&lt;0,MAX(-Z176/AA176,MAX(M148:M151)),0),0)</f>
        <v>0</v>
      </c>
      <c r="AD176" s="710">
        <f t="shared" si="111"/>
        <v>0</v>
      </c>
      <c r="AE176" s="676"/>
    </row>
    <row r="177" spans="2:37" ht="15" hidden="1" outlineLevel="1" thickBot="1">
      <c r="B177" s="712" t="s">
        <v>76</v>
      </c>
      <c r="C177" s="714">
        <f t="shared" ref="C177:W177" si="122">ROUND(C171,0)+ROUND(C172,0)+ROUND(C173,0)+ROUND(C174,0)+ROUND(C175,0)+ROUND(C176,0)</f>
        <v>0</v>
      </c>
      <c r="D177" s="714" t="e">
        <f t="shared" si="122"/>
        <v>#DIV/0!</v>
      </c>
      <c r="E177" s="714" t="e">
        <f t="shared" si="122"/>
        <v>#DIV/0!</v>
      </c>
      <c r="F177" s="714" t="e">
        <f t="shared" si="122"/>
        <v>#DIV/0!</v>
      </c>
      <c r="G177" s="714" t="e">
        <f t="shared" si="122"/>
        <v>#DIV/0!</v>
      </c>
      <c r="H177" s="714" t="e">
        <f t="shared" si="122"/>
        <v>#DIV/0!</v>
      </c>
      <c r="I177" s="714" t="e">
        <f t="shared" si="122"/>
        <v>#DIV/0!</v>
      </c>
      <c r="J177" s="714" t="e">
        <f t="shared" si="122"/>
        <v>#DIV/0!</v>
      </c>
      <c r="K177" s="714" t="e">
        <f t="shared" si="122"/>
        <v>#DIV/0!</v>
      </c>
      <c r="L177" s="714" t="e">
        <f t="shared" si="122"/>
        <v>#DIV/0!</v>
      </c>
      <c r="M177" s="726" t="e">
        <f t="shared" si="122"/>
        <v>#DIV/0!</v>
      </c>
      <c r="N177" s="712">
        <f t="shared" si="122"/>
        <v>0</v>
      </c>
      <c r="O177" s="714" t="e">
        <f t="shared" si="122"/>
        <v>#DIV/0!</v>
      </c>
      <c r="P177" s="714" t="e">
        <f t="shared" si="122"/>
        <v>#DIV/0!</v>
      </c>
      <c r="Q177" s="714" t="e">
        <f t="shared" si="122"/>
        <v>#DIV/0!</v>
      </c>
      <c r="R177" s="714" t="e">
        <f t="shared" si="122"/>
        <v>#DIV/0!</v>
      </c>
      <c r="S177" s="714" t="e">
        <f t="shared" si="122"/>
        <v>#DIV/0!</v>
      </c>
      <c r="T177" s="711" t="e">
        <f>ROUND(T171,0)+ROUND(T172,0)+ROUND(T173,0)+ROUND(T174,0)+ROUND(T175,0)+ROUND(T176,0)</f>
        <v>#DIV/0!</v>
      </c>
      <c r="U177" s="714" t="e">
        <f t="shared" si="122"/>
        <v>#DIV/0!</v>
      </c>
      <c r="V177" s="714" t="e">
        <f t="shared" si="122"/>
        <v>#DIV/0!</v>
      </c>
      <c r="W177" s="714" t="e">
        <f t="shared" si="122"/>
        <v>#DIV/0!</v>
      </c>
      <c r="X177" s="1910" t="e">
        <f>ROUND(Y171,0)+ROUND(Y172,0)+ROUND(Y173,0)+ROUND(Y174,0)+ROUND(Y175,0)+ROUND(Y176,0)</f>
        <v>#DIV/0!</v>
      </c>
      <c r="Y177" s="1910"/>
      <c r="Z177" s="727"/>
      <c r="AA177" s="725" t="e">
        <f>+SUM(AA171:AA176)</f>
        <v>#DIV/0!</v>
      </c>
      <c r="AB177" s="725" t="e">
        <f>+SUM(AB171:AB176)</f>
        <v>#DIV/0!</v>
      </c>
      <c r="AC177" s="714"/>
      <c r="AD177" s="726" t="e">
        <f>+SUM(AD171:AD176)</f>
        <v>#DIV/0!</v>
      </c>
      <c r="AE177" s="676"/>
    </row>
    <row r="178" spans="2:37" hidden="1" outlineLevel="1"/>
    <row r="179" spans="2:37" ht="15" hidden="1" outlineLevel="1" thickBot="1"/>
    <row r="180" spans="2:37" ht="33.75" hidden="1" customHeight="1" outlineLevel="1" thickBot="1">
      <c r="B180" s="698" t="s">
        <v>940</v>
      </c>
      <c r="C180" s="699">
        <v>1</v>
      </c>
      <c r="D180" s="699">
        <v>2</v>
      </c>
      <c r="E180" s="699">
        <v>3</v>
      </c>
      <c r="F180" s="699">
        <v>4</v>
      </c>
      <c r="G180" s="699">
        <v>5</v>
      </c>
      <c r="H180" s="699">
        <v>6</v>
      </c>
      <c r="I180" s="699">
        <v>7</v>
      </c>
      <c r="J180" s="699">
        <v>8</v>
      </c>
      <c r="K180" s="699">
        <v>9</v>
      </c>
      <c r="L180" s="699">
        <v>10</v>
      </c>
      <c r="M180" s="699">
        <v>11</v>
      </c>
      <c r="N180" s="699">
        <v>12</v>
      </c>
      <c r="O180" s="699">
        <v>13</v>
      </c>
      <c r="P180" s="699">
        <v>14</v>
      </c>
      <c r="Q180" s="699">
        <v>15</v>
      </c>
      <c r="R180" s="699">
        <v>16</v>
      </c>
      <c r="S180" s="699">
        <v>17</v>
      </c>
      <c r="T180" s="699">
        <v>18</v>
      </c>
      <c r="U180" s="699">
        <v>19</v>
      </c>
      <c r="V180" s="699">
        <v>20</v>
      </c>
      <c r="W180" s="699">
        <v>21</v>
      </c>
      <c r="X180" s="699">
        <v>22</v>
      </c>
      <c r="Y180" s="699">
        <v>23</v>
      </c>
      <c r="Z180" s="699">
        <v>24</v>
      </c>
      <c r="AA180" s="699">
        <v>25</v>
      </c>
      <c r="AB180" s="699">
        <v>26</v>
      </c>
      <c r="AC180" s="699">
        <v>27</v>
      </c>
      <c r="AD180" s="699">
        <v>28</v>
      </c>
      <c r="AE180" s="699">
        <v>29</v>
      </c>
      <c r="AF180" s="699">
        <v>30</v>
      </c>
      <c r="AG180" s="699">
        <v>31</v>
      </c>
      <c r="AH180" s="699">
        <v>32</v>
      </c>
      <c r="AI180" s="699">
        <v>33</v>
      </c>
      <c r="AJ180" s="699">
        <v>34</v>
      </c>
      <c r="AK180" s="700">
        <v>35</v>
      </c>
    </row>
    <row r="181" spans="2:37" ht="15" hidden="1" outlineLevel="1" thickBot="1">
      <c r="B181" s="712" t="s">
        <v>941</v>
      </c>
      <c r="C181" s="728">
        <v>21</v>
      </c>
      <c r="D181" s="728">
        <v>21</v>
      </c>
      <c r="E181" s="728">
        <v>21</v>
      </c>
      <c r="F181" s="728">
        <v>21</v>
      </c>
      <c r="G181" s="728">
        <v>21</v>
      </c>
      <c r="H181" s="728">
        <v>21</v>
      </c>
      <c r="I181" s="728">
        <v>21</v>
      </c>
      <c r="J181" s="728">
        <v>21</v>
      </c>
      <c r="K181" s="728">
        <v>21</v>
      </c>
      <c r="L181" s="728">
        <v>21</v>
      </c>
      <c r="M181" s="728">
        <v>32</v>
      </c>
      <c r="N181" s="728">
        <v>32</v>
      </c>
      <c r="O181" s="728">
        <v>32</v>
      </c>
      <c r="P181" s="728">
        <v>32</v>
      </c>
      <c r="Q181" s="728">
        <v>32</v>
      </c>
      <c r="R181" s="729">
        <v>35</v>
      </c>
      <c r="S181" s="729">
        <v>35</v>
      </c>
      <c r="T181" s="729">
        <v>35</v>
      </c>
      <c r="U181" s="729">
        <v>35</v>
      </c>
      <c r="V181" s="729">
        <v>35</v>
      </c>
      <c r="W181" s="730">
        <v>44</v>
      </c>
      <c r="X181" s="730">
        <v>44</v>
      </c>
      <c r="Y181" s="730">
        <v>44</v>
      </c>
      <c r="Z181" s="730">
        <v>44</v>
      </c>
      <c r="AA181" s="730">
        <v>44</v>
      </c>
      <c r="AB181" s="730">
        <v>48</v>
      </c>
      <c r="AC181" s="730">
        <v>48</v>
      </c>
      <c r="AD181" s="730">
        <v>48</v>
      </c>
      <c r="AE181" s="730">
        <v>48</v>
      </c>
      <c r="AF181" s="730">
        <v>48</v>
      </c>
      <c r="AG181" s="730">
        <v>56</v>
      </c>
      <c r="AH181" s="730">
        <f>+AG181</f>
        <v>56</v>
      </c>
      <c r="AI181" s="730">
        <f>+AH181</f>
        <v>56</v>
      </c>
      <c r="AJ181" s="730">
        <f>+AI181</f>
        <v>56</v>
      </c>
      <c r="AK181" s="731">
        <f>+AJ181</f>
        <v>56</v>
      </c>
    </row>
    <row r="182" spans="2:37" hidden="1">
      <c r="B182" s="676"/>
      <c r="C182" s="676"/>
      <c r="D182" s="676"/>
      <c r="E182" s="676"/>
      <c r="F182" s="676"/>
      <c r="AB182" s="675"/>
    </row>
    <row r="183" spans="2:37" ht="19.5" hidden="1" thickBot="1">
      <c r="B183" s="671" t="s">
        <v>1274</v>
      </c>
      <c r="C183" s="671"/>
      <c r="D183" s="671"/>
      <c r="E183" s="671"/>
      <c r="F183" s="671"/>
      <c r="G183" s="671"/>
      <c r="H183" s="671"/>
      <c r="I183" s="671"/>
    </row>
    <row r="184" spans="2:37" ht="15.75" hidden="1" thickTop="1" thickBot="1">
      <c r="B184" s="676"/>
      <c r="C184" s="676"/>
      <c r="D184" s="676"/>
      <c r="E184" s="676"/>
      <c r="F184" s="676"/>
      <c r="AB184" s="675"/>
    </row>
    <row r="185" spans="2:37" ht="15" hidden="1" thickBot="1">
      <c r="B185" s="732" t="s">
        <v>936</v>
      </c>
      <c r="C185" s="913" t="e">
        <f>+AA177</f>
        <v>#DIV/0!</v>
      </c>
    </row>
    <row r="186" spans="2:37" ht="15" hidden="1" thickBot="1">
      <c r="B186" s="732" t="s">
        <v>937</v>
      </c>
      <c r="C186" s="913" t="e">
        <f>+AB177</f>
        <v>#DIV/0!</v>
      </c>
    </row>
    <row r="187" spans="2:37" ht="15" hidden="1" thickBot="1">
      <c r="B187" s="732" t="s">
        <v>942</v>
      </c>
      <c r="C187" s="913" t="e">
        <f>+SUM(D152:M152)</f>
        <v>#DIV/0!</v>
      </c>
      <c r="D187" s="694"/>
      <c r="E187" s="694"/>
      <c r="F187" s="694"/>
      <c r="G187" s="694"/>
      <c r="H187" s="694"/>
      <c r="I187" s="694" t="s">
        <v>1413</v>
      </c>
      <c r="J187" s="694"/>
    </row>
    <row r="188" spans="2:37" hidden="1">
      <c r="B188" s="694"/>
      <c r="C188" s="694"/>
      <c r="D188" s="694"/>
      <c r="E188" s="694"/>
      <c r="F188" s="694"/>
      <c r="G188" s="694"/>
      <c r="H188" s="694"/>
      <c r="I188" s="694"/>
      <c r="J188" s="694"/>
    </row>
    <row r="189" spans="2:37" hidden="1">
      <c r="B189" s="694"/>
      <c r="C189" s="694"/>
      <c r="D189" s="694"/>
      <c r="E189" s="694"/>
      <c r="F189" s="694"/>
      <c r="G189" s="694"/>
      <c r="H189" s="694"/>
      <c r="I189" s="694"/>
      <c r="J189" s="694"/>
    </row>
    <row r="190" spans="2:37" hidden="1">
      <c r="B190" s="694"/>
      <c r="C190" s="694"/>
      <c r="D190" s="694"/>
      <c r="E190" s="694"/>
      <c r="F190" s="694"/>
      <c r="G190" s="694"/>
      <c r="H190" s="694"/>
      <c r="I190" s="694"/>
      <c r="J190" s="694"/>
    </row>
    <row r="191" spans="2:37" hidden="1">
      <c r="B191" s="694"/>
      <c r="C191" s="694"/>
      <c r="D191" s="694"/>
      <c r="E191" s="694"/>
      <c r="F191" s="694"/>
      <c r="G191" s="694"/>
      <c r="H191" s="694"/>
      <c r="I191" s="694"/>
      <c r="J191" s="694"/>
    </row>
    <row r="192" spans="2:37" hidden="1">
      <c r="B192" s="694"/>
      <c r="C192" s="694"/>
      <c r="D192" s="694"/>
      <c r="E192" s="694"/>
      <c r="F192" s="694"/>
      <c r="G192" s="694"/>
      <c r="H192" s="694"/>
      <c r="I192" s="694"/>
      <c r="J192" s="694"/>
    </row>
    <row r="193" spans="2:10" hidden="1">
      <c r="B193" s="694"/>
      <c r="C193" s="694"/>
      <c r="D193" s="694"/>
      <c r="E193" s="694"/>
      <c r="F193" s="694"/>
      <c r="G193" s="694"/>
      <c r="H193" s="694"/>
      <c r="I193" s="694"/>
      <c r="J193" s="694"/>
    </row>
    <row r="194" spans="2:10" hidden="1">
      <c r="B194" s="694"/>
      <c r="C194" s="694"/>
      <c r="D194" s="694"/>
      <c r="E194" s="694"/>
      <c r="F194" s="694"/>
      <c r="G194" s="694"/>
      <c r="H194" s="694"/>
      <c r="I194" s="694"/>
      <c r="J194" s="694"/>
    </row>
    <row r="195" spans="2:10" hidden="1">
      <c r="B195" s="694"/>
      <c r="C195" s="694"/>
      <c r="D195" s="694"/>
      <c r="E195" s="694"/>
      <c r="F195" s="694"/>
      <c r="G195" s="694"/>
      <c r="H195" s="694"/>
      <c r="I195" s="694"/>
      <c r="J195" s="694"/>
    </row>
    <row r="196" spans="2:10">
      <c r="B196" s="694"/>
      <c r="C196" s="694"/>
      <c r="D196" s="694"/>
      <c r="E196" s="694"/>
      <c r="F196" s="694"/>
      <c r="G196" s="694"/>
      <c r="H196" s="694"/>
      <c r="I196" s="694"/>
      <c r="J196" s="694"/>
    </row>
    <row r="197" spans="2:10">
      <c r="B197" s="694"/>
      <c r="C197" s="694"/>
      <c r="D197" s="694"/>
      <c r="E197" s="694"/>
      <c r="F197" s="694"/>
      <c r="G197" s="694"/>
      <c r="H197" s="694"/>
      <c r="I197" s="694"/>
      <c r="J197" s="694"/>
    </row>
    <row r="198" spans="2:10">
      <c r="B198" s="694"/>
      <c r="C198" s="694"/>
      <c r="D198" s="694"/>
      <c r="E198" s="694"/>
      <c r="F198" s="694"/>
      <c r="G198" s="694"/>
      <c r="H198" s="694"/>
      <c r="I198" s="694"/>
      <c r="J198" s="694"/>
    </row>
    <row r="199" spans="2:10">
      <c r="B199" s="1178" t="s">
        <v>1578</v>
      </c>
      <c r="C199" s="1178">
        <v>141</v>
      </c>
      <c r="D199" s="694"/>
      <c r="E199" s="1179" t="s">
        <v>1595</v>
      </c>
      <c r="F199" s="1179"/>
      <c r="G199" s="1180">
        <f>SUM(C199:C202)</f>
        <v>1236</v>
      </c>
      <c r="H199" s="1181">
        <f>+G199/G202</f>
        <v>0.10004856726566294</v>
      </c>
    </row>
    <row r="200" spans="2:10">
      <c r="B200" s="1178" t="s">
        <v>1579</v>
      </c>
      <c r="C200" s="1178">
        <v>203</v>
      </c>
      <c r="D200" s="694"/>
      <c r="E200" s="1179" t="s">
        <v>1594</v>
      </c>
      <c r="F200" s="1179"/>
      <c r="G200" s="1180">
        <f>SUM(C203:C207)</f>
        <v>4495</v>
      </c>
      <c r="H200" s="1181">
        <f>+G200/G202</f>
        <v>0.36384976525821594</v>
      </c>
    </row>
    <row r="201" spans="2:10">
      <c r="B201" s="1178" t="s">
        <v>1580</v>
      </c>
      <c r="C201" s="1178">
        <v>362</v>
      </c>
      <c r="D201" s="694"/>
      <c r="E201" s="1179" t="s">
        <v>1593</v>
      </c>
      <c r="F201" s="1179"/>
      <c r="G201" s="1180">
        <f>SUM(C208:C213)</f>
        <v>6623</v>
      </c>
      <c r="H201" s="1181">
        <f>+G201/G202</f>
        <v>0.53610166747612109</v>
      </c>
    </row>
    <row r="202" spans="2:10">
      <c r="B202" s="1178" t="s">
        <v>1581</v>
      </c>
      <c r="C202" s="1178">
        <v>530</v>
      </c>
      <c r="D202" s="694"/>
      <c r="E202" s="1179"/>
      <c r="F202" s="1179"/>
      <c r="G202" s="1183">
        <f>SUM(G199:G201)</f>
        <v>12354</v>
      </c>
      <c r="H202" s="1184">
        <f>SUM(H199:H201)</f>
        <v>1</v>
      </c>
    </row>
    <row r="203" spans="2:10">
      <c r="B203" s="1178" t="s">
        <v>1582</v>
      </c>
      <c r="C203" s="1178">
        <v>659</v>
      </c>
      <c r="D203" s="694"/>
      <c r="E203" s="694"/>
      <c r="F203" s="694"/>
      <c r="G203" s="694"/>
      <c r="H203" s="694"/>
      <c r="I203" s="694"/>
      <c r="J203" s="694"/>
    </row>
    <row r="204" spans="2:10">
      <c r="B204" s="1178" t="s">
        <v>1583</v>
      </c>
      <c r="C204" s="1178">
        <v>815</v>
      </c>
    </row>
    <row r="205" spans="2:10">
      <c r="B205" s="1178" t="s">
        <v>1584</v>
      </c>
      <c r="C205" s="1178">
        <v>870</v>
      </c>
    </row>
    <row r="206" spans="2:10">
      <c r="B206" s="1178" t="s">
        <v>1585</v>
      </c>
      <c r="C206" s="1178">
        <v>1103</v>
      </c>
    </row>
    <row r="207" spans="2:10">
      <c r="B207" s="1178" t="s">
        <v>1586</v>
      </c>
      <c r="C207" s="1178">
        <v>1048</v>
      </c>
    </row>
    <row r="208" spans="2:10">
      <c r="B208" s="1178" t="s">
        <v>1587</v>
      </c>
      <c r="C208" s="1178">
        <v>1077</v>
      </c>
    </row>
    <row r="209" spans="2:22">
      <c r="B209" s="1178" t="s">
        <v>1588</v>
      </c>
      <c r="C209" s="1178">
        <v>1134</v>
      </c>
    </row>
    <row r="210" spans="2:22">
      <c r="B210" s="1178" t="s">
        <v>1589</v>
      </c>
      <c r="C210" s="1178">
        <v>1160</v>
      </c>
      <c r="E210" s="1"/>
      <c r="F210" s="1"/>
      <c r="G210" s="1185"/>
      <c r="H210" s="1185"/>
      <c r="I210" s="1193">
        <v>0</v>
      </c>
      <c r="J210" s="1186">
        <v>1</v>
      </c>
      <c r="K210" s="1186">
        <f>+J210+1</f>
        <v>2</v>
      </c>
      <c r="L210" s="1186">
        <f>+K210+1</f>
        <v>3</v>
      </c>
      <c r="M210" s="1186">
        <f>+L210+1</f>
        <v>4</v>
      </c>
      <c r="N210" s="1186">
        <f>+M210+1</f>
        <v>5</v>
      </c>
      <c r="O210" s="1186">
        <f>+N210+1</f>
        <v>6</v>
      </c>
      <c r="P210" s="1186">
        <f t="shared" ref="P210:S210" si="123">+O210+1</f>
        <v>7</v>
      </c>
      <c r="Q210" s="1186">
        <f t="shared" si="123"/>
        <v>8</v>
      </c>
      <c r="R210" s="1186">
        <f t="shared" si="123"/>
        <v>9</v>
      </c>
      <c r="S210" s="1186">
        <f t="shared" si="123"/>
        <v>10</v>
      </c>
    </row>
    <row r="211" spans="2:22">
      <c r="B211" s="1178" t="s">
        <v>1590</v>
      </c>
      <c r="C211" s="1178">
        <v>1054</v>
      </c>
      <c r="E211" s="1194" t="s">
        <v>1596</v>
      </c>
      <c r="F211" s="1187">
        <v>1.2</v>
      </c>
      <c r="G211" s="1185"/>
      <c r="H211" s="1188" t="s">
        <v>1597</v>
      </c>
      <c r="I211" s="1189">
        <v>2018</v>
      </c>
      <c r="J211" s="1189">
        <v>2019</v>
      </c>
      <c r="K211" s="1189">
        <v>2020</v>
      </c>
      <c r="L211" s="1189">
        <v>2021</v>
      </c>
      <c r="M211" s="1189">
        <v>2022</v>
      </c>
      <c r="N211" s="1189">
        <v>2023</v>
      </c>
      <c r="O211" s="1189">
        <v>2024</v>
      </c>
      <c r="P211" s="1189">
        <v>2025</v>
      </c>
      <c r="Q211" s="1189">
        <v>2026</v>
      </c>
      <c r="R211" s="1189">
        <v>2027</v>
      </c>
      <c r="S211" s="1189">
        <v>2028</v>
      </c>
    </row>
    <row r="212" spans="2:22">
      <c r="B212" s="1178" t="s">
        <v>1591</v>
      </c>
      <c r="C212" s="1178">
        <v>1064</v>
      </c>
      <c r="E212" s="382"/>
      <c r="F212" s="382"/>
      <c r="G212" s="382"/>
      <c r="H212" s="1190" t="s">
        <v>1598</v>
      </c>
      <c r="I212" s="1191">
        <v>19</v>
      </c>
      <c r="J212" s="1192">
        <f>+I212*(1+$F$211/100)</f>
        <v>19.228000000000002</v>
      </c>
      <c r="K212" s="1192">
        <f t="shared" ref="K212:S212" si="124">+J212*(1+$F$211/100)</f>
        <v>19.458736000000002</v>
      </c>
      <c r="L212" s="1192">
        <f>+K212*(1+$F$211/100)</f>
        <v>19.692240832000003</v>
      </c>
      <c r="M212" s="1192">
        <f t="shared" si="124"/>
        <v>19.928547721984003</v>
      </c>
      <c r="N212" s="1192">
        <f t="shared" si="124"/>
        <v>20.167690294647812</v>
      </c>
      <c r="O212" s="1192">
        <f t="shared" si="124"/>
        <v>20.409702578183587</v>
      </c>
      <c r="P212" s="1192">
        <f t="shared" si="124"/>
        <v>20.654619009121792</v>
      </c>
      <c r="Q212" s="1192">
        <f t="shared" si="124"/>
        <v>20.902474437231252</v>
      </c>
      <c r="R212" s="1192">
        <f t="shared" si="124"/>
        <v>21.153304130478027</v>
      </c>
      <c r="S212" s="1192">
        <f t="shared" si="124"/>
        <v>21.407143780043764</v>
      </c>
    </row>
    <row r="213" spans="2:22">
      <c r="B213" s="1178" t="s">
        <v>1592</v>
      </c>
      <c r="C213" s="1178">
        <v>1134</v>
      </c>
    </row>
    <row r="214" spans="2:22">
      <c r="C214" s="1182">
        <f>SUM(C199:C213)</f>
        <v>12354</v>
      </c>
    </row>
    <row r="215" spans="2:22">
      <c r="H215" s="1903" t="s">
        <v>1599</v>
      </c>
      <c r="I215" s="1903"/>
      <c r="J215" s="1903"/>
      <c r="K215" s="1903"/>
      <c r="L215" s="1903"/>
      <c r="M215" s="1903"/>
      <c r="N215" s="1903"/>
      <c r="O215" s="1903"/>
      <c r="P215" s="1903"/>
      <c r="Q215" s="1903"/>
      <c r="R215" s="1903"/>
      <c r="S215" s="1903"/>
      <c r="T215" s="1903"/>
      <c r="U215" s="1903"/>
      <c r="V215" s="1903"/>
    </row>
    <row r="216" spans="2:22">
      <c r="H216" s="1903"/>
      <c r="I216" s="1903"/>
      <c r="J216" s="1903"/>
      <c r="K216" s="1903"/>
      <c r="L216" s="1903"/>
      <c r="M216" s="1903"/>
      <c r="N216" s="1903"/>
      <c r="O216" s="1903"/>
      <c r="P216" s="1903"/>
      <c r="Q216" s="1903"/>
      <c r="R216" s="1903"/>
      <c r="S216" s="1903"/>
      <c r="T216" s="1903"/>
      <c r="U216" s="1903"/>
      <c r="V216" s="1903"/>
    </row>
    <row r="217" spans="2:22">
      <c r="H217" s="1903"/>
      <c r="I217" s="1903"/>
      <c r="J217" s="1903"/>
      <c r="K217" s="1903"/>
      <c r="L217" s="1903"/>
      <c r="M217" s="1903"/>
      <c r="N217" s="1903"/>
      <c r="O217" s="1903"/>
      <c r="P217" s="1903"/>
      <c r="Q217" s="1903"/>
      <c r="R217" s="1903"/>
      <c r="S217" s="1903"/>
      <c r="T217" s="1903"/>
      <c r="U217" s="1903"/>
      <c r="V217" s="1903"/>
    </row>
    <row r="218" spans="2:22">
      <c r="H218" s="1903"/>
      <c r="I218" s="1903"/>
      <c r="J218" s="1903"/>
      <c r="K218" s="1903"/>
      <c r="L218" s="1903"/>
      <c r="M218" s="1903"/>
      <c r="N218" s="1903"/>
      <c r="O218" s="1903"/>
      <c r="P218" s="1903"/>
      <c r="Q218" s="1903"/>
      <c r="R218" s="1903"/>
      <c r="S218" s="1903"/>
      <c r="T218" s="1903"/>
      <c r="U218" s="1903"/>
      <c r="V218" s="1903"/>
    </row>
    <row r="219" spans="2:22">
      <c r="H219" s="1903"/>
      <c r="I219" s="1903"/>
      <c r="J219" s="1903"/>
      <c r="K219" s="1903"/>
      <c r="L219" s="1903"/>
      <c r="M219" s="1903"/>
      <c r="N219" s="1903"/>
      <c r="O219" s="1903"/>
      <c r="P219" s="1903"/>
      <c r="Q219" s="1903"/>
      <c r="R219" s="1903"/>
      <c r="S219" s="1903"/>
      <c r="T219" s="1903"/>
      <c r="U219" s="1903"/>
      <c r="V219" s="1903"/>
    </row>
    <row r="220" spans="2:22">
      <c r="H220" s="1903"/>
      <c r="I220" s="1903"/>
      <c r="J220" s="1903"/>
      <c r="K220" s="1903"/>
      <c r="L220" s="1903"/>
      <c r="M220" s="1903"/>
      <c r="N220" s="1903"/>
      <c r="O220" s="1903"/>
      <c r="P220" s="1903"/>
      <c r="Q220" s="1903"/>
      <c r="R220" s="1903"/>
      <c r="S220" s="1903"/>
      <c r="T220" s="1903"/>
      <c r="U220" s="1903"/>
      <c r="V220" s="1903"/>
    </row>
    <row r="221" spans="2:22">
      <c r="H221" s="1903"/>
      <c r="I221" s="1903"/>
      <c r="J221" s="1903"/>
      <c r="K221" s="1903"/>
      <c r="L221" s="1903"/>
      <c r="M221" s="1903"/>
      <c r="N221" s="1903"/>
      <c r="O221" s="1903"/>
      <c r="P221" s="1903"/>
      <c r="Q221" s="1903"/>
      <c r="R221" s="1903"/>
      <c r="S221" s="1903"/>
      <c r="T221" s="1903"/>
      <c r="U221" s="1903"/>
      <c r="V221" s="1903"/>
    </row>
    <row r="222" spans="2:22">
      <c r="H222" s="1903"/>
      <c r="I222" s="1903"/>
      <c r="J222" s="1903"/>
      <c r="K222" s="1903"/>
      <c r="L222" s="1903"/>
      <c r="M222" s="1903"/>
      <c r="N222" s="1903"/>
      <c r="O222" s="1903"/>
      <c r="P222" s="1903"/>
      <c r="Q222" s="1903"/>
      <c r="R222" s="1903"/>
      <c r="S222" s="1903"/>
      <c r="T222" s="1903"/>
      <c r="U222" s="1903"/>
      <c r="V222" s="1903"/>
    </row>
    <row r="223" spans="2:22">
      <c r="H223" s="1903"/>
      <c r="I223" s="1903"/>
      <c r="J223" s="1903"/>
      <c r="K223" s="1903"/>
      <c r="L223" s="1903"/>
      <c r="M223" s="1903"/>
      <c r="N223" s="1903"/>
      <c r="O223" s="1903"/>
      <c r="P223" s="1903"/>
      <c r="Q223" s="1903"/>
      <c r="R223" s="1903"/>
      <c r="S223" s="1903"/>
      <c r="T223" s="1903"/>
      <c r="U223" s="1903"/>
      <c r="V223" s="1903"/>
    </row>
    <row r="224" spans="2:22">
      <c r="H224" s="1903"/>
      <c r="I224" s="1903"/>
      <c r="J224" s="1903"/>
      <c r="K224" s="1903"/>
      <c r="L224" s="1903"/>
      <c r="M224" s="1903"/>
      <c r="N224" s="1903"/>
      <c r="O224" s="1903"/>
      <c r="P224" s="1903"/>
      <c r="Q224" s="1903"/>
      <c r="R224" s="1903"/>
      <c r="S224" s="1903"/>
      <c r="T224" s="1903"/>
      <c r="U224" s="1903"/>
      <c r="V224" s="1903"/>
    </row>
    <row r="225" spans="8:22">
      <c r="H225" s="1903"/>
      <c r="I225" s="1903"/>
      <c r="J225" s="1903"/>
      <c r="K225" s="1903"/>
      <c r="L225" s="1903"/>
      <c r="M225" s="1903"/>
      <c r="N225" s="1903"/>
      <c r="O225" s="1903"/>
      <c r="P225" s="1903"/>
      <c r="Q225" s="1903"/>
      <c r="R225" s="1903"/>
      <c r="S225" s="1903"/>
      <c r="T225" s="1903"/>
      <c r="U225" s="1903"/>
      <c r="V225" s="1903"/>
    </row>
    <row r="226" spans="8:22">
      <c r="H226" s="1903"/>
      <c r="I226" s="1903"/>
      <c r="J226" s="1903"/>
      <c r="K226" s="1903"/>
      <c r="L226" s="1903"/>
      <c r="M226" s="1903"/>
      <c r="N226" s="1903"/>
      <c r="O226" s="1903"/>
      <c r="P226" s="1903"/>
      <c r="Q226" s="1903"/>
      <c r="R226" s="1903"/>
      <c r="S226" s="1903"/>
      <c r="T226" s="1903"/>
      <c r="U226" s="1903"/>
      <c r="V226" s="1903"/>
    </row>
    <row r="227" spans="8:22">
      <c r="H227" s="1903"/>
      <c r="I227" s="1903"/>
      <c r="J227" s="1903"/>
      <c r="K227" s="1903"/>
      <c r="L227" s="1903"/>
      <c r="M227" s="1903"/>
      <c r="N227" s="1903"/>
      <c r="O227" s="1903"/>
      <c r="P227" s="1903"/>
      <c r="Q227" s="1903"/>
      <c r="R227" s="1903"/>
      <c r="S227" s="1903"/>
      <c r="T227" s="1903"/>
      <c r="U227" s="1903"/>
      <c r="V227" s="1903"/>
    </row>
  </sheetData>
  <mergeCells count="376">
    <mergeCell ref="Y24:Y25"/>
    <mergeCell ref="I31:J31"/>
    <mergeCell ref="K31:M31"/>
    <mergeCell ref="N31:O31"/>
    <mergeCell ref="Q31:R31"/>
    <mergeCell ref="S31:U31"/>
    <mergeCell ref="V31:W31"/>
    <mergeCell ref="V25:W25"/>
    <mergeCell ref="I26:J26"/>
    <mergeCell ref="K26:M26"/>
    <mergeCell ref="N26:O26"/>
    <mergeCell ref="Q26:R26"/>
    <mergeCell ref="S26:U26"/>
    <mergeCell ref="V26:W26"/>
    <mergeCell ref="S27:U27"/>
    <mergeCell ref="S28:U28"/>
    <mergeCell ref="S29:U29"/>
    <mergeCell ref="S30:U30"/>
    <mergeCell ref="V27:W27"/>
    <mergeCell ref="V28:W28"/>
    <mergeCell ref="V29:W29"/>
    <mergeCell ref="V30:W30"/>
    <mergeCell ref="N28:O28"/>
    <mergeCell ref="X24:X25"/>
    <mergeCell ref="I41:J41"/>
    <mergeCell ref="K41:M41"/>
    <mergeCell ref="N41:O41"/>
    <mergeCell ref="I51:J51"/>
    <mergeCell ref="K51:M51"/>
    <mergeCell ref="N51:O51"/>
    <mergeCell ref="I43:J43"/>
    <mergeCell ref="K43:M43"/>
    <mergeCell ref="N43:O43"/>
    <mergeCell ref="R21:S21"/>
    <mergeCell ref="P24:P25"/>
    <mergeCell ref="B16:C16"/>
    <mergeCell ref="B17:C17"/>
    <mergeCell ref="B18:C18"/>
    <mergeCell ref="Q24:W24"/>
    <mergeCell ref="I25:J25"/>
    <mergeCell ref="K25:M25"/>
    <mergeCell ref="N25:O25"/>
    <mergeCell ref="Q25:R25"/>
    <mergeCell ref="S25:U25"/>
    <mergeCell ref="F9:J9"/>
    <mergeCell ref="B9:E9"/>
    <mergeCell ref="B11:E11"/>
    <mergeCell ref="G11:J11"/>
    <mergeCell ref="B19:C19"/>
    <mergeCell ref="G21:H21"/>
    <mergeCell ref="I21:J21"/>
    <mergeCell ref="I24:O24"/>
    <mergeCell ref="B12:C12"/>
    <mergeCell ref="G12:J18"/>
    <mergeCell ref="B13:C13"/>
    <mergeCell ref="B14:C14"/>
    <mergeCell ref="B15:C15"/>
    <mergeCell ref="M9:Q9"/>
    <mergeCell ref="B24:H24"/>
    <mergeCell ref="L21:Q21"/>
    <mergeCell ref="Q41:R41"/>
    <mergeCell ref="S41:U41"/>
    <mergeCell ref="V41:W41"/>
    <mergeCell ref="I36:J36"/>
    <mergeCell ref="K36:M36"/>
    <mergeCell ref="N36:O36"/>
    <mergeCell ref="Q36:R36"/>
    <mergeCell ref="S36:U36"/>
    <mergeCell ref="V36:W36"/>
    <mergeCell ref="I38:J38"/>
    <mergeCell ref="K38:M38"/>
    <mergeCell ref="N38:O38"/>
    <mergeCell ref="Q38:R38"/>
    <mergeCell ref="S38:U38"/>
    <mergeCell ref="V38:W38"/>
    <mergeCell ref="I37:J37"/>
    <mergeCell ref="K37:M37"/>
    <mergeCell ref="N37:O37"/>
    <mergeCell ref="Q37:R37"/>
    <mergeCell ref="S37:U37"/>
    <mergeCell ref="V37:W37"/>
    <mergeCell ref="I40:J40"/>
    <mergeCell ref="K40:M40"/>
    <mergeCell ref="N40:O40"/>
    <mergeCell ref="Q51:R51"/>
    <mergeCell ref="S51:U51"/>
    <mergeCell ref="V51:W51"/>
    <mergeCell ref="I46:J46"/>
    <mergeCell ref="K46:M46"/>
    <mergeCell ref="N46:O46"/>
    <mergeCell ref="Q46:R46"/>
    <mergeCell ref="S46:U46"/>
    <mergeCell ref="V46:W46"/>
    <mergeCell ref="I48:J48"/>
    <mergeCell ref="K48:M48"/>
    <mergeCell ref="N48:O48"/>
    <mergeCell ref="Q48:R48"/>
    <mergeCell ref="S48:U48"/>
    <mergeCell ref="V48:W48"/>
    <mergeCell ref="I47:J47"/>
    <mergeCell ref="K47:M47"/>
    <mergeCell ref="N47:O47"/>
    <mergeCell ref="Q47:R47"/>
    <mergeCell ref="S47:U47"/>
    <mergeCell ref="V47:W47"/>
    <mergeCell ref="I50:J50"/>
    <mergeCell ref="K50:M50"/>
    <mergeCell ref="N50:O50"/>
    <mergeCell ref="U58:V58"/>
    <mergeCell ref="W58:X58"/>
    <mergeCell ref="Y58:Z58"/>
    <mergeCell ref="C59:D59"/>
    <mergeCell ref="E59:F59"/>
    <mergeCell ref="G59:H59"/>
    <mergeCell ref="I59:J59"/>
    <mergeCell ref="L59:M59"/>
    <mergeCell ref="N59:O59"/>
    <mergeCell ref="U59:V59"/>
    <mergeCell ref="C58:D58"/>
    <mergeCell ref="E58:F58"/>
    <mergeCell ref="G58:H58"/>
    <mergeCell ref="I58:J58"/>
    <mergeCell ref="L58:M58"/>
    <mergeCell ref="N58:O58"/>
    <mergeCell ref="W59:X59"/>
    <mergeCell ref="Y59:Z59"/>
    <mergeCell ref="R58:T58"/>
    <mergeCell ref="R59:T59"/>
    <mergeCell ref="P58:Q58"/>
    <mergeCell ref="P59:Q59"/>
    <mergeCell ref="Y61:Z61"/>
    <mergeCell ref="R61:T61"/>
    <mergeCell ref="P61:Q61"/>
    <mergeCell ref="C60:D60"/>
    <mergeCell ref="E60:F60"/>
    <mergeCell ref="G60:H60"/>
    <mergeCell ref="I60:J60"/>
    <mergeCell ref="L60:M60"/>
    <mergeCell ref="N60:O60"/>
    <mergeCell ref="U60:V60"/>
    <mergeCell ref="W60:X60"/>
    <mergeCell ref="Y60:Z60"/>
    <mergeCell ref="R60:T60"/>
    <mergeCell ref="P60:Q60"/>
    <mergeCell ref="C61:D61"/>
    <mergeCell ref="E61:F61"/>
    <mergeCell ref="G61:H61"/>
    <mergeCell ref="I61:J61"/>
    <mergeCell ref="L61:M61"/>
    <mergeCell ref="N61:O61"/>
    <mergeCell ref="Y62:Z62"/>
    <mergeCell ref="C63:D63"/>
    <mergeCell ref="E63:F63"/>
    <mergeCell ref="G63:H63"/>
    <mergeCell ref="I63:J63"/>
    <mergeCell ref="L63:M63"/>
    <mergeCell ref="N63:O63"/>
    <mergeCell ref="U63:V63"/>
    <mergeCell ref="C62:D62"/>
    <mergeCell ref="E62:F62"/>
    <mergeCell ref="G62:H62"/>
    <mergeCell ref="I62:J62"/>
    <mergeCell ref="L62:M62"/>
    <mergeCell ref="N62:O62"/>
    <mergeCell ref="R62:T62"/>
    <mergeCell ref="P62:Q62"/>
    <mergeCell ref="Y64:Z64"/>
    <mergeCell ref="B75:M75"/>
    <mergeCell ref="B86:M86"/>
    <mergeCell ref="O86:Y86"/>
    <mergeCell ref="B120:M120"/>
    <mergeCell ref="O120:Y120"/>
    <mergeCell ref="P64:Q64"/>
    <mergeCell ref="W63:X63"/>
    <mergeCell ref="Y63:Z63"/>
    <mergeCell ref="C64:D64"/>
    <mergeCell ref="E64:F64"/>
    <mergeCell ref="G64:H64"/>
    <mergeCell ref="I64:J64"/>
    <mergeCell ref="L64:M64"/>
    <mergeCell ref="N64:O64"/>
    <mergeCell ref="U64:V64"/>
    <mergeCell ref="W64:X64"/>
    <mergeCell ref="R63:T63"/>
    <mergeCell ref="R64:T64"/>
    <mergeCell ref="P63:Q63"/>
    <mergeCell ref="Y157:Z157"/>
    <mergeCell ref="C158:D158"/>
    <mergeCell ref="E158:F158"/>
    <mergeCell ref="G158:H158"/>
    <mergeCell ref="I158:J158"/>
    <mergeCell ref="K158:L158"/>
    <mergeCell ref="Q158:R158"/>
    <mergeCell ref="C157:D157"/>
    <mergeCell ref="E157:F157"/>
    <mergeCell ref="G157:H157"/>
    <mergeCell ref="I157:J157"/>
    <mergeCell ref="K157:L157"/>
    <mergeCell ref="Q157:R157"/>
    <mergeCell ref="S158:T158"/>
    <mergeCell ref="U158:V158"/>
    <mergeCell ref="W158:X158"/>
    <mergeCell ref="Y158:Z158"/>
    <mergeCell ref="Y159:Z159"/>
    <mergeCell ref="C160:D160"/>
    <mergeCell ref="E160:F160"/>
    <mergeCell ref="G160:H160"/>
    <mergeCell ref="I160:J160"/>
    <mergeCell ref="K160:L160"/>
    <mergeCell ref="Q160:R160"/>
    <mergeCell ref="S160:T160"/>
    <mergeCell ref="U160:V160"/>
    <mergeCell ref="W160:X160"/>
    <mergeCell ref="Y160:Z160"/>
    <mergeCell ref="C159:D159"/>
    <mergeCell ref="E159:F159"/>
    <mergeCell ref="G159:H159"/>
    <mergeCell ref="I159:J159"/>
    <mergeCell ref="K159:L159"/>
    <mergeCell ref="Q159:R159"/>
    <mergeCell ref="S159:T159"/>
    <mergeCell ref="U159:V159"/>
    <mergeCell ref="W159:X159"/>
    <mergeCell ref="Y161:Z161"/>
    <mergeCell ref="C162:D162"/>
    <mergeCell ref="E162:F162"/>
    <mergeCell ref="G162:H162"/>
    <mergeCell ref="I162:J162"/>
    <mergeCell ref="K162:L162"/>
    <mergeCell ref="Q162:R162"/>
    <mergeCell ref="K164:L164"/>
    <mergeCell ref="Q164:R164"/>
    <mergeCell ref="S162:T162"/>
    <mergeCell ref="U162:V162"/>
    <mergeCell ref="W162:X162"/>
    <mergeCell ref="Y162:Z162"/>
    <mergeCell ref="C163:D163"/>
    <mergeCell ref="E163:F163"/>
    <mergeCell ref="G163:H163"/>
    <mergeCell ref="I163:J163"/>
    <mergeCell ref="K163:L163"/>
    <mergeCell ref="Q163:R163"/>
    <mergeCell ref="C161:D161"/>
    <mergeCell ref="E161:F161"/>
    <mergeCell ref="G161:H161"/>
    <mergeCell ref="I161:J161"/>
    <mergeCell ref="K161:L161"/>
    <mergeCell ref="X177:Y177"/>
    <mergeCell ref="I27:J27"/>
    <mergeCell ref="I28:J28"/>
    <mergeCell ref="I29:J29"/>
    <mergeCell ref="I30:J30"/>
    <mergeCell ref="K27:M27"/>
    <mergeCell ref="K28:M28"/>
    <mergeCell ref="K29:M29"/>
    <mergeCell ref="K30:M30"/>
    <mergeCell ref="N27:O27"/>
    <mergeCell ref="S164:T164"/>
    <mergeCell ref="U164:V164"/>
    <mergeCell ref="W164:X164"/>
    <mergeCell ref="Y164:Z164"/>
    <mergeCell ref="B169:M169"/>
    <mergeCell ref="N169:AD169"/>
    <mergeCell ref="S163:T163"/>
    <mergeCell ref="U163:V163"/>
    <mergeCell ref="W163:X163"/>
    <mergeCell ref="Y163:Z163"/>
    <mergeCell ref="C164:D164"/>
    <mergeCell ref="E164:F164"/>
    <mergeCell ref="G164:H164"/>
    <mergeCell ref="I164:J164"/>
    <mergeCell ref="N29:O29"/>
    <mergeCell ref="N30:O30"/>
    <mergeCell ref="Q27:R27"/>
    <mergeCell ref="Q28:R28"/>
    <mergeCell ref="Q29:R29"/>
    <mergeCell ref="Q30:R30"/>
    <mergeCell ref="I33:J33"/>
    <mergeCell ref="K33:M33"/>
    <mergeCell ref="N33:O33"/>
    <mergeCell ref="Q33:R33"/>
    <mergeCell ref="S33:U33"/>
    <mergeCell ref="V33:W33"/>
    <mergeCell ref="I32:J32"/>
    <mergeCell ref="K32:M32"/>
    <mergeCell ref="N32:O32"/>
    <mergeCell ref="Q32:R32"/>
    <mergeCell ref="S32:U32"/>
    <mergeCell ref="V32:W32"/>
    <mergeCell ref="I35:J35"/>
    <mergeCell ref="K35:M35"/>
    <mergeCell ref="N35:O35"/>
    <mergeCell ref="Q35:R35"/>
    <mergeCell ref="S35:U35"/>
    <mergeCell ref="V35:W35"/>
    <mergeCell ref="I34:J34"/>
    <mergeCell ref="K34:M34"/>
    <mergeCell ref="N34:O34"/>
    <mergeCell ref="Q34:R34"/>
    <mergeCell ref="S34:U34"/>
    <mergeCell ref="V34:W34"/>
    <mergeCell ref="Q40:R40"/>
    <mergeCell ref="S40:U40"/>
    <mergeCell ref="V40:W40"/>
    <mergeCell ref="I39:J39"/>
    <mergeCell ref="K39:M39"/>
    <mergeCell ref="N39:O39"/>
    <mergeCell ref="Q39:R39"/>
    <mergeCell ref="S39:U39"/>
    <mergeCell ref="V39:W39"/>
    <mergeCell ref="Q43:R43"/>
    <mergeCell ref="S43:U43"/>
    <mergeCell ref="V43:W43"/>
    <mergeCell ref="I42:J42"/>
    <mergeCell ref="K42:M42"/>
    <mergeCell ref="N42:O42"/>
    <mergeCell ref="Q42:R42"/>
    <mergeCell ref="S42:U42"/>
    <mergeCell ref="V42:W42"/>
    <mergeCell ref="Q45:R45"/>
    <mergeCell ref="S45:U45"/>
    <mergeCell ref="V45:W45"/>
    <mergeCell ref="I44:J44"/>
    <mergeCell ref="K44:M44"/>
    <mergeCell ref="N44:O44"/>
    <mergeCell ref="Q44:R44"/>
    <mergeCell ref="S44:U44"/>
    <mergeCell ref="V44:W44"/>
    <mergeCell ref="I45:J45"/>
    <mergeCell ref="K45:M45"/>
    <mergeCell ref="N45:O45"/>
    <mergeCell ref="Q50:R50"/>
    <mergeCell ref="S50:U50"/>
    <mergeCell ref="V50:W50"/>
    <mergeCell ref="I49:J49"/>
    <mergeCell ref="K49:M49"/>
    <mergeCell ref="N49:O49"/>
    <mergeCell ref="Q49:R49"/>
    <mergeCell ref="S49:U49"/>
    <mergeCell ref="V49:W49"/>
    <mergeCell ref="Q53:R53"/>
    <mergeCell ref="S53:U53"/>
    <mergeCell ref="V53:W53"/>
    <mergeCell ref="I52:J52"/>
    <mergeCell ref="K52:M52"/>
    <mergeCell ref="N52:O52"/>
    <mergeCell ref="Q52:R52"/>
    <mergeCell ref="S52:U52"/>
    <mergeCell ref="V52:W52"/>
    <mergeCell ref="I53:J53"/>
    <mergeCell ref="K53:M53"/>
    <mergeCell ref="N53:O53"/>
    <mergeCell ref="H215:V227"/>
    <mergeCell ref="Q55:R55"/>
    <mergeCell ref="S55:U55"/>
    <mergeCell ref="V55:W55"/>
    <mergeCell ref="I54:J54"/>
    <mergeCell ref="K54:M54"/>
    <mergeCell ref="N54:O54"/>
    <mergeCell ref="Q54:R54"/>
    <mergeCell ref="S54:U54"/>
    <mergeCell ref="V54:W54"/>
    <mergeCell ref="I55:J55"/>
    <mergeCell ref="K55:M55"/>
    <mergeCell ref="N55:O55"/>
    <mergeCell ref="Q161:R161"/>
    <mergeCell ref="S161:T161"/>
    <mergeCell ref="U161:V161"/>
    <mergeCell ref="W161:X161"/>
    <mergeCell ref="S157:T157"/>
    <mergeCell ref="U157:V157"/>
    <mergeCell ref="W157:X157"/>
    <mergeCell ref="U62:V62"/>
    <mergeCell ref="W62:X62"/>
    <mergeCell ref="U61:V61"/>
    <mergeCell ref="W61:X61"/>
  </mergeCells>
  <conditionalFormatting sqref="P26">
    <cfRule type="cellIs" dxfId="111" priority="268" operator="lessThan">
      <formula>1</formula>
    </cfRule>
    <cfRule type="cellIs" dxfId="110" priority="269" operator="greaterThan">
      <formula>1</formula>
    </cfRule>
  </conditionalFormatting>
  <conditionalFormatting sqref="R59:T64">
    <cfRule type="cellIs" dxfId="109" priority="241" operator="equal">
      <formula>$AC$59</formula>
    </cfRule>
  </conditionalFormatting>
  <conditionalFormatting sqref="X26">
    <cfRule type="cellIs" dxfId="108" priority="21" operator="lessThan">
      <formula>1</formula>
    </cfRule>
    <cfRule type="cellIs" dxfId="107" priority="22" operator="greaterThan">
      <formula>1</formula>
    </cfRule>
  </conditionalFormatting>
  <conditionalFormatting sqref="X31">
    <cfRule type="cellIs" dxfId="106" priority="19" operator="lessThan">
      <formula>1</formula>
    </cfRule>
    <cfRule type="cellIs" dxfId="105" priority="20" operator="greaterThan">
      <formula>1</formula>
    </cfRule>
  </conditionalFormatting>
  <conditionalFormatting sqref="P31">
    <cfRule type="cellIs" dxfId="104" priority="17" operator="lessThan">
      <formula>1</formula>
    </cfRule>
    <cfRule type="cellIs" dxfId="103" priority="18" operator="greaterThan">
      <formula>1</formula>
    </cfRule>
  </conditionalFormatting>
  <conditionalFormatting sqref="P36">
    <cfRule type="cellIs" dxfId="102" priority="15" operator="lessThan">
      <formula>1</formula>
    </cfRule>
    <cfRule type="cellIs" dxfId="101" priority="16" operator="greaterThan">
      <formula>1</formula>
    </cfRule>
  </conditionalFormatting>
  <conditionalFormatting sqref="X36">
    <cfRule type="cellIs" dxfId="100" priority="13" operator="lessThan">
      <formula>1</formula>
    </cfRule>
    <cfRule type="cellIs" dxfId="99" priority="14" operator="greaterThan">
      <formula>1</formula>
    </cfRule>
  </conditionalFormatting>
  <conditionalFormatting sqref="X41">
    <cfRule type="cellIs" dxfId="98" priority="11" operator="lessThan">
      <formula>1</formula>
    </cfRule>
    <cfRule type="cellIs" dxfId="97" priority="12" operator="greaterThan">
      <formula>1</formula>
    </cfRule>
  </conditionalFormatting>
  <conditionalFormatting sqref="P41">
    <cfRule type="cellIs" dxfId="96" priority="9" operator="lessThan">
      <formula>1</formula>
    </cfRule>
    <cfRule type="cellIs" dxfId="95" priority="10" operator="greaterThan">
      <formula>1</formula>
    </cfRule>
  </conditionalFormatting>
  <conditionalFormatting sqref="P46">
    <cfRule type="cellIs" dxfId="94" priority="7" operator="lessThan">
      <formula>1</formula>
    </cfRule>
    <cfRule type="cellIs" dxfId="93" priority="8" operator="greaterThan">
      <formula>1</formula>
    </cfRule>
  </conditionalFormatting>
  <conditionalFormatting sqref="X46">
    <cfRule type="cellIs" dxfId="92" priority="5" operator="lessThan">
      <formula>1</formula>
    </cfRule>
    <cfRule type="cellIs" dxfId="91" priority="6" operator="greaterThan">
      <formula>1</formula>
    </cfRule>
  </conditionalFormatting>
  <conditionalFormatting sqref="P51">
    <cfRule type="cellIs" dxfId="90" priority="3" operator="lessThan">
      <formula>1</formula>
    </cfRule>
    <cfRule type="cellIs" dxfId="89" priority="4" operator="greaterThan">
      <formula>1</formula>
    </cfRule>
  </conditionalFormatting>
  <conditionalFormatting sqref="X51">
    <cfRule type="cellIs" dxfId="88" priority="1" operator="lessThan">
      <formula>1</formula>
    </cfRule>
    <cfRule type="cellIs" dxfId="87" priority="2" operator="greaterThan">
      <formula>1</formula>
    </cfRule>
  </conditionalFormatting>
  <dataValidations count="3">
    <dataValidation type="whole" operator="greaterThanOrEqual" allowBlank="1" showInputMessage="1" showErrorMessage="1" sqref="U59:Z64">
      <formula1>E59</formula1>
    </dataValidation>
    <dataValidation type="whole" operator="greaterThanOrEqual" allowBlank="1" showInputMessage="1" showErrorMessage="1" sqref="N59:O64">
      <formula1>C59</formula1>
    </dataValidation>
    <dataValidation type="decimal" allowBlank="1" showInputMessage="1" showErrorMessage="1" sqref="R21:S21">
      <formula1>0</formula1>
      <formula2>0.02</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83" r:id="rId4" name="Button 11">
              <controlPr defaultSize="0" print="0" autoFill="0" autoPict="0" macro="[0]!reseteo">
                <anchor moveWithCells="1" sizeWithCells="1">
                  <from>
                    <xdr:col>1</xdr:col>
                    <xdr:colOff>266700</xdr:colOff>
                    <xdr:row>0</xdr:row>
                    <xdr:rowOff>95250</xdr:rowOff>
                  </from>
                  <to>
                    <xdr:col>4</xdr:col>
                    <xdr:colOff>361950</xdr:colOff>
                    <xdr:row>5</xdr:row>
                    <xdr:rowOff>9525</xdr:rowOff>
                  </to>
                </anchor>
              </controlPr>
            </control>
          </mc:Choice>
        </mc:AlternateContent>
        <mc:AlternateContent xmlns:mc="http://schemas.openxmlformats.org/markup-compatibility/2006">
          <mc:Choice Requires="x14">
            <control shapeId="3084" r:id="rId5" name="Button 12">
              <controlPr defaultSize="0" print="0" autoFill="0" autoPict="0" macro="[0]!guardar">
                <anchor moveWithCells="1" sizeWithCells="1">
                  <from>
                    <xdr:col>1</xdr:col>
                    <xdr:colOff>619125</xdr:colOff>
                    <xdr:row>65</xdr:row>
                    <xdr:rowOff>142875</xdr:rowOff>
                  </from>
                  <to>
                    <xdr:col>5</xdr:col>
                    <xdr:colOff>314325</xdr:colOff>
                    <xdr:row>70</xdr:row>
                    <xdr:rowOff>57150</xdr:rowOff>
                  </to>
                </anchor>
              </controlPr>
            </control>
          </mc:Choice>
        </mc:AlternateContent>
        <mc:AlternateContent xmlns:mc="http://schemas.openxmlformats.org/markup-compatibility/2006">
          <mc:Choice Requires="x14">
            <control shapeId="3085" r:id="rId6" name="Button 13">
              <controlPr defaultSize="0" print="0" autoFill="0" autoPict="0" macro="[0]!guardar">
                <anchor moveWithCells="1" sizeWithCells="1">
                  <from>
                    <xdr:col>1</xdr:col>
                    <xdr:colOff>619125</xdr:colOff>
                    <xdr:row>189</xdr:row>
                    <xdr:rowOff>142875</xdr:rowOff>
                  </from>
                  <to>
                    <xdr:col>5</xdr:col>
                    <xdr:colOff>314325</xdr:colOff>
                    <xdr:row>194</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'D1'!$A$10:$A$12</xm:f>
          </x14:formula1>
          <xm:sqref>F9:J9</xm:sqref>
        </x14:dataValidation>
        <x14:dataValidation type="list" allowBlank="1" showInputMessage="1" showErrorMessage="1">
          <x14:formula1>
            <xm:f>Base_datos!$I$3:$I$22</xm:f>
          </x14:formula1>
          <xm:sqref>I21:J21</xm:sqref>
        </x14:dataValidation>
        <x14:dataValidation type="list" allowBlank="1" showInputMessage="1" showErrorMessage="1">
          <x14:formula1>
            <xm:f>'D1'!$G$3:$G$4</xm:f>
          </x14:formula1>
          <xm:sqref>M9:Q9</xm:sqref>
        </x14:dataValidation>
        <x14:dataValidation type="list" allowBlank="1" showInputMessage="1" showErrorMessage="1">
          <x14:formula1>
            <xm:f>Base_datos!$S$3:$S$4</xm:f>
          </x14:formula1>
          <xm:sqref>AA59:AA64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5" tint="-0.249977111117893"/>
  </sheetPr>
  <dimension ref="A1:I47"/>
  <sheetViews>
    <sheetView showGridLines="0" topLeftCell="A34" zoomScale="55" zoomScaleNormal="55" workbookViewId="0">
      <selection activeCell="G38" sqref="G38"/>
    </sheetView>
  </sheetViews>
  <sheetFormatPr baseColWidth="10" defaultColWidth="11.42578125" defaultRowHeight="21"/>
  <cols>
    <col min="1" max="1" width="76.42578125" style="4" customWidth="1"/>
    <col min="2" max="2" width="28.140625" style="4" customWidth="1"/>
    <col min="3" max="3" width="57.28515625" style="5" customWidth="1"/>
    <col min="4" max="4" width="66.85546875" style="5" customWidth="1"/>
    <col min="5" max="5" width="15.42578125" style="6" customWidth="1"/>
    <col min="6" max="6" width="17.7109375" style="7" customWidth="1"/>
    <col min="7" max="7" width="16" style="7" customWidth="1"/>
    <col min="8" max="8" width="19.42578125" style="4" customWidth="1"/>
    <col min="9" max="16384" width="11.42578125" style="4"/>
  </cols>
  <sheetData>
    <row r="1" spans="1:9" customFormat="1" ht="12.75"/>
    <row r="2" spans="1:9" customFormat="1" ht="26.25">
      <c r="A2" s="925" t="s">
        <v>1575</v>
      </c>
    </row>
    <row r="4" spans="1:9" ht="63" customHeight="1">
      <c r="B4" s="1961" t="s">
        <v>1576</v>
      </c>
      <c r="C4" s="1962"/>
      <c r="D4" s="1962"/>
      <c r="E4" s="1962"/>
      <c r="F4" s="1963"/>
      <c r="G4" s="4"/>
    </row>
    <row r="5" spans="1:9" ht="42">
      <c r="A5" s="1157"/>
      <c r="B5" s="1196" t="s">
        <v>1282</v>
      </c>
      <c r="C5" s="1196" t="s">
        <v>1283</v>
      </c>
      <c r="D5" s="1196" t="s">
        <v>1284</v>
      </c>
      <c r="E5" s="1196" t="s">
        <v>68</v>
      </c>
      <c r="F5" s="1196" t="s">
        <v>1564</v>
      </c>
      <c r="G5" s="4"/>
    </row>
    <row r="6" spans="1:9" ht="21" customHeight="1">
      <c r="A6" s="1960"/>
      <c r="B6" s="1957" t="str">
        <f>'Anexo 4_Ppto'!B6:B38</f>
        <v>P 01: EDIFICACION LOCAL ESCOLAR DE NIVEL INICIAL, SEGURA Y ACORDE A LAS NORMAS DEL SECTOR</v>
      </c>
      <c r="C6" s="1964" t="str">
        <f>'Anexo 4_Ppto'!F6</f>
        <v>SP 01: Modulo 01 
(incluye acondicionamiento termico)</v>
      </c>
      <c r="D6" s="8" t="str">
        <f>'Anexo 4_Ppto'!F7</f>
        <v>Aula - SUM</v>
      </c>
      <c r="E6" s="1109">
        <f>'Anexo 4_Ppto'!J7</f>
        <v>1</v>
      </c>
      <c r="F6" s="1155">
        <f>'Anexo 4_Ppto'!L7</f>
        <v>80</v>
      </c>
      <c r="G6" s="4"/>
      <c r="H6" s="1174">
        <f>SUM(F6:F13)</f>
        <v>128.64000000000001</v>
      </c>
      <c r="I6" s="926" t="s">
        <v>1570</v>
      </c>
    </row>
    <row r="7" spans="1:9">
      <c r="A7" s="1960"/>
      <c r="B7" s="1958"/>
      <c r="C7" s="1964"/>
      <c r="D7" s="8" t="str">
        <f>'Anexo 4_Ppto'!F8</f>
        <v>Deposito</v>
      </c>
      <c r="E7" s="1109">
        <f>'Anexo 4_Ppto'!J8</f>
        <v>1</v>
      </c>
      <c r="F7" s="1155">
        <f>'Anexo 4_Ppto'!L8</f>
        <v>7</v>
      </c>
      <c r="G7" s="4"/>
    </row>
    <row r="8" spans="1:9">
      <c r="A8" s="1960"/>
      <c r="B8" s="1958"/>
      <c r="C8" s="1964"/>
      <c r="D8" s="8" t="str">
        <f>'Anexo 4_Ppto'!F9</f>
        <v>SH niños y niñas</v>
      </c>
      <c r="E8" s="1109">
        <f>'Anexo 4_Ppto'!J9</f>
        <v>1</v>
      </c>
      <c r="F8" s="1155">
        <f>'Anexo 4_Ppto'!L9</f>
        <v>10.5</v>
      </c>
      <c r="G8" s="4"/>
    </row>
    <row r="9" spans="1:9">
      <c r="A9" s="1960"/>
      <c r="B9" s="1958"/>
      <c r="C9" s="1964"/>
      <c r="D9" s="8" t="str">
        <f>'Anexo 4_Ppto'!F10</f>
        <v>Cocina</v>
      </c>
      <c r="E9" s="1109">
        <f>'Anexo 4_Ppto'!J10</f>
        <v>1</v>
      </c>
      <c r="F9" s="1155">
        <f>'Anexo 4_Ppto'!L10</f>
        <v>8.6999999999999993</v>
      </c>
      <c r="G9" s="4"/>
    </row>
    <row r="10" spans="1:9">
      <c r="A10" s="1960"/>
      <c r="B10" s="1958"/>
      <c r="C10" s="1964"/>
      <c r="D10" s="8" t="str">
        <f>'Anexo 4_Ppto'!F11</f>
        <v>Despensa</v>
      </c>
      <c r="E10" s="1109">
        <f>'Anexo 4_Ppto'!J11</f>
        <v>1</v>
      </c>
      <c r="F10" s="1155">
        <f>'Anexo 4_Ppto'!L11</f>
        <v>5</v>
      </c>
      <c r="G10" s="4"/>
    </row>
    <row r="11" spans="1:9">
      <c r="A11" s="1960"/>
      <c r="B11" s="1958"/>
      <c r="C11" s="1964"/>
      <c r="D11" s="8" t="str">
        <f>'Anexo 4_Ppto'!F12</f>
        <v>SH Administrativo</v>
      </c>
      <c r="E11" s="1109">
        <f>'Anexo 4_Ppto'!J12</f>
        <v>1</v>
      </c>
      <c r="F11" s="1155">
        <f>'Anexo 4_Ppto'!L12</f>
        <v>3.12</v>
      </c>
      <c r="G11" s="4"/>
    </row>
    <row r="12" spans="1:9" ht="21" customHeight="1">
      <c r="A12" s="1960"/>
      <c r="B12" s="1958"/>
      <c r="C12" s="1957" t="str">
        <f>'Anexo 4_Ppto'!F14</f>
        <v>SP 02: Modulo 02 
(incluye acondicionamiento termico)</v>
      </c>
      <c r="D12" s="8" t="str">
        <f>'Anexo 4_Ppto'!F15</f>
        <v>Direccion</v>
      </c>
      <c r="E12" s="1109">
        <f>'Anexo 4_Ppto'!J15</f>
        <v>1</v>
      </c>
      <c r="F12" s="1155">
        <f>'Anexo 4_Ppto'!L15</f>
        <v>6</v>
      </c>
      <c r="G12" s="4"/>
    </row>
    <row r="13" spans="1:9">
      <c r="A13" s="1960"/>
      <c r="B13" s="1958"/>
      <c r="C13" s="1959"/>
      <c r="D13" s="8" t="str">
        <f>'Anexo 4_Ppto'!F16</f>
        <v>Dormitorio Docente</v>
      </c>
      <c r="E13" s="1109">
        <f>'Anexo 4_Ppto'!J16</f>
        <v>1</v>
      </c>
      <c r="F13" s="1155">
        <f>'Anexo 4_Ppto'!L16</f>
        <v>8.32</v>
      </c>
      <c r="G13" s="4"/>
    </row>
    <row r="14" spans="1:9" ht="63">
      <c r="A14" s="1960"/>
      <c r="B14" s="1958"/>
      <c r="C14" s="1957" t="str">
        <f>'Anexo 4_Ppto'!F24</f>
        <v>SP 03: Cerco Perimetrico - Portada de ingreso</v>
      </c>
      <c r="D14" s="8" t="str">
        <f>'Anexo 4_Ppto'!F25</f>
        <v>Cerco  perimetrico de estructura metalica enmallado, con sobrecimientos y muros de contencion armados.</v>
      </c>
      <c r="E14" s="1110">
        <f>'Anexo 4_Ppto'!J25</f>
        <v>1</v>
      </c>
      <c r="F14" s="1110">
        <f>'Anexo 4_Ppto'!L25</f>
        <v>64.41</v>
      </c>
      <c r="G14" s="4"/>
    </row>
    <row r="15" spans="1:9">
      <c r="A15" s="1960"/>
      <c r="B15" s="1958"/>
      <c r="C15" s="1959"/>
      <c r="D15" s="1154" t="str">
        <f>'Anexo 4_Ppto'!F26</f>
        <v>Portada de ingreso</v>
      </c>
      <c r="E15" s="1110">
        <f>'Anexo 4_Ppto'!J26</f>
        <v>1</v>
      </c>
      <c r="F15" s="1110">
        <f>'Anexo 4_Ppto'!L26</f>
        <v>1</v>
      </c>
      <c r="G15" s="4"/>
    </row>
    <row r="16" spans="1:9">
      <c r="A16" s="1960"/>
      <c r="B16" s="1958"/>
      <c r="C16" s="1957" t="str">
        <f>'Anexo 4_Ppto'!F27</f>
        <v>SP 04: Obras Exteriores</v>
      </c>
      <c r="D16" s="8" t="str">
        <f>'Anexo 4_Ppto'!F28</f>
        <v>Sembrado de grass</v>
      </c>
      <c r="E16" s="1109">
        <f>'Anexo 4_Ppto'!J28</f>
        <v>1</v>
      </c>
      <c r="F16" s="1109">
        <f>'Anexo 4_Ppto'!L28</f>
        <v>172.37</v>
      </c>
      <c r="G16" s="4"/>
    </row>
    <row r="17" spans="1:8">
      <c r="A17" s="1960"/>
      <c r="B17" s="1958"/>
      <c r="C17" s="1958"/>
      <c r="D17" s="8" t="str">
        <f>'Anexo 4_Ppto'!F29</f>
        <v>Cunetas pluviales</v>
      </c>
      <c r="E17" s="1109">
        <f>'Anexo 4_Ppto'!J29</f>
        <v>1</v>
      </c>
      <c r="F17" s="1109">
        <f>'Anexo 4_Ppto'!L29</f>
        <v>39.42</v>
      </c>
      <c r="G17" s="4"/>
    </row>
    <row r="18" spans="1:8">
      <c r="A18" s="1960"/>
      <c r="B18" s="1958"/>
      <c r="C18" s="1958"/>
      <c r="D18" s="8" t="str">
        <f>'Anexo 4_Ppto'!F30</f>
        <v>Rejillas metalicas</v>
      </c>
      <c r="E18" s="1109">
        <f>'Anexo 4_Ppto'!J30</f>
        <v>1</v>
      </c>
      <c r="F18" s="1109">
        <f>'Anexo 4_Ppto'!L30</f>
        <v>18.11</v>
      </c>
      <c r="G18" s="4"/>
    </row>
    <row r="19" spans="1:8">
      <c r="A19" s="1960"/>
      <c r="B19" s="1958"/>
      <c r="C19" s="1958"/>
      <c r="D19" s="8" t="str">
        <f>'Anexo 4_Ppto'!F31</f>
        <v>Cobertura con malla rashell</v>
      </c>
      <c r="E19" s="1109">
        <f>'Anexo 4_Ppto'!J31</f>
        <v>1</v>
      </c>
      <c r="F19" s="1109">
        <f>'Anexo 4_Ppto'!L31</f>
        <v>45</v>
      </c>
      <c r="G19" s="4"/>
    </row>
    <row r="20" spans="1:8" ht="21" customHeight="1">
      <c r="A20" s="1960"/>
      <c r="B20" s="1958"/>
      <c r="C20" s="1958"/>
      <c r="D20" s="8" t="str">
        <f>'Anexo 4_Ppto'!F32</f>
        <v>Accesibilidad y otros (rampas, veredas, gradas, etc)</v>
      </c>
      <c r="E20" s="1109">
        <f>'Anexo 4_Ppto'!J32</f>
        <v>1</v>
      </c>
      <c r="F20" s="1109">
        <f>'Anexo 4_Ppto'!L32</f>
        <v>1</v>
      </c>
      <c r="G20" s="4"/>
    </row>
    <row r="21" spans="1:8" ht="18.75" customHeight="1">
      <c r="A21" s="1960"/>
      <c r="B21" s="1958"/>
      <c r="C21" s="1958"/>
      <c r="D21" s="8" t="str">
        <f>'Anexo 4_Ppto'!F33</f>
        <v>Instalaciones electricas</v>
      </c>
      <c r="E21" s="1109">
        <f>'Anexo 4_Ppto'!J33</f>
        <v>1</v>
      </c>
      <c r="F21" s="1109">
        <f>'Anexo 4_Ppto'!L33</f>
        <v>1</v>
      </c>
      <c r="G21" s="4"/>
    </row>
    <row r="22" spans="1:8" ht="18.75" customHeight="1">
      <c r="A22" s="1960"/>
      <c r="B22" s="1958"/>
      <c r="C22" s="1959"/>
      <c r="D22" s="8" t="str">
        <f>'Anexo 4_Ppto'!F34</f>
        <v>Instalaciones sanitarias</v>
      </c>
      <c r="E22" s="1109">
        <f>'Anexo 4_Ppto'!J34</f>
        <v>1</v>
      </c>
      <c r="F22" s="1109">
        <f>'Anexo 4_Ppto'!L34</f>
        <v>1</v>
      </c>
      <c r="G22" s="4"/>
    </row>
    <row r="23" spans="1:8">
      <c r="A23" s="1960"/>
      <c r="B23" s="1958"/>
      <c r="C23" s="1110" t="str">
        <f>'Anexo 4_Ppto'!F35</f>
        <v>SP 05: Expediente Tecnico de Obra</v>
      </c>
      <c r="D23" s="8" t="str">
        <f>'Anexo 4_Ppto'!F36</f>
        <v>Elaboracion de Expediente tecnico de Obra</v>
      </c>
      <c r="E23" s="1109">
        <f>'Anexo 4_Ppto'!L36</f>
        <v>1</v>
      </c>
      <c r="F23" s="1109">
        <f>'Anexo 4_Ppto'!L36</f>
        <v>1</v>
      </c>
      <c r="G23" s="4"/>
    </row>
    <row r="24" spans="1:8">
      <c r="A24" s="1960"/>
      <c r="B24" s="1959"/>
      <c r="C24" s="1110" t="str">
        <f>'Anexo 4_Ppto'!F37</f>
        <v>SP 06: Supervision de Obra</v>
      </c>
      <c r="D24" s="8" t="str">
        <f>'Anexo 4_Ppto'!F38</f>
        <v>Servicio de Supervision de Obra</v>
      </c>
      <c r="E24" s="1109">
        <f>'Anexo 4_Ppto'!L38</f>
        <v>1</v>
      </c>
      <c r="F24" s="1109">
        <f>'Anexo 4_Ppto'!L38</f>
        <v>1</v>
      </c>
      <c r="G24" s="4"/>
    </row>
    <row r="25" spans="1:8" ht="21" customHeight="1">
      <c r="A25" s="1960"/>
      <c r="B25" s="1957" t="str">
        <f>'Anexo 4_Ppto'!B39</f>
        <v>P 02: EQUIPAMIENTO EDUCATIVO</v>
      </c>
      <c r="C25" s="1110" t="str">
        <f>'Anexo 4_Ppto'!F39</f>
        <v>SP 07: Mobiliario</v>
      </c>
      <c r="D25" s="1156" t="str">
        <f>'Anexo 4_Ppto'!F40</f>
        <v>Mobiliario escolar</v>
      </c>
      <c r="E25" s="1109">
        <f>'Anexo 4_Ppto'!L40</f>
        <v>50</v>
      </c>
      <c r="F25" s="1109">
        <f>'Anexo 4_Ppto'!L40</f>
        <v>50</v>
      </c>
      <c r="G25" s="1173" t="s">
        <v>1569</v>
      </c>
    </row>
    <row r="26" spans="1:8">
      <c r="A26" s="1960"/>
      <c r="B26" s="1958"/>
      <c r="C26" s="1957" t="str">
        <f>'Anexo 4_Ppto'!F41</f>
        <v>SP 08: Equipo</v>
      </c>
      <c r="D26" s="8" t="str">
        <f>'Anexo 4_Ppto'!F42</f>
        <v>Juegos infantiles de psicomotricidad gruesa</v>
      </c>
      <c r="E26" s="1109">
        <f>'Anexo 4_Ppto'!L42</f>
        <v>1</v>
      </c>
      <c r="F26" s="1109">
        <f>'Anexo 4_Ppto'!L42</f>
        <v>1</v>
      </c>
      <c r="G26" s="4"/>
    </row>
    <row r="27" spans="1:8">
      <c r="A27" s="1960"/>
      <c r="B27" s="1958"/>
      <c r="C27" s="1958"/>
      <c r="D27" s="8" t="str">
        <f>'Anexo 4_Ppto'!F43</f>
        <v>Equipamiento menaje cocina</v>
      </c>
      <c r="E27" s="1109">
        <f>'Anexo 4_Ppto'!L43</f>
        <v>24</v>
      </c>
      <c r="F27" s="1109">
        <f>'Anexo 4_Ppto'!L43</f>
        <v>24</v>
      </c>
      <c r="G27" s="4"/>
    </row>
    <row r="28" spans="1:8">
      <c r="A28" s="1960"/>
      <c r="B28" s="1959"/>
      <c r="C28" s="1959"/>
      <c r="D28" s="8" t="str">
        <f>'Anexo 4_Ppto'!F44</f>
        <v>Juegos infantiles</v>
      </c>
      <c r="E28" s="1109">
        <f>'Anexo 4_Ppto'!L44</f>
        <v>1</v>
      </c>
      <c r="F28" s="1109">
        <f>'Anexo 4_Ppto'!L44</f>
        <v>1</v>
      </c>
      <c r="G28" s="4"/>
    </row>
    <row r="29" spans="1:8" ht="51" customHeight="1">
      <c r="A29" s="1157"/>
      <c r="B29" s="1961" t="s">
        <v>72</v>
      </c>
      <c r="C29" s="1962"/>
      <c r="D29" s="1962"/>
      <c r="E29" s="1962"/>
      <c r="F29" s="1963"/>
      <c r="H29" s="7"/>
    </row>
    <row r="30" spans="1:8" ht="74.25" customHeight="1">
      <c r="B30" s="1158"/>
      <c r="C30" s="1159"/>
      <c r="D30" s="1159"/>
      <c r="E30" s="1160"/>
      <c r="F30" s="1161"/>
    </row>
    <row r="31" spans="1:8" ht="74.25" customHeight="1">
      <c r="B31" s="1162"/>
      <c r="C31" s="1163"/>
      <c r="D31" s="1163"/>
      <c r="E31" s="1164"/>
      <c r="F31" s="1165"/>
    </row>
    <row r="32" spans="1:8" ht="74.25" customHeight="1">
      <c r="B32" s="1166"/>
      <c r="C32" s="1163"/>
      <c r="D32" s="1163"/>
      <c r="E32" s="1164"/>
      <c r="F32" s="1165"/>
    </row>
    <row r="33" spans="1:6" ht="74.25" customHeight="1">
      <c r="B33" s="1166"/>
      <c r="C33" s="1163"/>
      <c r="D33" s="1163"/>
      <c r="E33" s="1164"/>
      <c r="F33" s="1165"/>
    </row>
    <row r="34" spans="1:6" ht="74.25" customHeight="1">
      <c r="B34" s="1166"/>
      <c r="C34" s="1163"/>
      <c r="D34" s="1163"/>
      <c r="E34" s="1164"/>
      <c r="F34" s="1165"/>
    </row>
    <row r="35" spans="1:6" ht="74.25" customHeight="1">
      <c r="A35" s="558"/>
      <c r="B35" s="1167"/>
      <c r="C35" s="559"/>
      <c r="D35" s="560"/>
      <c r="E35" s="561"/>
      <c r="F35" s="1168"/>
    </row>
    <row r="36" spans="1:6" ht="74.25" customHeight="1">
      <c r="B36" s="1166"/>
      <c r="C36" s="1163"/>
      <c r="D36" s="1163"/>
      <c r="E36" s="1164"/>
      <c r="F36" s="1165"/>
    </row>
    <row r="37" spans="1:6" ht="74.25" customHeight="1">
      <c r="B37" s="1166"/>
      <c r="C37" s="1163"/>
      <c r="D37" s="1163"/>
      <c r="E37" s="1164"/>
      <c r="F37" s="1165"/>
    </row>
    <row r="38" spans="1:6" ht="74.25" customHeight="1">
      <c r="B38" s="1169"/>
      <c r="C38" s="1170"/>
      <c r="D38" s="1170"/>
      <c r="E38" s="1171"/>
      <c r="F38" s="1172"/>
    </row>
    <row r="39" spans="1:6" ht="26.25">
      <c r="A39" s="927"/>
      <c r="B39" s="1166"/>
      <c r="C39" s="1163"/>
      <c r="D39" s="1163"/>
      <c r="E39" s="1164"/>
      <c r="F39" s="1165"/>
    </row>
    <row r="40" spans="1:6">
      <c r="B40" s="1166"/>
      <c r="C40" s="1163"/>
      <c r="D40" s="1163"/>
      <c r="E40" s="1164"/>
      <c r="F40" s="1165"/>
    </row>
    <row r="41" spans="1:6">
      <c r="B41" s="1166"/>
      <c r="C41" s="1163"/>
      <c r="D41" s="1163"/>
      <c r="E41" s="1164"/>
      <c r="F41" s="1165"/>
    </row>
    <row r="42" spans="1:6">
      <c r="B42" s="1166"/>
      <c r="C42" s="1163"/>
      <c r="D42" s="1163"/>
      <c r="E42" s="1164"/>
      <c r="F42" s="1165"/>
    </row>
    <row r="43" spans="1:6">
      <c r="B43" s="1166"/>
      <c r="C43" s="1163"/>
      <c r="D43" s="1163"/>
      <c r="E43" s="1164"/>
      <c r="F43" s="1165"/>
    </row>
    <row r="44" spans="1:6">
      <c r="B44" s="1166"/>
      <c r="C44" s="1163"/>
      <c r="D44" s="1163"/>
      <c r="E44" s="1164"/>
      <c r="F44" s="1165"/>
    </row>
    <row r="45" spans="1:6">
      <c r="B45" s="1169"/>
      <c r="C45" s="1170"/>
      <c r="D45" s="1170"/>
      <c r="E45" s="1171"/>
      <c r="F45" s="1172"/>
    </row>
    <row r="46" spans="1:6">
      <c r="B46" s="1175" t="s">
        <v>1571</v>
      </c>
    </row>
    <row r="47" spans="1:6">
      <c r="B47" s="1175" t="s">
        <v>1572</v>
      </c>
    </row>
  </sheetData>
  <mergeCells count="10">
    <mergeCell ref="C26:C28"/>
    <mergeCell ref="B25:B28"/>
    <mergeCell ref="A6:A28"/>
    <mergeCell ref="B29:F29"/>
    <mergeCell ref="B4:F4"/>
    <mergeCell ref="C6:C11"/>
    <mergeCell ref="C12:C13"/>
    <mergeCell ref="C14:C15"/>
    <mergeCell ref="C16:C22"/>
    <mergeCell ref="B6:B2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FICHA_SIMPLIFICADA</vt:lpstr>
      <vt:lpstr>D_metodologías</vt:lpstr>
      <vt:lpstr>Hoja2</vt:lpstr>
      <vt:lpstr>Hoja1</vt:lpstr>
      <vt:lpstr>Base_datos</vt:lpstr>
      <vt:lpstr>D1</vt:lpstr>
      <vt:lpstr>Anexo 1_Diag</vt:lpstr>
      <vt:lpstr>Anexo 2_O-D</vt:lpstr>
      <vt:lpstr>Anexo 3_Arq</vt:lpstr>
      <vt:lpstr>Anexo 4_Ppto</vt:lpstr>
      <vt:lpstr>Anexo 5_EVAL</vt:lpstr>
      <vt:lpstr>Hoja3</vt:lpstr>
      <vt:lpstr>PROGR</vt:lpstr>
      <vt:lpstr>FICHA_SIMPLIFICADA!Área_de_impresión</vt:lpstr>
      <vt:lpstr>Base_datos!nivel</vt:lpstr>
      <vt:lpstr>FICHA_SIMPLIFICADA!Títulos_a_imprimir</vt:lpstr>
    </vt:vector>
  </TitlesOfParts>
  <Company>DGPM - MEF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BECHER CAPCHA</dc:creator>
  <cp:keywords>BECHER</cp:keywords>
  <cp:lastModifiedBy>Burga Ramirez, Luis Anthony Bryan</cp:lastModifiedBy>
  <cp:lastPrinted>2017-11-30T22:06:31Z</cp:lastPrinted>
  <dcterms:created xsi:type="dcterms:W3CDTF">2001-06-25T17:21:54Z</dcterms:created>
  <dcterms:modified xsi:type="dcterms:W3CDTF">2018-08-01T19:40:22Z</dcterms:modified>
</cp:coreProperties>
</file>