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2.xml" ContentType="application/vnd.openxmlformats-officedocument.drawing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firstSheet="8" activeTab="10"/>
  </bookViews>
  <sheets>
    <sheet name="COMPONENTE 1" sheetId="1" r:id="rId1"/>
    <sheet name="COMPONENTE 2" sheetId="2" r:id="rId2"/>
    <sheet name="COMPONENTE 3" sheetId="3" r:id="rId3"/>
    <sheet name="COMPONENTE 4" sheetId="4" r:id="rId4"/>
    <sheet name="COMPONENTE 5" sheetId="5" r:id="rId5"/>
    <sheet name="COMPONENTES" sheetId="6" r:id="rId6"/>
    <sheet name="UBICACIÓN DE CÁMARAS" sheetId="7" r:id="rId7"/>
    <sheet name="TASA DE CRECIMIENTO" sheetId="8" r:id="rId8"/>
    <sheet name="ANALISIS DE DEMANDA" sheetId="9" r:id="rId9"/>
    <sheet name="ANALISIS DE OFERTA " sheetId="10" r:id="rId10"/>
    <sheet name="BALANCE OFERTA-DEMANDA" sheetId="11" r:id="rId11"/>
    <sheet name="O&amp;M SP" sheetId="12" r:id="rId12"/>
    <sheet name="O&amp;M CP" sheetId="13" r:id="rId13"/>
    <sheet name="FLUJO INCREMENTAL A PM" sheetId="14" r:id="rId14"/>
    <sheet name="EVALUACION ECONOMICA SOCIAL" sheetId="15" r:id="rId15"/>
    <sheet name="ARBITRIO" sheetId="16" r:id="rId16"/>
    <sheet name="A. SENSIBILIDAD" sheetId="17" r:id="rId17"/>
    <sheet name="CRONOGRAMA FISICO Y FINANCIERO" sheetId="18" r:id="rId18"/>
  </sheets>
  <externalReferences>
    <externalReference r:id="rId21"/>
    <externalReference r:id="rId22"/>
    <externalReference r:id="rId23"/>
  </externalReferences>
  <definedNames>
    <definedName name="\a">#REF!</definedName>
    <definedName name="A_IMPRESIÓN_IM">#REF!</definedName>
    <definedName name="_xlnm.Print_Area" localSheetId="17">'CRONOGRAMA FISICO Y FINANCIERO'!$B$3:$K$20</definedName>
    <definedName name="CRITERIA" localSheetId="1">'COMPONENTE 2'!$B$2:$AS$8</definedName>
    <definedName name="CRITERIA" localSheetId="6">'UBICACIÓN DE CÁMARAS'!$A$2:$AK$8</definedName>
    <definedName name="INDICEALFABETICO">#REF!</definedName>
    <definedName name="tabla">#REF!</definedName>
  </definedNames>
  <calcPr fullCalcOnLoad="1"/>
</workbook>
</file>

<file path=xl/sharedStrings.xml><?xml version="1.0" encoding="utf-8"?>
<sst xmlns="http://schemas.openxmlformats.org/spreadsheetml/2006/main" count="1259" uniqueCount="605">
  <si>
    <t>INEI - Sistema de Información Regional para la Toma de Decisiones</t>
  </si>
  <si>
    <t>Población Total Estimada (Personas)</t>
  </si>
  <si>
    <t>AÑO</t>
  </si>
  <si>
    <t>Nota: La información del año 2017 corresponde a la Población total estimada al 30 de junio 2017. Última actualización al 20 de enero 2017.</t>
  </si>
  <si>
    <t>FUENTE: Instituto Nacional de Estadística e Informática - Dirección Técnica de Demografía e Indicadores Sociales.</t>
  </si>
  <si>
    <t>DISTRITO DE JAUJA</t>
  </si>
  <si>
    <t>POBLACIÓN</t>
  </si>
  <si>
    <t>TASA DE CRECIMIENTO</t>
  </si>
  <si>
    <t>PROVINCIA DE JAUJA</t>
  </si>
  <si>
    <t xml:space="preserve">DEPARTAMENTO DE JUNÍN </t>
  </si>
  <si>
    <t>DESCRIPCIÓN</t>
  </si>
  <si>
    <t>Elaboración: Equipo Técnico</t>
  </si>
  <si>
    <t>Número de personas por Km2</t>
  </si>
  <si>
    <t>Formula</t>
  </si>
  <si>
    <t>Descripción</t>
  </si>
  <si>
    <t>a</t>
  </si>
  <si>
    <t>Número de personas promedio por inmueble</t>
  </si>
  <si>
    <t>b</t>
  </si>
  <si>
    <t>Número de Inmuebles por manzana</t>
  </si>
  <si>
    <t>c</t>
  </si>
  <si>
    <t>Número de manzanas por km2</t>
  </si>
  <si>
    <t>d=a*b*c</t>
  </si>
  <si>
    <t>personas/Km2</t>
  </si>
  <si>
    <t>Número de Km2 de cobertura por vehículo</t>
  </si>
  <si>
    <t>tiempo en movimiento</t>
  </si>
  <si>
    <t>Velocidad</t>
  </si>
  <si>
    <t>Km/h</t>
  </si>
  <si>
    <t>Recorrido (trazado vial)</t>
  </si>
  <si>
    <t>Km</t>
  </si>
  <si>
    <t>d</t>
  </si>
  <si>
    <t>número de horas</t>
  </si>
  <si>
    <t>e=b*d*a/c</t>
  </si>
  <si>
    <t>Km2 de cobertura por vehículo</t>
  </si>
  <si>
    <t>Km2</t>
  </si>
  <si>
    <t>El trazado vial x Km2  en la zona urbana se debe recorrer 20 km para cubrir integramente</t>
  </si>
  <si>
    <t>Capacidad máxima de vehículos</t>
  </si>
  <si>
    <t>Unidad</t>
  </si>
  <si>
    <t>pers./Km2</t>
  </si>
  <si>
    <t xml:space="preserve">Capacidad máxima de cobertura de población patrullaje vehicular </t>
  </si>
  <si>
    <t>pers/veh</t>
  </si>
  <si>
    <t>MEDIO DE VIGILANCIA</t>
  </si>
  <si>
    <t>Unidad de Vigilancia (UV)</t>
  </si>
  <si>
    <t>Vehículo de Serenazgo con personal policial</t>
  </si>
  <si>
    <t>Puesto de Auxilio de Serenazgo</t>
  </si>
  <si>
    <t>Patrullaje de Serenazgo en Motocicleta</t>
  </si>
  <si>
    <t>Patrullaje a pié</t>
  </si>
  <si>
    <t>MEDIO DE MVIGILANCIA</t>
  </si>
  <si>
    <t>CAPACIDAD DE VIGILANCIA</t>
  </si>
  <si>
    <t>A*= Demanda de Servicio de Serenazgo -Oferta de Servicio de Serenazgo</t>
  </si>
  <si>
    <t>El analisis de la oferta se puede calcular sobre la base de percepción de inseguridad (seguro/algo seguro)</t>
  </si>
  <si>
    <t>DESCRPCIÓN</t>
  </si>
  <si>
    <t>CAPACIDAD DE COBERTURA (Habitantes)</t>
  </si>
  <si>
    <t>CANTIDAD DE MEDIOS DE VIGILANCIA</t>
  </si>
  <si>
    <t>POBLACIÓN ATENDIDA</t>
  </si>
  <si>
    <t>PERSONAL SERENO</t>
  </si>
  <si>
    <t>ITEM</t>
  </si>
  <si>
    <t>SERENOS  POR TURNO</t>
  </si>
  <si>
    <t>N° DE CAMARAS</t>
  </si>
  <si>
    <t>TURNOS</t>
  </si>
  <si>
    <t>TOTAL DE SERENOS</t>
  </si>
  <si>
    <t>POBLACIÓN ATENDIDA CON PROYECTO</t>
  </si>
  <si>
    <t>COBERTURA CON PROYECTO (%)</t>
  </si>
  <si>
    <t>COBERTURA SIN PROYECTO (%)</t>
  </si>
  <si>
    <t xml:space="preserve"> </t>
  </si>
  <si>
    <t>TOTAL</t>
  </si>
  <si>
    <t xml:space="preserve">OFERTA OPTIMIZADA </t>
  </si>
  <si>
    <t xml:space="preserve">BALANCE OFERTA DEMENDA </t>
  </si>
  <si>
    <t>Distrito de Jauja</t>
  </si>
  <si>
    <t>Jr. Los Huarahuayos (Polideportivo del Barrio Apay)</t>
  </si>
  <si>
    <t>75.5042734569565w</t>
  </si>
  <si>
    <t>11.7659374015589s</t>
  </si>
  <si>
    <t>Int. Psje. 28 de julio y Jr. Junín (Plazuela del Barrio San Lorenzo)</t>
  </si>
  <si>
    <t>75.50310786908936w</t>
  </si>
  <si>
    <t>11.76756461637664s</t>
  </si>
  <si>
    <t>75.50024068563725w</t>
  </si>
  <si>
    <t>11.769824948932326s</t>
  </si>
  <si>
    <t>Int. Av. Motto Vivanco y Jr. Acolla (Plazuela del barrio La Libertad)</t>
  </si>
  <si>
    <t>75.496228715876w</t>
  </si>
  <si>
    <t>11.772631380020044s</t>
  </si>
  <si>
    <t>Int. Av. Tarma y Jr. Junín</t>
  </si>
  <si>
    <t>75.5019824735043w</t>
  </si>
  <si>
    <t>11.769751530946028s</t>
  </si>
  <si>
    <t>Int. Jr. Junín y Jr. Alfonso Ugarte</t>
  </si>
  <si>
    <t>75.5009186057721w</t>
  </si>
  <si>
    <t>11.772220119840762s</t>
  </si>
  <si>
    <t>Int. Jr. Tarapacá y Jr. Jauja (plaza del barrio San Antonio)</t>
  </si>
  <si>
    <t>75.49390670282884w</t>
  </si>
  <si>
    <t>11.773449845974302s</t>
  </si>
  <si>
    <t>Int. Jr. Junín y Jr. Colina</t>
  </si>
  <si>
    <t>75.49877363413545w</t>
  </si>
  <si>
    <t>11.777147369302881s</t>
  </si>
  <si>
    <t>Int. Jr. Bruno Terreros y Jr. Villarreal</t>
  </si>
  <si>
    <t>Int. Av. Mariscal Cáceres y Jr. 28 de Julio</t>
  </si>
  <si>
    <t>75.4955855631181w</t>
  </si>
  <si>
    <t>11.779119018395045s</t>
  </si>
  <si>
    <t>75.4950940499826w</t>
  </si>
  <si>
    <t>11.780960890964936s</t>
  </si>
  <si>
    <t>Int. Jr. Daniel Alomía y Jr. Fernando Franco</t>
  </si>
  <si>
    <t>Int. Jr. Arzobispo del Valle y Jr. Tarapacá</t>
  </si>
  <si>
    <t>75.4862597659854w</t>
  </si>
  <si>
    <t>11.778172890852868s</t>
  </si>
  <si>
    <t>Int. Av. Ricardo Palma y Jr. Aviación</t>
  </si>
  <si>
    <t>75.49158063732247w</t>
  </si>
  <si>
    <t>11.774113570917388s</t>
  </si>
  <si>
    <t>75.4943688713813w</t>
  </si>
  <si>
    <t>11.782869455205079s</t>
  </si>
  <si>
    <t>COSC</t>
  </si>
  <si>
    <t>75.49366181750796W</t>
  </si>
  <si>
    <t>11.771644429196826S</t>
  </si>
  <si>
    <t>PAR1</t>
  </si>
  <si>
    <t>75.48280724822786W</t>
  </si>
  <si>
    <t>11.78403416425596S</t>
  </si>
  <si>
    <t>PAR2</t>
  </si>
  <si>
    <t>75.50300738562224W</t>
  </si>
  <si>
    <t>11.767775681405444S</t>
  </si>
  <si>
    <t>BRECHA DE MEDIOS DE VIGILANCIA</t>
  </si>
  <si>
    <t>MEDIOS DE VIGILANCIA CON PROYECTO</t>
  </si>
  <si>
    <t>MEDIOS DE VIGILANCIA SIN PROYECTO</t>
  </si>
  <si>
    <t>MEDIOS DE VIGILANCIA</t>
  </si>
  <si>
    <t>COORDENADAS</t>
  </si>
  <si>
    <t>O&amp;M SIN PROYECTO</t>
  </si>
  <si>
    <t>Ítem</t>
  </si>
  <si>
    <t>Und</t>
  </si>
  <si>
    <t>Cantidad</t>
  </si>
  <si>
    <t>Periodo</t>
  </si>
  <si>
    <t>Precio (S/.)</t>
  </si>
  <si>
    <t>Total (S/.) A precio de mercado</t>
  </si>
  <si>
    <t>FC</t>
  </si>
  <si>
    <t>Gastos de Operación</t>
  </si>
  <si>
    <t>Sueldo de serenos</t>
  </si>
  <si>
    <t>Servicios de luz</t>
  </si>
  <si>
    <t>Glb</t>
  </si>
  <si>
    <t>Servicios de agua</t>
  </si>
  <si>
    <t>Servicios de telefono</t>
  </si>
  <si>
    <t>Servicios de internet</t>
  </si>
  <si>
    <t>Combustible-petroleo</t>
  </si>
  <si>
    <t>Gastos de Mantenimiento</t>
  </si>
  <si>
    <t xml:space="preserve">Mantenimiento de  equipos de oficina </t>
  </si>
  <si>
    <t>Total Operación y Mantenimiento anuales</t>
  </si>
  <si>
    <t>O&amp;M CON PROYECTO</t>
  </si>
  <si>
    <t>Metrado</t>
  </si>
  <si>
    <t>Personal de monitoreo de camaras</t>
  </si>
  <si>
    <t>Mantenimiento de equipos de oficina</t>
  </si>
  <si>
    <t>Mantenimiento del Sistema de Videovigilancia</t>
  </si>
  <si>
    <t>COSTOS DE REPOCISIÓN</t>
  </si>
  <si>
    <t>UNIDADES MOVILES</t>
  </si>
  <si>
    <t>VIDA UTIL</t>
  </si>
  <si>
    <t>P. Unitario</t>
  </si>
  <si>
    <t>Costo resposición</t>
  </si>
  <si>
    <t>Costos a Precios Sociales</t>
  </si>
  <si>
    <t>CAMIONETA</t>
  </si>
  <si>
    <t>MOTO</t>
  </si>
  <si>
    <t>EQUIPOS</t>
  </si>
  <si>
    <t>5 años</t>
  </si>
  <si>
    <t>COSTO TOTAL DE REPOSICIÓN</t>
  </si>
  <si>
    <t xml:space="preserve">DESCRIPCION </t>
  </si>
  <si>
    <t>P-0</t>
  </si>
  <si>
    <t>P-1</t>
  </si>
  <si>
    <t>P-2</t>
  </si>
  <si>
    <t>P-3</t>
  </si>
  <si>
    <t>P-4</t>
  </si>
  <si>
    <t>P-5</t>
  </si>
  <si>
    <t>P-6</t>
  </si>
  <si>
    <t>P-7</t>
  </si>
  <si>
    <t>P-8</t>
  </si>
  <si>
    <t>P-9</t>
  </si>
  <si>
    <t>P-10</t>
  </si>
  <si>
    <t xml:space="preserve">Costo de inversion </t>
  </si>
  <si>
    <t>SIN PROYECTO</t>
  </si>
  <si>
    <t xml:space="preserve">Costo de operación </t>
  </si>
  <si>
    <t>Costo de mantenimiento</t>
  </si>
  <si>
    <t>COSTO CON PROYECTO</t>
  </si>
  <si>
    <t xml:space="preserve">Costos de reposicion </t>
  </si>
  <si>
    <t>COSTOS INCREMENTALES</t>
  </si>
  <si>
    <t>EVALUACION SOCIAL</t>
  </si>
  <si>
    <t>INCIDENCIA</t>
  </si>
  <si>
    <t>DESCRIPCION</t>
  </si>
  <si>
    <t>DEMANDA DE SERVICIOS DE SEG. CIUD.</t>
  </si>
  <si>
    <t>VICTIMIZACION</t>
  </si>
  <si>
    <t>ROBO SIMPLE Y AGRAVADO</t>
  </si>
  <si>
    <t>HURTO SIMPLE Y AGRAVADO</t>
  </si>
  <si>
    <t>DNI POR DUPLICADO</t>
  </si>
  <si>
    <t>CONCEPTO</t>
  </si>
  <si>
    <t>Tiempo dedicado a trámite por  DNI</t>
  </si>
  <si>
    <t>hora</t>
  </si>
  <si>
    <t xml:space="preserve">Valor Social de Tiempo  </t>
  </si>
  <si>
    <t>por hora</t>
  </si>
  <si>
    <t>Costo evitado por robo</t>
  </si>
  <si>
    <t>promedio</t>
  </si>
  <si>
    <t>B1   Beneficios por Evitar Costos en DNI</t>
  </si>
  <si>
    <t>B2   Beneficios por Evitar Costos de Tiempo</t>
  </si>
  <si>
    <t>B3   Beneficios por Evitar Robo</t>
  </si>
  <si>
    <t>BENEFICIOS TOTALES</t>
  </si>
  <si>
    <t>INVERSION A PRECIOS SOCIALES</t>
  </si>
  <si>
    <t>COSTOS DE OPERACIÓN Y MANTENIMIENTO A PRECIOS SOCIALES</t>
  </si>
  <si>
    <t>BENEFICIOS NETOS</t>
  </si>
  <si>
    <t>VANS</t>
  </si>
  <si>
    <t>TIRS</t>
  </si>
  <si>
    <t>B/C</t>
  </si>
  <si>
    <t>Población</t>
  </si>
  <si>
    <t>Habitntes por vivienda</t>
  </si>
  <si>
    <t>Viviendas</t>
  </si>
  <si>
    <t>Tarifa</t>
  </si>
  <si>
    <t>Ingresos</t>
  </si>
  <si>
    <t>Costos de Operación y Mantenimiento</t>
  </si>
  <si>
    <t>Fujo</t>
  </si>
  <si>
    <t>VNA</t>
  </si>
  <si>
    <t>TARIFA</t>
  </si>
  <si>
    <t>ANUAL X VIVIENDA</t>
  </si>
  <si>
    <t>MENSUAL X VIVIENDA</t>
  </si>
  <si>
    <t>N°</t>
  </si>
  <si>
    <t>INVERSIÓN</t>
  </si>
  <si>
    <t>BENEFICIOS</t>
  </si>
  <si>
    <t>COSTOS DE OPERACIÓN Y MANTENIMIENTO</t>
  </si>
  <si>
    <t>REPOSICIÓN</t>
  </si>
  <si>
    <t>FLUJO</t>
  </si>
  <si>
    <t>FACTOR</t>
  </si>
  <si>
    <t>FLUJO DE BENEFICIOS</t>
  </si>
  <si>
    <t>FLUJO DE COSTOS</t>
  </si>
  <si>
    <t>VAN BENEFICIOS</t>
  </si>
  <si>
    <t>VAN COSTOS</t>
  </si>
  <si>
    <t>VAN BENEFICIOS Y COSTOS</t>
  </si>
  <si>
    <t>INDICADORES</t>
  </si>
  <si>
    <t>VALOR ECONÓMICO SOCIAL</t>
  </si>
  <si>
    <t>VAN</t>
  </si>
  <si>
    <t>TIR</t>
  </si>
  <si>
    <t>VARIACIÓN PORCENTUAL DE LA INVERSIÓN</t>
  </si>
  <si>
    <t>%</t>
  </si>
  <si>
    <t>VARIACIÓN PORCENTUAL DE LOS BENEFICIOS</t>
  </si>
  <si>
    <t>VARIACIÓN PORCENTUAL DE COSTOS DE OPERACIÓN Y MANTENIMIENTO</t>
  </si>
  <si>
    <t>VARIACIÓN EN LA INVERSIÓN</t>
  </si>
  <si>
    <t>VARIACIÓN EN BENEFICIOS</t>
  </si>
  <si>
    <t>VARIACIÓN EN COSTOS DE OPERACIÓN Y MANTENIMIENTO</t>
  </si>
  <si>
    <t>CRONOGRAMA FISICO</t>
  </si>
  <si>
    <t>% DE AVANCE TOTAL POR COMPONENTE</t>
  </si>
  <si>
    <t>CRONOGRAMA FINANCIERO</t>
  </si>
  <si>
    <t>MONTO DE INVERSIÓN</t>
  </si>
  <si>
    <t>MESES</t>
  </si>
  <si>
    <t>INVERSIÓN TOTAL POR COMPONENTE</t>
  </si>
  <si>
    <t xml:space="preserve">TOTAL DE INVERSION </t>
  </si>
  <si>
    <t>Técnico Administrativo</t>
  </si>
  <si>
    <t>mes</t>
  </si>
  <si>
    <t>Responsable de la
Unidad</t>
  </si>
  <si>
    <t>Persona</t>
  </si>
  <si>
    <t>Servicios de energía electrica</t>
  </si>
  <si>
    <t>Precio Unitario (S/.)</t>
  </si>
  <si>
    <t>Mantenimiento de camioneta</t>
  </si>
  <si>
    <t>Mantenimiento de motocicleta</t>
  </si>
  <si>
    <t>Combustible-gasolina</t>
  </si>
  <si>
    <t>Mantenimiento de uniformes de personal</t>
  </si>
  <si>
    <t>Mantenimiento  de Motocicletas</t>
  </si>
  <si>
    <t>Total Operación y Mantenimiento Anuales</t>
  </si>
  <si>
    <t>Mantenimiento  de camionetas</t>
  </si>
  <si>
    <t>Galones/año</t>
  </si>
  <si>
    <t>Und/año</t>
  </si>
  <si>
    <t>Unidades/mes</t>
  </si>
  <si>
    <t>Sueldo de supervisor</t>
  </si>
  <si>
    <t>ÍTEM</t>
  </si>
  <si>
    <t>COSTO DIRECTO</t>
  </si>
  <si>
    <t>TOTAL PRESUPUESTO</t>
  </si>
  <si>
    <t>INVERSIÓN A PRECIOS DE MERCADO</t>
  </si>
  <si>
    <t>F.C</t>
  </si>
  <si>
    <t>INVERSIÓN A PRECIOS SOCIALES</t>
  </si>
  <si>
    <t>COMPONENTE 1: Adecuada infraestructura de vigilancia</t>
  </si>
  <si>
    <t>COMPONENTE 2: Suficiente y adecuado Equipamiento del Sistema Tecnológico de vigilancia</t>
  </si>
  <si>
    <t xml:space="preserve">Adquisición e instalación del sistema de video vigilancia mediante Fibra Óptica  </t>
  </si>
  <si>
    <t>COMPONENTE 3: Suficientes unidades móviles de vigilancia, materiales, accesorios e indumentarias</t>
  </si>
  <si>
    <t>COMPONENTE  4: Personal de Serenazgo capacitado en temas de Seguridad Ciudadana</t>
  </si>
  <si>
    <t>Capacitaciones al personal de Serenazgo</t>
  </si>
  <si>
    <t>COMPONENTE 5: Adecuada gestión Institucional y participación vecinal, Juntas Vecinales en Seguridad Ciudadana</t>
  </si>
  <si>
    <t>Sensibilización a la población en temas de seguridad ciudadana</t>
  </si>
  <si>
    <t xml:space="preserve">Construcción de Puestos de Auxilio Rápido </t>
  </si>
  <si>
    <t>Adquisición de mobiliario y equipamiento</t>
  </si>
  <si>
    <t xml:space="preserve">Construcción de la infraestructura del Centro de Operaciones de Seguridad Ciudadana </t>
  </si>
  <si>
    <t>Unidad de Medida</t>
  </si>
  <si>
    <t>Glob</t>
  </si>
  <si>
    <t>Adquisición de Vehículo de Serenazgo</t>
  </si>
  <si>
    <t>Adquisición de uniformes, materiales y accesorios de Seguridad Ciudadana</t>
  </si>
  <si>
    <t xml:space="preserve">Precio </t>
  </si>
  <si>
    <t>Elaboración de Expediente Técnico</t>
  </si>
  <si>
    <t>COSTO</t>
  </si>
  <si>
    <t>DECRIPCIÓN</t>
  </si>
  <si>
    <t>PRECIO</t>
  </si>
  <si>
    <t>CANTIDAD</t>
  </si>
  <si>
    <t>CENTRO DE OPERACIONES DE SEGURIDAD  CIUDADANA</t>
  </si>
  <si>
    <t>Vehiculos de Serenazgo</t>
  </si>
  <si>
    <t>PUESTOS DE AUXILIO RAPIDO</t>
  </si>
  <si>
    <t>VEHÍCULOS DE SERENAZGO</t>
  </si>
  <si>
    <t>S10</t>
  </si>
  <si>
    <t>Página :</t>
  </si>
  <si>
    <t>Análisis de precios unitarios</t>
  </si>
  <si>
    <t>Presupuesto</t>
  </si>
  <si>
    <t>1011003</t>
  </si>
  <si>
    <t>MEJORAMIENTO Y AMPLIACIÓN DEL SERVICIO DE SEGURIDAD CIUDADANA DEL DISTRITO DE JAUJA, PROVINCIA DE JAUJA, REGIÓN JUNÍN</t>
  </si>
  <si>
    <t>Subpresupuesto</t>
  </si>
  <si>
    <t>004</t>
  </si>
  <si>
    <t>SUFICIENTE PERSONAL CAPACITADO</t>
  </si>
  <si>
    <t>Fecha presupuesto</t>
  </si>
  <si>
    <t>Partida</t>
  </si>
  <si>
    <t>01.01</t>
  </si>
  <si>
    <t>TALLERES DE CAPACITACIÓN PARA PERSONAL</t>
  </si>
  <si>
    <t>Rendimiento</t>
  </si>
  <si>
    <t>und/DIA</t>
  </si>
  <si>
    <t>EQ.</t>
  </si>
  <si>
    <t>Costo unitario directo por : und</t>
  </si>
  <si>
    <t>Código</t>
  </si>
  <si>
    <t>Descripción Recurso</t>
  </si>
  <si>
    <t>Cuadrilla</t>
  </si>
  <si>
    <t>Precio S/.</t>
  </si>
  <si>
    <t>Parcial S/.</t>
  </si>
  <si>
    <t>Subcontratos</t>
  </si>
  <si>
    <t>0428030001</t>
  </si>
  <si>
    <t>SC CURSO TALLER CIRCUITO CERRADO</t>
  </si>
  <si>
    <t>0428030002</t>
  </si>
  <si>
    <t>SC CURSO TALLER NORMATIVA LEGAL</t>
  </si>
  <si>
    <t>0428030003</t>
  </si>
  <si>
    <t>SC CURSO TALLER DEFENSA PERSONAL</t>
  </si>
  <si>
    <t>0428030004</t>
  </si>
  <si>
    <t>SC CURSO TALLER PATRULLAJE E INTERVENCION</t>
  </si>
  <si>
    <t>0428030005</t>
  </si>
  <si>
    <t>SC CURSO TALLER PRIMEROS AUXILIOS</t>
  </si>
  <si>
    <t>0428030006</t>
  </si>
  <si>
    <t>SC CURSO TALLER RESOLUCION DE CONFLICTOS</t>
  </si>
  <si>
    <t>0428030007</t>
  </si>
  <si>
    <t>SC CURSO TALLER MODALIDADES DELICTIVAS</t>
  </si>
  <si>
    <t>01.02</t>
  </si>
  <si>
    <t>MATERIALES Y UTILES PARA TALLERES</t>
  </si>
  <si>
    <t>Materiales</t>
  </si>
  <si>
    <t>0290080008</t>
  </si>
  <si>
    <t>PLUMONES PARA PAPEL COLORES VARIADOS</t>
  </si>
  <si>
    <t>cja</t>
  </si>
  <si>
    <t>0290080009</t>
  </si>
  <si>
    <t>PLUMONES ACRÍLICOS COLORES VARIADOS</t>
  </si>
  <si>
    <t>0290150013</t>
  </si>
  <si>
    <t>PAPELOGRAFO</t>
  </si>
  <si>
    <t>und</t>
  </si>
  <si>
    <t>0290150014</t>
  </si>
  <si>
    <t>BLOCK DE NOTAS POR 50 PÁGINAS</t>
  </si>
  <si>
    <t>0290150015</t>
  </si>
  <si>
    <t>HOJAS BOND</t>
  </si>
  <si>
    <t>mll</t>
  </si>
  <si>
    <t>EQUIPOS PARA ENTRENAMIENTO PARA SERENAZGO</t>
  </si>
  <si>
    <t>glb/DIA</t>
  </si>
  <si>
    <t>Costo unitario directo por : glb</t>
  </si>
  <si>
    <t>0428030008</t>
  </si>
  <si>
    <t>SC EQUIPOS PARA ENTRENAMIENTO PARA SERENAZGO</t>
  </si>
  <si>
    <t>glb</t>
  </si>
  <si>
    <t>005</t>
  </si>
  <si>
    <t>EFICIENTE PARTICIPACIÓN VECINAL Y GESTIÓN INSTITUCIONAL</t>
  </si>
  <si>
    <t>CAPACITACIÓN Y FORMACIÓN DE JUNTAS VECINALES</t>
  </si>
  <si>
    <t>SC CURSO TALLER Y FORMACION DE JUNTAS VECINALES</t>
  </si>
  <si>
    <t>h</t>
  </si>
  <si>
    <t>SENSIBILIZACIÓN A LA POBLACIÓN</t>
  </si>
  <si>
    <t>0428020005</t>
  </si>
  <si>
    <t>SC TALLER FUNDAMENTOS DE SEGURIDAD CIUDADANA</t>
  </si>
  <si>
    <t>0428020006</t>
  </si>
  <si>
    <t xml:space="preserve">SC TALLER REDUCCION DE USOS DE ARMAS, VIOLENCIA, </t>
  </si>
  <si>
    <t>0428020007</t>
  </si>
  <si>
    <t>SC TALLER ESTRATEGIAS DE COMUNICACIÓN</t>
  </si>
  <si>
    <t>0428020008</t>
  </si>
  <si>
    <t>SC GESTION DE RIESGOS</t>
  </si>
  <si>
    <t>0428020009</t>
  </si>
  <si>
    <t>SC JUNTAS VECIONALES - NORMATIVIDAD</t>
  </si>
  <si>
    <t>01.04</t>
  </si>
  <si>
    <t>EQUIPOS AUDIOVISUALES PARA CAPACITACIÓN</t>
  </si>
  <si>
    <t>0428030009</t>
  </si>
  <si>
    <t>SC EQUIPOS AUDIOVISUAL PARA CAPACITACIÓN</t>
  </si>
  <si>
    <t>Fecha  :</t>
  </si>
  <si>
    <t>ACCESORIOS ADICIONALES PARA CAMIONETA</t>
  </si>
  <si>
    <t>ACONDICIONAMIENTO Y LOGOTIPO DE CAMIONETA</t>
  </si>
  <si>
    <t>TRASLADO DE CAMIONETA</t>
  </si>
  <si>
    <t>PANTALON DRILL</t>
  </si>
  <si>
    <t>POLOS EN ALGODÓN PIQUE CON LOGO BORDADO</t>
  </si>
  <si>
    <t>CASACA TERMICA IMPERMEABLE</t>
  </si>
  <si>
    <t>CAMISA MANGA LARGA</t>
  </si>
  <si>
    <t>GORRAS CON LOGO</t>
  </si>
  <si>
    <t>CAPOTINES IMPERMEABLES</t>
  </si>
  <si>
    <t>CORREAJE</t>
  </si>
  <si>
    <t>ESCUDO ACRILICO PARA SEGURIDAD (MODELO POLICIAL)</t>
  </si>
  <si>
    <t>CÁMARA FOTOGRÁFICA DIGITAL CON MEMORIA</t>
  </si>
  <si>
    <t>CASCO ANTIMOTÍN DE FIBRA DE VIDRIO</t>
  </si>
  <si>
    <t>EXTINTOR DE 4KG CLASE "ABC" INCLUYE CARGA</t>
  </si>
  <si>
    <t>SILBATOS CON BRAQUER POLICIAL</t>
  </si>
  <si>
    <t>CHOMPA TIPO JORGE CHAVEZ</t>
  </si>
  <si>
    <t>CHALECOS ANTIBALAS</t>
  </si>
  <si>
    <t>CHALECO TACTICO REFLECTIVO</t>
  </si>
  <si>
    <t>BOTAS DE SEGURIDAD CON PUNTA METALICA</t>
  </si>
  <si>
    <t>HEBILLA PORTAVARA</t>
  </si>
  <si>
    <t>VARA RIGIDA</t>
  </si>
  <si>
    <t>MEDIAS GRUESAS DE COLOR NEGRO</t>
  </si>
  <si>
    <t>GUANTE DE CUERO</t>
  </si>
  <si>
    <t>PASAMONTAÑA</t>
  </si>
  <si>
    <t>LAPICERO</t>
  </si>
  <si>
    <t>CUADERNOS A-4 CUADRICULADO</t>
  </si>
  <si>
    <t>CHALECO</t>
  </si>
  <si>
    <t>GORRO</t>
  </si>
  <si>
    <t>SILBATO</t>
  </si>
  <si>
    <t>UNIDAD DE MEDIDA</t>
  </si>
  <si>
    <t>Pares</t>
  </si>
  <si>
    <t>ESPOSAS DE SEGURIDAD</t>
  </si>
  <si>
    <t>UNIFORMES PARA SERENAZGO</t>
  </si>
  <si>
    <t>MATERIALES Y ACCESORIOS PARA SERENAZGO</t>
  </si>
  <si>
    <t>MATERIALES Y ACCESORIOS PARA JUNTAS VECINALES</t>
  </si>
  <si>
    <t>COSTO TOTAL</t>
  </si>
  <si>
    <t>Estudio</t>
  </si>
  <si>
    <t>Gestión del Proyecto</t>
  </si>
  <si>
    <t xml:space="preserve">Supervisión </t>
  </si>
  <si>
    <t>UNIDAD</t>
  </si>
  <si>
    <t>COSC (S/)</t>
  </si>
  <si>
    <t xml:space="preserve">COSTO TOTAL </t>
  </si>
  <si>
    <t>GG    10%</t>
  </si>
  <si>
    <t>UTILIDAD   10%</t>
  </si>
  <si>
    <t>SUBTOTAL</t>
  </si>
  <si>
    <t>IGV 18%</t>
  </si>
  <si>
    <t>TOTAL COMPONENTE DE INFRAESTRUCTURA</t>
  </si>
  <si>
    <t>EXPEDIENTE TECNICO (DEL COSC+PRI)</t>
  </si>
  <si>
    <t>SUPERVISION DE OBRA (DEL COSC+PRI)</t>
  </si>
  <si>
    <t>PAR 1 (S/)</t>
  </si>
  <si>
    <t>PAR 2 (S/)</t>
  </si>
  <si>
    <t>ESTRUCTURAS</t>
  </si>
  <si>
    <t>ARQUITECTURA</t>
  </si>
  <si>
    <t>INSTALACIONES SANITARIAS</t>
  </si>
  <si>
    <t>INSTALACIONE SELECTRICAS</t>
  </si>
  <si>
    <t>Escritorio de melamine</t>
  </si>
  <si>
    <t>Sillas giratorias</t>
  </si>
  <si>
    <t>Archivero de melamine</t>
  </si>
  <si>
    <t>Extintor 12 kg</t>
  </si>
  <si>
    <t>Estante de metal</t>
  </si>
  <si>
    <t>Trapeador</t>
  </si>
  <si>
    <t>Escoba con mango de plástico</t>
  </si>
  <si>
    <t>Balde de plástico</t>
  </si>
  <si>
    <t>Recogedor con mango de aluminio</t>
  </si>
  <si>
    <t>Botiquín de Primeros Auxilios</t>
  </si>
  <si>
    <t>Sillas de espera de metal</t>
  </si>
  <si>
    <t>Escritorio para estaciones de trabajo personales</t>
  </si>
  <si>
    <t>Casilleros 2x2</t>
  </si>
  <si>
    <t>Pizarra Acrílica</t>
  </si>
  <si>
    <t>Escritorio en L</t>
  </si>
  <si>
    <t>Silla giratoria</t>
  </si>
  <si>
    <t>Estante de melamine con cuadrantes internos de melamine</t>
  </si>
  <si>
    <t>Mesa de reuniones para 6 personas</t>
  </si>
  <si>
    <t>Proyector</t>
  </si>
  <si>
    <t>Ecran Retractil de Techo 4 x 3 metros</t>
  </si>
  <si>
    <t>Sillas de Espera</t>
  </si>
  <si>
    <t>Estante de melamine con cuadrantes internos</t>
  </si>
  <si>
    <t>Hall de espera</t>
  </si>
  <si>
    <t>Atencion al usuario</t>
  </si>
  <si>
    <t>Sala de Monitoreo</t>
  </si>
  <si>
    <t>Centro de Llamadas</t>
  </si>
  <si>
    <t>Depósito</t>
  </si>
  <si>
    <t>Oficina Administrativa</t>
  </si>
  <si>
    <t>Sala de Crisis</t>
  </si>
  <si>
    <t>Vestidores de mujeres</t>
  </si>
  <si>
    <t>Vestidores de Varones</t>
  </si>
  <si>
    <t>Bancas</t>
  </si>
  <si>
    <t xml:space="preserve">Computadora </t>
  </si>
  <si>
    <t xml:space="preserve">Int. Jr. Huáscar y Jr. Junín </t>
  </si>
  <si>
    <t>Int. Jr. Gálvez y Jr. Tacna</t>
  </si>
  <si>
    <t>Int. Jr. Junín y Jr. Bolognesi</t>
  </si>
  <si>
    <t>Int. Av. Evitamiento y Calle Luis Bardales</t>
  </si>
  <si>
    <t>Int. Jr. Sucre y Jr. Tarapaca</t>
  </si>
  <si>
    <t>Av. Evitamiento y Av. Francisco Carle (ovalo del aeropuerto)</t>
  </si>
  <si>
    <t>Int. Av. Ricardo Palma y Av. Heroes de la Breña</t>
  </si>
  <si>
    <t>Int. Av. Ricardo Palma y Jr. Huancayo</t>
  </si>
  <si>
    <t>75.50325777302353W</t>
  </si>
  <si>
    <t>11.775249724633616S</t>
  </si>
  <si>
    <t>75.49950201075278W</t>
  </si>
  <si>
    <t>11.775458629750586S</t>
  </si>
  <si>
    <t>75.49148295981021W</t>
  </si>
  <si>
    <t>11.771311967426021S</t>
  </si>
  <si>
    <t>75.50066602425916W</t>
  </si>
  <si>
    <t>11.77714115625033S</t>
  </si>
  <si>
    <t>75.47576162769627W</t>
  </si>
  <si>
    <t>11.786648124161824S</t>
  </si>
  <si>
    <t>75.49230067383783W</t>
  </si>
  <si>
    <t>11.785196783084038S</t>
  </si>
  <si>
    <t>75.49730266369453W</t>
  </si>
  <si>
    <t>11.779370592358735S</t>
  </si>
  <si>
    <t>SOAT</t>
  </si>
  <si>
    <t>Precio</t>
  </si>
  <si>
    <t>Total</t>
  </si>
  <si>
    <t>Barra posterior ajustable sujeta con pernos a la parrilla posterior con base para circulina de 12 v- led de alta intensidad (03 cambios) (luces led laterales
instaladas en el protector
de piernas con mando en
motor- 03 cambios) (sirena para motocicletas con
mando en el timon ( 03-
sonidos)</t>
  </si>
  <si>
    <t>Motocicleta todo terreno         XR190</t>
  </si>
  <si>
    <t>Ecran retractil de techo 4 x 3 metros</t>
  </si>
  <si>
    <t>Accesorios adicionales para camioneta</t>
  </si>
  <si>
    <t>Acondicionamiento y logotipo de camioneta</t>
  </si>
  <si>
    <t xml:space="preserve">Unidad </t>
  </si>
  <si>
    <t>Global</t>
  </si>
  <si>
    <t>Mobiliario y equipamiento</t>
  </si>
  <si>
    <t>anual</t>
  </si>
  <si>
    <t>COORDENDAS DE UBICACIÓN</t>
  </si>
  <si>
    <t>DIRECCIÓN</t>
  </si>
  <si>
    <t xml:space="preserve">INCIDENCIA DELICTIVA </t>
  </si>
  <si>
    <t>Robo, Hurto y Estafa</t>
  </si>
  <si>
    <t>PUNTOS A INSTALAR VIDEOCAMARAS-JAUJA</t>
  </si>
  <si>
    <t>Item</t>
  </si>
  <si>
    <t>SISTEMAS TECNOLÓGICOS DE VIGILANCIA Y TELECOMUNICACIÓN</t>
  </si>
  <si>
    <t>Unidad Medida</t>
  </si>
  <si>
    <t>P. Total</t>
  </si>
  <si>
    <t>SUMINISTRO DE EQUIPAMIENTO TECNOLÓGICO</t>
  </si>
  <si>
    <t>SUMINISTRO DE EQUIPAMIENTO PARA INTERCONEXIÓN DE FIBRA ÓPTICA</t>
  </si>
  <si>
    <t>SUMINISTRO DE POSTE DE CONCRETO ARMADO CENTRIFUGADO DE 9M</t>
  </si>
  <si>
    <t>UND</t>
  </si>
  <si>
    <t>SUMINISTRO DE FIBRA OPTICA DE 2 HILOS</t>
  </si>
  <si>
    <t>M</t>
  </si>
  <si>
    <t>SUMINISTRO DE FIBRA OPTICA DE 24 HILOS</t>
  </si>
  <si>
    <t>SUMINISTRO DE ACCESORIOS PARA INTERCONEXION Y DISTRIBUCION DE FIBRA OPTICA</t>
  </si>
  <si>
    <t>GLB</t>
  </si>
  <si>
    <t>SUMINISTRO DE ACCESORIOS PARA INSTALACION DE FIBRA OPTICA AEREA</t>
  </si>
  <si>
    <t>SUMINISTRO DE BRAZO DE EXTENSIÓN PARA POSTE 50cm x 5/8"</t>
  </si>
  <si>
    <t>TRANSPORTE DE FIBRA ÓPTICA Y ACCESORIOS</t>
  </si>
  <si>
    <t>TRANSPORTE DE POSTES DE CONCRETO DE 9M</t>
  </si>
  <si>
    <t>SUMINISTRO DE EQUIPAMIENTO PARA SISTEMA DE VIDEOVIGILANCIA</t>
  </si>
  <si>
    <t>SUMINISTRO DE POSTE DE CONCRETO ARMADO CENTRIFUGADO DE 13m/300</t>
  </si>
  <si>
    <t>SUMINISTRO DE CAMARA IP TIPO DOMO PTZ</t>
  </si>
  <si>
    <t>SUMINISTRO DE UPS 1KVA</t>
  </si>
  <si>
    <t>SUMINISTRO DE ACCESORIOS PARA INSTALACION DE LAS CAMARAS IP</t>
  </si>
  <si>
    <t>SUMINISTRO DE MASTIL PARA CÁMARA DE 3m</t>
  </si>
  <si>
    <t>SUMINISTRO DE MASTIL PARA CÁMARA DE 1.8m</t>
  </si>
  <si>
    <t>SUMINISTRO Y MONTAJE DE CARTEL PARA POSTE</t>
  </si>
  <si>
    <t>SUMINISTRO DE ALTAVOCES IP PARA EXTERIORES</t>
  </si>
  <si>
    <t>SUMINISTRO DE POZO A TIERRA</t>
  </si>
  <si>
    <t>TRANSPORTE DE POSTES DE CONCRETO DE 13M</t>
  </si>
  <si>
    <t>TRANSPORTE DE CÁMARAS IP Y ACCESORIOS</t>
  </si>
  <si>
    <t>SUMINISTRO DE ANTENA OMNIDIRECCIONAL PARA</t>
  </si>
  <si>
    <t>SUMINISTRO DE REPETIDOR DIGITAL PARA RADIOCOMUNICACIÓN</t>
  </si>
  <si>
    <t>SUMINISTRO DE BATERÍA DE RADIO PORTÁTIL</t>
  </si>
  <si>
    <t>SUMINISTRO DE TORRE TRIANGULAR VENTADA DE COMUNICACIONES DE 15M</t>
  </si>
  <si>
    <t>SUMINISTRO DE CARGADOR DE BATERÍA DE RADIO PORTÁTIL</t>
  </si>
  <si>
    <t>SUMINISTRO DE RADIO PORTÁTIL</t>
  </si>
  <si>
    <t>SUMINISTRO DE RADIO MÓVIL VEHICULAR</t>
  </si>
  <si>
    <t>SUMINISTRO DE ACCESORIOS PARA ANTENA ONMIDIRECCIONAL</t>
  </si>
  <si>
    <t>SUMINISTRO DE SOFTWARE DE GEOLOCALIZACIÓN PARA RADIOCOMUNICACIÓN</t>
  </si>
  <si>
    <t>SUMINISTRO DE PARARRAYOS</t>
  </si>
  <si>
    <t>TRANSPORTE DE EQUIPOS DE RADIOCOMUNICACIÓN</t>
  </si>
  <si>
    <t>TRANSPORTE DE TORRE DE COMUNICACIÓN</t>
  </si>
  <si>
    <t>SUMINISTRO DE EQUIPAMIENTO PARA CENTRO DE DATOS</t>
  </si>
  <si>
    <t>SUMINISTRO DE AIRE ACONDICIONADO</t>
  </si>
  <si>
    <t>SUMINISTRO DE PISO TECNICO</t>
  </si>
  <si>
    <t>SUMINISTRO DE GABINETES</t>
  </si>
  <si>
    <t>SUMINISTRO DE VENTILADORES</t>
  </si>
  <si>
    <t>SUMINISTRO DE SERVIDOR PARA VIDEOVIGILANCIA</t>
  </si>
  <si>
    <t>SUMINISTRO DE SWITCH DE DISTRIBUCIÓN DE 24 PUERTOS</t>
  </si>
  <si>
    <t>SUMINISTRO DE SWITCH DE ACCESO</t>
  </si>
  <si>
    <t>SUMINISTRO DE CENTRAL TELEFÓNICA Y TELÉFONOS IP</t>
  </si>
  <si>
    <t>SUMINISTRO DE UPS 10KVA</t>
  </si>
  <si>
    <t>SUMINISTRO DE SISTEMA DE DETECCION DE INCENDIO</t>
  </si>
  <si>
    <t>SUMINISTRO DE SISTEMA DE CONTROL DE ACCESO PARA CENTRO DE DATOS</t>
  </si>
  <si>
    <t>TRANSPORTE DE GABINETE Y SISTEMA DE ENFRIAMIENTO</t>
  </si>
  <si>
    <t>SUMINISTRO DE EQUIPAMIENTO PARA CENTRO DE CONTROL DE SEGURIDAD CIUDADANA</t>
  </si>
  <si>
    <t>SUMINISTRO ESTACION DE TRABAJO PARA OPERADORES DE CÁMARA DE VIDEOVIGILANCIA</t>
  </si>
  <si>
    <t>SUMINISTRO DE VIDEO WALL</t>
  </si>
  <si>
    <t>SUMINISTRO DE SISTEMA DE CONTROL DE ACCESO PARA CENTRO DE CONTROL</t>
  </si>
  <si>
    <t>TRANSPORTE DE EQUIPOS PARA CENTRO DE CONTROL</t>
  </si>
  <si>
    <t>SUMINISTRO DE EQUIPAMIENTO PARA MODULO DE AUXILIO RAPIDO</t>
  </si>
  <si>
    <t>SUMINISTRO DE ESTACION DE TRABAJO PARA MODULO DE AUXILIO</t>
  </si>
  <si>
    <t>TRANSPORTE DE EQUIPOS PARA MODULOS DE AUXILIO RAPIDO</t>
  </si>
  <si>
    <t>SUMINISTRO DE EQUIPAMIENTO PARA PERSONAL ADMINISTRATIVO</t>
  </si>
  <si>
    <t>SUMINISTRO DE ESTACION DE TRABAJO PARA PERSONAL ADMINISTRATIVO</t>
  </si>
  <si>
    <t>MONTAJE, INSTALACION Y CONFIGURACION DE EQUIPAMIENTO</t>
  </si>
  <si>
    <t>MONTAJE DE POSTE DE CONCRETO ARMADO CENTRIFUGADO DE 9M</t>
  </si>
  <si>
    <t>MONTAJE DE POSTE DE CONCRETO ARMADO CENTRIFUGADO DE 13M</t>
  </si>
  <si>
    <t>TENDIDO DE FIBRA OPTICA ADSS DE 2 HILOS</t>
  </si>
  <si>
    <t>TENDIDO DE FIBRA OPTICA ADSS DE 24 HILOS</t>
  </si>
  <si>
    <t>MONTAJE E NSTALACION DE Cámaras EN CADA PUNTO</t>
  </si>
  <si>
    <t>MONTAJE E INSTALACION DE ALTAVOCES IP</t>
  </si>
  <si>
    <t>MONTAJE E INSTALACION DE GABINETES EXTERIORES PARA POSTES</t>
  </si>
  <si>
    <t>SERVICIO DE GESTION DE SUMINISTRO ELECTRICO PARA PUNTO DE CAMARA DE VIDEO VIGILAN</t>
  </si>
  <si>
    <t>MONTAJE E INSTALACION DE UPS 1KVA</t>
  </si>
  <si>
    <t>MONTAJE DE TORRE TRIANGULAR VENTADA DE COMUNICACIONES DE 15M POR TRAMO</t>
  </si>
  <si>
    <t>MONTAJE E INSTALACIÓN DE POZO A TIERRA</t>
  </si>
  <si>
    <t>MONTAJE Y CONFIGURACIÓN DE REPETIDOR DIGITAL PARA RADIOCOMUNICACIÓN</t>
  </si>
  <si>
    <t>MONTAJE Y CONFIGURACION DE RADIO MÓVIL VEHICULAR</t>
  </si>
  <si>
    <t>MONTAJE E INSTALACION DE PISO TECNICO</t>
  </si>
  <si>
    <t>MONTAJE E INSTALACION DE GABINETES</t>
  </si>
  <si>
    <t>MONTAJE Y CONFIGURACION DE SISTEMA DE DETECCIÓN DE INCENDIOS</t>
  </si>
  <si>
    <t>MONTAJE E INSTALACION DE EQUIPO DE AIRE ACONDICIONADO</t>
  </si>
  <si>
    <t>MONTAJE Y CONFIGURACIÓN DE SWITCH DE DISTRIBUCIÓN DE 24 PUERTOS</t>
  </si>
  <si>
    <t>MONTAJE E INSTALACION DE UPS DE 10KVA</t>
  </si>
  <si>
    <t>MONTAJE Y CONFIGURACIÓN DE SWITCH DE ACCESO</t>
  </si>
  <si>
    <t>MONTAJE, INSTALACION Y CONFIGURACION DEL SERVIDOR PARA VIDEOVIGILANCIA</t>
  </si>
  <si>
    <t>MONTAJE E INSTALACIÓN DE CENTRAL DE TELEFONÍA IP Y TELÉFONOS IP</t>
  </si>
  <si>
    <t>MONTAJE E INSTALACIÓN DE SOFTWARE DE GEOLOCALIZACIÓN PARA RADIOCOMUNICACIÓN</t>
  </si>
  <si>
    <t>MONTAJE Y CONFIGURACION DE VIDEO WALL</t>
  </si>
  <si>
    <t>MONTAJE, INSTALACION Y CONFIGURACION DE ESTACION DE TRABAJO PARA CENTRO DE CONT</t>
  </si>
  <si>
    <t>CAPACITACION EN USO DE TIC'S</t>
  </si>
  <si>
    <t>CAPACITACION DE SISTEMA DE SEGURIDAD CIUDADANA A NIVEL DADMINISTRADOR</t>
  </si>
  <si>
    <t>SUB TOTAL</t>
  </si>
  <si>
    <t>IGV</t>
  </si>
  <si>
    <t>MONTAJE Y CONFIGURACIÓN DE SISTEMA DE CONTROL DE ACCESO PARA CENTRO DE DATOS Y CENTRO DE CONTROL</t>
  </si>
  <si>
    <t>CAPACITACION DE SISTEMA DE SEGURIDAD CIUDADANA PARA PERSONAL DE SEGURIDAD CIUDADANA</t>
  </si>
  <si>
    <t xml:space="preserve">INSTALACION DE CABLEADO ESTRUCTURADO, ELÉCTRICO Y MATERIALES FERRETEROS PARA CENTRO DE CONTROL Y MÓDULOS DE AUXILIO RÁPIDO </t>
  </si>
  <si>
    <t>DÓLARES</t>
  </si>
  <si>
    <t>SOLES</t>
  </si>
  <si>
    <t>TIPO DE CAMBIO</t>
  </si>
  <si>
    <t>SUMINISTRO DE CABLEADO ESTRUCTURADO, ELÉCTRICO Y MATERIALES FERRETEROS PARA CENTRO DE CONTROL</t>
  </si>
  <si>
    <t>SUMINISTRO DE CABLEADO ESTRUCTURADO, ELÉCTRICO Y MATERIALES FERRETEROS PARA MODULOS DE AUXILIO RAPIDO</t>
  </si>
  <si>
    <t>MONTAJE, INSTALACION Y CONFIGURACION DE ESTACION DE TRABAJO PARA MÓDULOS DE AUXILIO RÁPIDO</t>
  </si>
  <si>
    <t>SERVICIO DE GESTIÓN DE TRÁMITES PARA OTORGAMIENTO LICENCIAS DE FRECUENCIAS Y PAGO DE CANON ESPECTRO</t>
  </si>
  <si>
    <t>Indumentaria Serenazgo</t>
  </si>
  <si>
    <t>Suministro de Video Wall</t>
  </si>
  <si>
    <t>Centro de Operaciones de Segruidad Ciudadana</t>
  </si>
  <si>
    <t>Puesto de Auxilio Rápido 1</t>
  </si>
  <si>
    <t>Puesto de Auxilio Rápido 2</t>
  </si>
  <si>
    <t>PI</t>
  </si>
</sst>
</file>

<file path=xl/styles.xml><?xml version="1.0" encoding="utf-8"?>
<styleSheet xmlns="http://schemas.openxmlformats.org/spreadsheetml/2006/main">
  <numFmts count="47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&quot;S/.&quot;\ #,##0;&quot;S/.&quot;\ \-#,##0"/>
    <numFmt numFmtId="171" formatCode="&quot;S/.&quot;\ #,##0;[Red]&quot;S/.&quot;\ \-#,##0"/>
    <numFmt numFmtId="172" formatCode="&quot;S/.&quot;\ #,##0.00;&quot;S/.&quot;\ \-#,##0.00"/>
    <numFmt numFmtId="173" formatCode="&quot;S/.&quot;\ #,##0.00;[Red]&quot;S/.&quot;\ \-#,##0.00"/>
    <numFmt numFmtId="174" formatCode="_ &quot;S/.&quot;\ * #,##0_ ;_ &quot;S/.&quot;\ * \-#,##0_ ;_ &quot;S/.&quot;\ * &quot;-&quot;_ ;_ @_ "/>
    <numFmt numFmtId="175" formatCode="_ * #,##0_ ;_ * \-#,##0_ ;_ * &quot;-&quot;_ ;_ @_ "/>
    <numFmt numFmtId="176" formatCode="_ &quot;S/.&quot;\ * #,##0.00_ ;_ &quot;S/.&quot;\ * \-#,##0.00_ ;_ &quot;S/.&quot;\ * &quot;-&quot;??_ ;_ @_ "/>
    <numFmt numFmtId="177" formatCode="_ * #,##0.00_ ;_ * \-#,##0.00_ ;_ * &quot;-&quot;??_ ;_ @_ 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0.0%"/>
    <numFmt numFmtId="183" formatCode="_ * #,##0_ ;_ * \-#,##0_ ;_ * &quot;-&quot;??_ ;_ @_ "/>
    <numFmt numFmtId="184" formatCode="_([$€]\ * #,##0.00_);_([$€]\ * \(#,##0.00\);_([$€]\ * &quot;-&quot;??_);_(@_)"/>
    <numFmt numFmtId="185" formatCode="_-* #,##0.00\ _€_-;\-* #,##0.00\ _€_-;_-* &quot;-&quot;??\ _€_-;_-@_-"/>
    <numFmt numFmtId="186" formatCode="_ * #,##0.000_ ;_ * \-#,##0.000_ ;_ * &quot;-&quot;??_ ;_ @_ "/>
    <numFmt numFmtId="187" formatCode="&quot;S/.&quot;\ #,##0.00"/>
    <numFmt numFmtId="188" formatCode="0.0"/>
    <numFmt numFmtId="189" formatCode="0.000"/>
    <numFmt numFmtId="190" formatCode="0.0000"/>
    <numFmt numFmtId="191" formatCode="_ * #,##0.0000_ ;_ * \-#,##0.0000_ ;_ * &quot;-&quot;????_ ;_ @_ "/>
    <numFmt numFmtId="192" formatCode="_ * #,##0.0_ ;_ * \-#,##0.0_ ;_ * &quot;-&quot;??_ ;_ @_ "/>
    <numFmt numFmtId="193" formatCode="#,##0.00_);\-#,##0.00"/>
    <numFmt numFmtId="194" formatCode="#,##0.00_ ;\-#,##0.00\ "/>
    <numFmt numFmtId="195" formatCode="#,##0.0000_);\-#,##0.0000"/>
    <numFmt numFmtId="196" formatCode="dd/mm/yyyy&quot;  &quot;hh&quot;:&quot;mm&quot;:&quot;ss\ AM/PM"/>
    <numFmt numFmtId="197" formatCode="[$$-409]#,##0.00"/>
    <numFmt numFmtId="198" formatCode="[$S/.-280A]\ #,##0.00"/>
    <numFmt numFmtId="199" formatCode="00"/>
    <numFmt numFmtId="200" formatCode="_ * #,##0.0000_ ;_ * \-#,##0.0000_ ;_ * &quot;-&quot;??_ ;_ @_ "/>
    <numFmt numFmtId="201" formatCode="#,##0.000_);\-#,##0.000"/>
    <numFmt numFmtId="202" formatCode="#,##0.0_);\-#,##0.0"/>
  </numFmts>
  <fonts count="12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 val="single"/>
      <sz val="10"/>
      <name val="Comic Sans MS"/>
      <family val="4"/>
    </font>
    <font>
      <sz val="8"/>
      <name val="Comic Sans MS"/>
      <family val="4"/>
    </font>
    <font>
      <sz val="9"/>
      <name val="Arial Narrow"/>
      <family val="2"/>
    </font>
    <font>
      <i/>
      <sz val="8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sz val="8"/>
      <color indexed="8"/>
      <name val="Arial Narrow"/>
      <family val="2"/>
    </font>
    <font>
      <sz val="10"/>
      <color indexed="8"/>
      <name val="MS Sans Serif"/>
      <family val="2"/>
    </font>
    <font>
      <sz val="6.35"/>
      <color indexed="8"/>
      <name val="Arial Narrow"/>
      <family val="2"/>
    </font>
    <font>
      <sz val="7.1"/>
      <color indexed="8"/>
      <name val="Arial Narrow"/>
      <family val="2"/>
    </font>
    <font>
      <b/>
      <sz val="8.05"/>
      <color indexed="8"/>
      <name val="Arial Narrow"/>
      <family val="2"/>
    </font>
    <font>
      <b/>
      <sz val="11.05"/>
      <color indexed="8"/>
      <name val="Arial"/>
      <family val="2"/>
    </font>
    <font>
      <sz val="8.05"/>
      <color indexed="8"/>
      <name val="Arial Narrow"/>
      <family val="2"/>
    </font>
    <font>
      <sz val="6.85"/>
      <color indexed="8"/>
      <name val="Arial Narrow"/>
      <family val="2"/>
    </font>
    <font>
      <b/>
      <sz val="7.9"/>
      <color indexed="8"/>
      <name val="Arial"/>
      <family val="2"/>
    </font>
    <font>
      <b/>
      <sz val="6.85"/>
      <color indexed="8"/>
      <name val="Arial Narrow"/>
      <family val="2"/>
    </font>
    <font>
      <b/>
      <sz val="10"/>
      <color indexed="8"/>
      <name val="MS Sans Serif"/>
      <family val="2"/>
    </font>
    <font>
      <sz val="10"/>
      <color indexed="8"/>
      <name val="Arial Narrow"/>
      <family val="2"/>
    </font>
    <font>
      <sz val="7"/>
      <name val="Arial Narrow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7.5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i/>
      <sz val="10"/>
      <color indexed="8"/>
      <name val="Arial"/>
      <family val="2"/>
    </font>
    <font>
      <b/>
      <sz val="8"/>
      <color indexed="9"/>
      <name val="Arial Narrow"/>
      <family val="2"/>
    </font>
    <font>
      <sz val="11"/>
      <name val="Calibri"/>
      <family val="2"/>
    </font>
    <font>
      <b/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10"/>
      <color indexed="8"/>
      <name val="Calibri"/>
      <family val="2"/>
    </font>
    <font>
      <b/>
      <sz val="10"/>
      <color indexed="8"/>
      <name val="Arial Narrow"/>
      <family val="2"/>
    </font>
    <font>
      <b/>
      <sz val="12"/>
      <color indexed="8"/>
      <name val="Arial Narrow"/>
      <family val="2"/>
    </font>
    <font>
      <b/>
      <sz val="9"/>
      <color indexed="8"/>
      <name val="Arial Narrow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6"/>
      <color indexed="8"/>
      <name val="Calibri"/>
      <family val="2"/>
    </font>
    <font>
      <b/>
      <sz val="12"/>
      <color indexed="8"/>
      <name val="Arial"/>
      <family val="2"/>
    </font>
    <font>
      <sz val="7.1"/>
      <color indexed="8"/>
      <name val="Calibri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7.5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rgb="FFFFFFFF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rgb="FF000000"/>
      <name val="Arial"/>
      <family val="2"/>
    </font>
    <font>
      <sz val="10"/>
      <color theme="0"/>
      <name val="Arial"/>
      <family val="2"/>
    </font>
    <font>
      <b/>
      <sz val="10"/>
      <color rgb="FF000000"/>
      <name val="Arial"/>
      <family val="2"/>
    </font>
    <font>
      <b/>
      <i/>
      <sz val="10"/>
      <color theme="0"/>
      <name val="Arial"/>
      <family val="2"/>
    </font>
    <font>
      <b/>
      <i/>
      <sz val="10"/>
      <color theme="1"/>
      <name val="Arial"/>
      <family val="2"/>
    </font>
    <font>
      <b/>
      <sz val="8"/>
      <color theme="0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sz val="8"/>
      <color theme="0"/>
      <name val="Arial Narrow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Calibri"/>
      <family val="2"/>
    </font>
    <font>
      <b/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sz val="9"/>
      <color theme="1"/>
      <name val="Arial Narrow"/>
      <family val="2"/>
    </font>
    <font>
      <b/>
      <sz val="9"/>
      <color theme="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16"/>
      <color theme="1"/>
      <name val="Calibri"/>
      <family val="2"/>
    </font>
    <font>
      <i/>
      <sz val="10"/>
      <color theme="1"/>
      <name val="Arial"/>
      <family val="2"/>
    </font>
    <font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3D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4F81BC"/>
        <bgColor indexed="64"/>
      </patternFill>
    </fill>
    <fill>
      <patternFill patternType="solid">
        <fgColor rgb="FFDBE4F0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-0.4999699890613556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>
        <color indexed="63"/>
      </left>
      <right style="medium">
        <color rgb="FF4F81BD"/>
      </right>
      <top>
        <color indexed="63"/>
      </top>
      <bottom style="medium">
        <color rgb="FF4F81BD"/>
      </bottom>
    </border>
    <border>
      <left style="medium">
        <color rgb="FF4F81BD"/>
      </left>
      <right style="medium">
        <color rgb="FF4F81BD"/>
      </right>
      <top>
        <color indexed="63"/>
      </top>
      <bottom style="medium">
        <color rgb="FF4F81BD"/>
      </bottom>
    </border>
    <border>
      <left/>
      <right style="medium"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/>
      <right/>
      <top/>
      <bottom style="thin"/>
    </border>
    <border>
      <left style="thick">
        <color rgb="FF000000"/>
      </left>
      <right>
        <color indexed="63"/>
      </right>
      <top style="thick">
        <color rgb="FF000000"/>
      </top>
      <bottom style="thick">
        <color rgb="FF000000"/>
      </bottom>
    </border>
    <border>
      <left>
        <color indexed="63"/>
      </left>
      <right>
        <color indexed="63"/>
      </right>
      <top style="thick">
        <color rgb="FF000000"/>
      </top>
      <bottom style="thick">
        <color rgb="FF000000"/>
      </bottom>
    </border>
    <border>
      <left>
        <color indexed="63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000000"/>
      </right>
      <top>
        <color indexed="63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thick">
        <color rgb="FF000000"/>
      </right>
      <top>
        <color indexed="63"/>
      </top>
      <bottom>
        <color indexed="63"/>
      </bottom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>
        <color indexed="63"/>
      </bottom>
    </border>
    <border>
      <left style="medium">
        <color rgb="FF4F81BD"/>
      </left>
      <right>
        <color indexed="63"/>
      </right>
      <top style="medium">
        <color rgb="FF4F81BD"/>
      </top>
      <bottom style="medium">
        <color rgb="FF4F81BD"/>
      </bottom>
    </border>
    <border>
      <left>
        <color indexed="63"/>
      </left>
      <right>
        <color indexed="63"/>
      </right>
      <top style="medium">
        <color rgb="FF4F81BD"/>
      </top>
      <bottom style="medium">
        <color rgb="FF4F81BD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2" fillId="20" borderId="0" applyNumberFormat="0" applyBorder="0" applyAlignment="0" applyProtection="0"/>
    <xf numFmtId="0" fontId="73" fillId="21" borderId="1" applyNumberFormat="0" applyAlignment="0" applyProtection="0"/>
    <xf numFmtId="197" fontId="4" fillId="0" borderId="0">
      <alignment/>
      <protection/>
    </xf>
    <xf numFmtId="0" fontId="74" fillId="22" borderId="2" applyNumberFormat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0" applyNumberFormat="0" applyFill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8" fillId="29" borderId="1" applyNumberFormat="0" applyAlignment="0" applyProtection="0"/>
    <xf numFmtId="184" fontId="4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82" fillId="31" borderId="0" applyNumberFormat="0" applyBorder="0" applyAlignment="0" applyProtection="0"/>
    <xf numFmtId="0" fontId="4" fillId="0" borderId="0">
      <alignment/>
      <protection/>
    </xf>
    <xf numFmtId="0" fontId="2" fillId="0" borderId="0">
      <alignment vertical="top"/>
      <protection/>
    </xf>
    <xf numFmtId="0" fontId="0" fillId="0" borderId="0">
      <alignment/>
      <protection/>
    </xf>
    <xf numFmtId="0" fontId="13" fillId="0" borderId="0">
      <alignment/>
      <protection/>
    </xf>
    <xf numFmtId="0" fontId="2" fillId="0" borderId="0">
      <alignment vertical="top"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83" fillId="21" borderId="6" applyNumberFormat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7" applyNumberFormat="0" applyFill="0" applyAlignment="0" applyProtection="0"/>
    <xf numFmtId="0" fontId="77" fillId="0" borderId="8" applyNumberFormat="0" applyFill="0" applyAlignment="0" applyProtection="0"/>
    <xf numFmtId="0" fontId="88" fillId="0" borderId="9" applyNumberFormat="0" applyFill="0" applyAlignment="0" applyProtection="0"/>
  </cellStyleXfs>
  <cellXfs count="480">
    <xf numFmtId="0" fontId="0" fillId="0" borderId="0" xfId="0" applyFont="1" applyAlignment="1">
      <alignment/>
    </xf>
    <xf numFmtId="0" fontId="0" fillId="0" borderId="0" xfId="0" applyAlignment="1">
      <alignment/>
    </xf>
    <xf numFmtId="0" fontId="89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/>
    </xf>
    <xf numFmtId="0" fontId="90" fillId="0" borderId="0" xfId="0" applyFont="1" applyAlignment="1">
      <alignment wrapText="1"/>
    </xf>
    <xf numFmtId="9" fontId="0" fillId="0" borderId="0" xfId="63" applyFont="1" applyAlignment="1">
      <alignment/>
    </xf>
    <xf numFmtId="177" fontId="0" fillId="0" borderId="0" xfId="51" applyFont="1" applyAlignment="1">
      <alignment/>
    </xf>
    <xf numFmtId="0" fontId="0" fillId="0" borderId="0" xfId="0" applyAlignment="1">
      <alignment wrapText="1"/>
    </xf>
    <xf numFmtId="10" fontId="0" fillId="0" borderId="0" xfId="63" applyNumberFormat="1" applyFont="1" applyAlignment="1">
      <alignment/>
    </xf>
    <xf numFmtId="0" fontId="91" fillId="0" borderId="0" xfId="0" applyFont="1" applyAlignment="1">
      <alignment/>
    </xf>
    <xf numFmtId="0" fontId="0" fillId="0" borderId="0" xfId="0" applyAlignment="1">
      <alignment/>
    </xf>
    <xf numFmtId="0" fontId="92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177" fontId="90" fillId="0" borderId="0" xfId="51" applyFont="1" applyAlignment="1">
      <alignment wrapText="1"/>
    </xf>
    <xf numFmtId="10" fontId="90" fillId="34" borderId="0" xfId="0" applyNumberFormat="1" applyFont="1" applyFill="1" applyAlignment="1">
      <alignment wrapText="1"/>
    </xf>
    <xf numFmtId="0" fontId="93" fillId="35" borderId="11" xfId="0" applyFont="1" applyFill="1" applyBorder="1" applyAlignment="1">
      <alignment horizontal="right" vertical="center" wrapText="1"/>
    </xf>
    <xf numFmtId="0" fontId="94" fillId="36" borderId="12" xfId="0" applyFont="1" applyFill="1" applyBorder="1" applyAlignment="1">
      <alignment horizontal="center" vertical="center" wrapText="1"/>
    </xf>
    <xf numFmtId="0" fontId="94" fillId="36" borderId="12" xfId="0" applyFont="1" applyFill="1" applyBorder="1" applyAlignment="1">
      <alignment horizontal="right" vertical="center" wrapText="1"/>
    </xf>
    <xf numFmtId="0" fontId="94" fillId="0" borderId="13" xfId="0" applyFont="1" applyBorder="1" applyAlignment="1">
      <alignment vertical="center" wrapText="1"/>
    </xf>
    <xf numFmtId="177" fontId="0" fillId="0" borderId="10" xfId="51" applyFont="1" applyBorder="1" applyAlignment="1">
      <alignment/>
    </xf>
    <xf numFmtId="10" fontId="0" fillId="0" borderId="10" xfId="0" applyNumberFormat="1" applyBorder="1" applyAlignment="1">
      <alignment horizontal="center" vertical="center"/>
    </xf>
    <xf numFmtId="0" fontId="88" fillId="0" borderId="10" xfId="0" applyFont="1" applyBorder="1" applyAlignment="1">
      <alignment horizontal="center" vertical="center" wrapText="1"/>
    </xf>
    <xf numFmtId="177" fontId="95" fillId="0" borderId="12" xfId="51" applyFont="1" applyBorder="1" applyAlignment="1">
      <alignment horizontal="center" vertical="center" wrapText="1"/>
    </xf>
    <xf numFmtId="0" fontId="96" fillId="0" borderId="0" xfId="0" applyFont="1" applyAlignment="1">
      <alignment/>
    </xf>
    <xf numFmtId="0" fontId="97" fillId="0" borderId="0" xfId="0" applyFont="1" applyAlignment="1">
      <alignment horizontal="center" vertical="center"/>
    </xf>
    <xf numFmtId="0" fontId="98" fillId="27" borderId="10" xfId="0" applyFont="1" applyFill="1" applyBorder="1" applyAlignment="1">
      <alignment vertical="center"/>
    </xf>
    <xf numFmtId="0" fontId="98" fillId="27" borderId="10" xfId="0" applyFont="1" applyFill="1" applyBorder="1" applyAlignment="1">
      <alignment horizontal="center" vertical="center"/>
    </xf>
    <xf numFmtId="0" fontId="96" fillId="0" borderId="0" xfId="0" applyFont="1" applyFill="1" applyAlignment="1">
      <alignment/>
    </xf>
    <xf numFmtId="0" fontId="99" fillId="0" borderId="10" xfId="0" applyFont="1" applyFill="1" applyBorder="1" applyAlignment="1">
      <alignment vertical="center" wrapText="1"/>
    </xf>
    <xf numFmtId="0" fontId="99" fillId="0" borderId="10" xfId="0" applyFont="1" applyFill="1" applyBorder="1" applyAlignment="1">
      <alignment horizontal="center" vertical="center" wrapText="1"/>
    </xf>
    <xf numFmtId="177" fontId="96" fillId="0" borderId="0" xfId="51" applyFont="1" applyAlignment="1">
      <alignment horizontal="center" vertical="center"/>
    </xf>
    <xf numFmtId="177" fontId="96" fillId="0" borderId="0" xfId="0" applyNumberFormat="1" applyFont="1" applyAlignment="1">
      <alignment/>
    </xf>
    <xf numFmtId="3" fontId="98" fillId="27" borderId="10" xfId="0" applyNumberFormat="1" applyFont="1" applyFill="1" applyBorder="1" applyAlignment="1">
      <alignment horizontal="center" vertical="center"/>
    </xf>
    <xf numFmtId="0" fontId="97" fillId="0" borderId="0" xfId="0" applyFont="1" applyFill="1" applyAlignment="1">
      <alignment horizontal="left" vertical="center"/>
    </xf>
    <xf numFmtId="9" fontId="99" fillId="0" borderId="10" xfId="0" applyNumberFormat="1" applyFont="1" applyFill="1" applyBorder="1" applyAlignment="1">
      <alignment horizontal="center" vertical="center"/>
    </xf>
    <xf numFmtId="0" fontId="99" fillId="0" borderId="10" xfId="0" applyFont="1" applyFill="1" applyBorder="1" applyAlignment="1">
      <alignment horizontal="center" vertical="center"/>
    </xf>
    <xf numFmtId="177" fontId="96" fillId="0" borderId="0" xfId="51" applyFont="1" applyAlignment="1">
      <alignment/>
    </xf>
    <xf numFmtId="0" fontId="100" fillId="27" borderId="10" xfId="0" applyFont="1" applyFill="1" applyBorder="1" applyAlignment="1">
      <alignment vertical="center"/>
    </xf>
    <xf numFmtId="0" fontId="99" fillId="0" borderId="14" xfId="0" applyFont="1" applyFill="1" applyBorder="1" applyAlignment="1">
      <alignment vertical="center"/>
    </xf>
    <xf numFmtId="0" fontId="97" fillId="0" borderId="0" xfId="0" applyFont="1" applyFill="1" applyAlignment="1">
      <alignment/>
    </xf>
    <xf numFmtId="0" fontId="98" fillId="27" borderId="10" xfId="0" applyFont="1" applyFill="1" applyBorder="1" applyAlignment="1">
      <alignment vertical="center" wrapText="1"/>
    </xf>
    <xf numFmtId="3" fontId="99" fillId="0" borderId="10" xfId="0" applyNumberFormat="1" applyFont="1" applyFill="1" applyBorder="1" applyAlignment="1">
      <alignment horizontal="center" vertical="center"/>
    </xf>
    <xf numFmtId="0" fontId="98" fillId="27" borderId="10" xfId="0" applyFont="1" applyFill="1" applyBorder="1" applyAlignment="1">
      <alignment horizontal="center" vertical="center" wrapText="1"/>
    </xf>
    <xf numFmtId="0" fontId="96" fillId="0" borderId="10" xfId="0" applyFont="1" applyFill="1" applyBorder="1" applyAlignment="1">
      <alignment horizontal="center" vertical="center"/>
    </xf>
    <xf numFmtId="0" fontId="96" fillId="0" borderId="10" xfId="0" applyFont="1" applyBorder="1" applyAlignment="1">
      <alignment horizontal="center" vertical="center"/>
    </xf>
    <xf numFmtId="177" fontId="96" fillId="0" borderId="10" xfId="51" applyFont="1" applyBorder="1" applyAlignment="1">
      <alignment horizontal="center" vertical="center"/>
    </xf>
    <xf numFmtId="1" fontId="98" fillId="27" borderId="10" xfId="0" applyNumberFormat="1" applyFont="1" applyFill="1" applyBorder="1" applyAlignment="1">
      <alignment/>
    </xf>
    <xf numFmtId="183" fontId="96" fillId="0" borderId="10" xfId="0" applyNumberFormat="1" applyFont="1" applyBorder="1" applyAlignment="1">
      <alignment horizontal="center" vertical="center"/>
    </xf>
    <xf numFmtId="1" fontId="96" fillId="0" borderId="0" xfId="0" applyNumberFormat="1" applyFont="1" applyAlignment="1">
      <alignment/>
    </xf>
    <xf numFmtId="177" fontId="97" fillId="0" borderId="0" xfId="0" applyNumberFormat="1" applyFont="1" applyAlignment="1">
      <alignment/>
    </xf>
    <xf numFmtId="2" fontId="98" fillId="27" borderId="10" xfId="0" applyNumberFormat="1" applyFont="1" applyFill="1" applyBorder="1" applyAlignment="1">
      <alignment horizontal="center" vertical="center" wrapText="1"/>
    </xf>
    <xf numFmtId="183" fontId="96" fillId="0" borderId="10" xfId="51" applyNumberFormat="1" applyFont="1" applyBorder="1" applyAlignment="1">
      <alignment horizontal="center" vertical="center"/>
    </xf>
    <xf numFmtId="1" fontId="96" fillId="0" borderId="10" xfId="0" applyNumberFormat="1" applyFont="1" applyBorder="1" applyAlignment="1">
      <alignment horizontal="center" vertical="center"/>
    </xf>
    <xf numFmtId="1" fontId="96" fillId="0" borderId="10" xfId="0" applyNumberFormat="1" applyFont="1" applyBorder="1" applyAlignment="1">
      <alignment vertical="center"/>
    </xf>
    <xf numFmtId="183" fontId="98" fillId="27" borderId="10" xfId="51" applyNumberFormat="1" applyFont="1" applyFill="1" applyBorder="1" applyAlignment="1">
      <alignment horizontal="center" vertical="center" wrapText="1"/>
    </xf>
    <xf numFmtId="183" fontId="98" fillId="27" borderId="10" xfId="51" applyNumberFormat="1" applyFont="1" applyFill="1" applyBorder="1" applyAlignment="1">
      <alignment vertical="center" wrapText="1"/>
    </xf>
    <xf numFmtId="10" fontId="98" fillId="27" borderId="10" xfId="63" applyNumberFormat="1" applyFont="1" applyFill="1" applyBorder="1" applyAlignment="1">
      <alignment/>
    </xf>
    <xf numFmtId="177" fontId="96" fillId="0" borderId="10" xfId="0" applyNumberFormat="1" applyFont="1" applyBorder="1" applyAlignment="1">
      <alignment horizontal="center" vertical="center"/>
    </xf>
    <xf numFmtId="0" fontId="99" fillId="34" borderId="10" xfId="0" applyFont="1" applyFill="1" applyBorder="1" applyAlignment="1">
      <alignment horizontal="center" vertical="center" wrapText="1"/>
    </xf>
    <xf numFmtId="1" fontId="98" fillId="27" borderId="10" xfId="0" applyNumberFormat="1" applyFon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97" fillId="37" borderId="10" xfId="0" applyFont="1" applyFill="1" applyBorder="1" applyAlignment="1">
      <alignment horizontal="center" vertical="center"/>
    </xf>
    <xf numFmtId="0" fontId="97" fillId="37" borderId="10" xfId="0" applyFont="1" applyFill="1" applyBorder="1" applyAlignment="1">
      <alignment horizontal="center" vertical="center" wrapText="1"/>
    </xf>
    <xf numFmtId="0" fontId="97" fillId="0" borderId="10" xfId="0" applyFont="1" applyBorder="1" applyAlignment="1">
      <alignment horizontal="justify" vertical="center" wrapText="1"/>
    </xf>
    <xf numFmtId="177" fontId="97" fillId="0" borderId="10" xfId="51" applyFont="1" applyBorder="1" applyAlignment="1">
      <alignment horizontal="center" vertical="center"/>
    </xf>
    <xf numFmtId="0" fontId="96" fillId="0" borderId="10" xfId="0" applyFont="1" applyBorder="1" applyAlignment="1">
      <alignment/>
    </xf>
    <xf numFmtId="0" fontId="96" fillId="0" borderId="10" xfId="0" applyFont="1" applyBorder="1" applyAlignment="1">
      <alignment horizontal="justify" vertical="center" wrapText="1"/>
    </xf>
    <xf numFmtId="177" fontId="96" fillId="0" borderId="10" xfId="51" applyFont="1" applyBorder="1" applyAlignment="1">
      <alignment/>
    </xf>
    <xf numFmtId="0" fontId="96" fillId="0" borderId="10" xfId="0" applyFont="1" applyBorder="1" applyAlignment="1">
      <alignment horizontal="justify" vertical="center"/>
    </xf>
    <xf numFmtId="177" fontId="97" fillId="37" borderId="10" xfId="0" applyNumberFormat="1" applyFont="1" applyFill="1" applyBorder="1" applyAlignment="1">
      <alignment horizontal="center" vertical="center"/>
    </xf>
    <xf numFmtId="0" fontId="97" fillId="0" borderId="0" xfId="0" applyFont="1" applyAlignment="1">
      <alignment/>
    </xf>
    <xf numFmtId="0" fontId="97" fillId="27" borderId="10" xfId="0" applyFont="1" applyFill="1" applyBorder="1" applyAlignment="1">
      <alignment horizontal="center" vertical="center" wrapText="1"/>
    </xf>
    <xf numFmtId="0" fontId="99" fillId="0" borderId="10" xfId="0" applyFont="1" applyBorder="1" applyAlignment="1">
      <alignment horizontal="center" vertical="center"/>
    </xf>
    <xf numFmtId="1" fontId="99" fillId="0" borderId="10" xfId="0" applyNumberFormat="1" applyFont="1" applyBorder="1" applyAlignment="1">
      <alignment horizontal="center" vertical="center"/>
    </xf>
    <xf numFmtId="177" fontId="99" fillId="0" borderId="10" xfId="51" applyFont="1" applyBorder="1" applyAlignment="1">
      <alignment horizontal="center" vertical="center"/>
    </xf>
    <xf numFmtId="177" fontId="99" fillId="0" borderId="10" xfId="0" applyNumberFormat="1" applyFont="1" applyBorder="1" applyAlignment="1">
      <alignment horizontal="center" vertical="center"/>
    </xf>
    <xf numFmtId="177" fontId="96" fillId="0" borderId="10" xfId="0" applyNumberFormat="1" applyFont="1" applyBorder="1" applyAlignment="1">
      <alignment/>
    </xf>
    <xf numFmtId="177" fontId="101" fillId="0" borderId="15" xfId="0" applyNumberFormat="1" applyFont="1" applyBorder="1" applyAlignment="1">
      <alignment horizontal="center" vertical="center"/>
    </xf>
    <xf numFmtId="0" fontId="101" fillId="0" borderId="0" xfId="0" applyFont="1" applyBorder="1" applyAlignment="1">
      <alignment horizontal="center" vertical="center"/>
    </xf>
    <xf numFmtId="177" fontId="101" fillId="0" borderId="0" xfId="0" applyNumberFormat="1" applyFont="1" applyBorder="1" applyAlignment="1">
      <alignment horizontal="center" vertical="center"/>
    </xf>
    <xf numFmtId="4" fontId="99" fillId="0" borderId="10" xfId="0" applyNumberFormat="1" applyFont="1" applyBorder="1" applyAlignment="1">
      <alignment horizontal="center" vertical="center"/>
    </xf>
    <xf numFmtId="0" fontId="96" fillId="0" borderId="10" xfId="0" applyFont="1" applyBorder="1" applyAlignment="1">
      <alignment horizontal="right" vertical="center"/>
    </xf>
    <xf numFmtId="177" fontId="101" fillId="0" borderId="10" xfId="0" applyNumberFormat="1" applyFont="1" applyBorder="1" applyAlignment="1">
      <alignment horizontal="center" vertical="center"/>
    </xf>
    <xf numFmtId="177" fontId="97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0" fontId="102" fillId="27" borderId="10" xfId="0" applyFont="1" applyFill="1" applyBorder="1" applyAlignment="1">
      <alignment horizontal="center"/>
    </xf>
    <xf numFmtId="0" fontId="98" fillId="27" borderId="10" xfId="0" applyFont="1" applyFill="1" applyBorder="1" applyAlignment="1">
      <alignment/>
    </xf>
    <xf numFmtId="3" fontId="96" fillId="0" borderId="10" xfId="0" applyNumberFormat="1" applyFont="1" applyFill="1" applyBorder="1" applyAlignment="1">
      <alignment/>
    </xf>
    <xf numFmtId="3" fontId="103" fillId="0" borderId="10" xfId="0" applyNumberFormat="1" applyFont="1" applyFill="1" applyBorder="1" applyAlignment="1">
      <alignment horizontal="center"/>
    </xf>
    <xf numFmtId="3" fontId="100" fillId="27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2" fontId="104" fillId="27" borderId="10" xfId="0" applyNumberFormat="1" applyFont="1" applyFill="1" applyBorder="1" applyAlignment="1">
      <alignment horizontal="center" vertical="center"/>
    </xf>
    <xf numFmtId="1" fontId="104" fillId="27" borderId="10" xfId="0" applyNumberFormat="1" applyFont="1" applyFill="1" applyBorder="1" applyAlignment="1">
      <alignment horizontal="center" vertical="center"/>
    </xf>
    <xf numFmtId="0" fontId="104" fillId="27" borderId="10" xfId="0" applyFont="1" applyFill="1" applyBorder="1" applyAlignment="1">
      <alignment horizontal="center" vertical="center" wrapText="1"/>
    </xf>
    <xf numFmtId="3" fontId="104" fillId="27" borderId="10" xfId="0" applyNumberFormat="1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10" fontId="104" fillId="27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0" fontId="9" fillId="0" borderId="0" xfId="63" applyNumberFormat="1" applyFont="1" applyFill="1" applyBorder="1" applyAlignment="1" applyProtection="1">
      <alignment/>
      <protection locked="0"/>
    </xf>
    <xf numFmtId="3" fontId="6" fillId="0" borderId="0" xfId="0" applyNumberFormat="1" applyFont="1" applyFill="1" applyBorder="1" applyAlignment="1">
      <alignment/>
    </xf>
    <xf numFmtId="0" fontId="104" fillId="27" borderId="17" xfId="0" applyFont="1" applyFill="1" applyBorder="1" applyAlignment="1">
      <alignment vertical="center"/>
    </xf>
    <xf numFmtId="173" fontId="104" fillId="27" borderId="18" xfId="0" applyNumberFormat="1" applyFont="1" applyFill="1" applyBorder="1" applyAlignment="1">
      <alignment vertical="center"/>
    </xf>
    <xf numFmtId="0" fontId="104" fillId="27" borderId="18" xfId="0" applyFont="1" applyFill="1" applyBorder="1" applyAlignment="1">
      <alignment vertical="center"/>
    </xf>
    <xf numFmtId="0" fontId="104" fillId="27" borderId="19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/>
    </xf>
    <xf numFmtId="0" fontId="104" fillId="27" borderId="19" xfId="0" applyFont="1" applyFill="1" applyBorder="1" applyAlignment="1">
      <alignment vertical="center"/>
    </xf>
    <xf numFmtId="173" fontId="10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2" fontId="98" fillId="27" borderId="10" xfId="0" applyNumberFormat="1" applyFont="1" applyFill="1" applyBorder="1" applyAlignment="1">
      <alignment vertical="center"/>
    </xf>
    <xf numFmtId="177" fontId="4" fillId="0" borderId="10" xfId="51" applyFont="1" applyFill="1" applyBorder="1" applyAlignment="1">
      <alignment vertical="center"/>
    </xf>
    <xf numFmtId="177" fontId="3" fillId="0" borderId="10" xfId="51" applyFont="1" applyFill="1" applyBorder="1" applyAlignment="1">
      <alignment vertical="center"/>
    </xf>
    <xf numFmtId="177" fontId="0" fillId="0" borderId="0" xfId="0" applyNumberFormat="1" applyFill="1" applyAlignment="1">
      <alignment/>
    </xf>
    <xf numFmtId="177" fontId="4" fillId="0" borderId="10" xfId="51" applyFont="1" applyFill="1" applyBorder="1" applyAlignment="1">
      <alignment horizontal="center" vertical="center"/>
    </xf>
    <xf numFmtId="177" fontId="3" fillId="0" borderId="10" xfId="51" applyFont="1" applyFill="1" applyBorder="1" applyAlignment="1">
      <alignment horizontal="center" vertical="center"/>
    </xf>
    <xf numFmtId="177" fontId="4" fillId="0" borderId="20" xfId="51" applyFont="1" applyFill="1" applyBorder="1" applyAlignment="1">
      <alignment vertical="center"/>
    </xf>
    <xf numFmtId="173" fontId="98" fillId="27" borderId="10" xfId="0" applyNumberFormat="1" applyFont="1" applyFill="1" applyBorder="1" applyAlignment="1">
      <alignment vertical="center"/>
    </xf>
    <xf numFmtId="10" fontId="98" fillId="27" borderId="10" xfId="0" applyNumberFormat="1" applyFont="1" applyFill="1" applyBorder="1" applyAlignment="1">
      <alignment vertical="center"/>
    </xf>
    <xf numFmtId="2" fontId="98" fillId="27" borderId="10" xfId="0" applyNumberFormat="1" applyFont="1" applyFill="1" applyBorder="1" applyAlignment="1">
      <alignment/>
    </xf>
    <xf numFmtId="9" fontId="6" fillId="0" borderId="0" xfId="0" applyNumberFormat="1" applyFont="1" applyFill="1" applyAlignment="1">
      <alignment/>
    </xf>
    <xf numFmtId="1" fontId="6" fillId="0" borderId="0" xfId="51" applyNumberFormat="1" applyFont="1" applyFill="1" applyAlignment="1">
      <alignment/>
    </xf>
    <xf numFmtId="0" fontId="74" fillId="27" borderId="10" xfId="0" applyFont="1" applyFill="1" applyBorder="1" applyAlignment="1">
      <alignment/>
    </xf>
    <xf numFmtId="0" fontId="74" fillId="27" borderId="10" xfId="0" applyFont="1" applyFill="1" applyBorder="1" applyAlignment="1">
      <alignment wrapText="1"/>
    </xf>
    <xf numFmtId="183" fontId="0" fillId="0" borderId="10" xfId="51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183" fontId="74" fillId="27" borderId="10" xfId="51" applyNumberFormat="1" applyFont="1" applyFill="1" applyBorder="1" applyAlignment="1">
      <alignment horizontal="center" vertical="center" wrapText="1"/>
    </xf>
    <xf numFmtId="183" fontId="0" fillId="0" borderId="0" xfId="51" applyNumberFormat="1" applyFont="1" applyFill="1" applyAlignment="1">
      <alignment horizontal="center" vertical="center" wrapText="1"/>
    </xf>
    <xf numFmtId="183" fontId="0" fillId="0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183" fontId="0" fillId="0" borderId="0" xfId="0" applyNumberFormat="1" applyFill="1" applyBorder="1" applyAlignment="1">
      <alignment/>
    </xf>
    <xf numFmtId="186" fontId="0" fillId="0" borderId="0" xfId="0" applyNumberFormat="1" applyFill="1" applyBorder="1" applyAlignment="1">
      <alignment/>
    </xf>
    <xf numFmtId="1" fontId="74" fillId="27" borderId="10" xfId="0" applyNumberFormat="1" applyFont="1" applyFill="1" applyBorder="1" applyAlignment="1">
      <alignment horizontal="right" vertical="center"/>
    </xf>
    <xf numFmtId="177" fontId="0" fillId="0" borderId="10" xfId="51" applyFont="1" applyFill="1" applyBorder="1" applyAlignment="1">
      <alignment horizontal="center" vertical="center"/>
    </xf>
    <xf numFmtId="177" fontId="74" fillId="27" borderId="10" xfId="0" applyNumberFormat="1" applyFont="1" applyFill="1" applyBorder="1" applyAlignment="1">
      <alignment/>
    </xf>
    <xf numFmtId="172" fontId="58" fillId="0" borderId="10" xfId="0" applyNumberFormat="1" applyFont="1" applyFill="1" applyBorder="1" applyAlignment="1">
      <alignment/>
    </xf>
    <xf numFmtId="0" fontId="74" fillId="27" borderId="10" xfId="0" applyFont="1" applyFill="1" applyBorder="1" applyAlignment="1">
      <alignment horizontal="left" vertical="center"/>
    </xf>
    <xf numFmtId="2" fontId="74" fillId="27" borderId="10" xfId="0" applyNumberFormat="1" applyFont="1" applyFill="1" applyBorder="1" applyAlignment="1">
      <alignment horizontal="center" vertical="center"/>
    </xf>
    <xf numFmtId="0" fontId="74" fillId="27" borderId="10" xfId="0" applyFont="1" applyFill="1" applyBorder="1" applyAlignment="1">
      <alignment horizontal="center" vertical="center" wrapText="1"/>
    </xf>
    <xf numFmtId="9" fontId="0" fillId="0" borderId="0" xfId="0" applyNumberFormat="1" applyFill="1" applyAlignment="1">
      <alignment/>
    </xf>
    <xf numFmtId="0" fontId="96" fillId="0" borderId="10" xfId="0" applyFont="1" applyFill="1" applyBorder="1" applyAlignment="1">
      <alignment/>
    </xf>
    <xf numFmtId="177" fontId="96" fillId="0" borderId="10" xfId="51" applyFont="1" applyFill="1" applyBorder="1" applyAlignment="1">
      <alignment/>
    </xf>
    <xf numFmtId="2" fontId="96" fillId="0" borderId="10" xfId="0" applyNumberFormat="1" applyFont="1" applyFill="1" applyBorder="1" applyAlignment="1">
      <alignment/>
    </xf>
    <xf numFmtId="177" fontId="96" fillId="0" borderId="10" xfId="0" applyNumberFormat="1" applyFont="1" applyFill="1" applyBorder="1" applyAlignment="1">
      <alignment/>
    </xf>
    <xf numFmtId="9" fontId="96" fillId="0" borderId="10" xfId="0" applyNumberFormat="1" applyFont="1" applyFill="1" applyBorder="1" applyAlignment="1">
      <alignment/>
    </xf>
    <xf numFmtId="177" fontId="0" fillId="0" borderId="0" xfId="51" applyFont="1" applyFill="1" applyAlignment="1">
      <alignment/>
    </xf>
    <xf numFmtId="183" fontId="4" fillId="0" borderId="10" xfId="51" applyNumberFormat="1" applyFont="1" applyFill="1" applyBorder="1" applyAlignment="1">
      <alignment vertical="center"/>
    </xf>
    <xf numFmtId="0" fontId="0" fillId="0" borderId="10" xfId="0" applyFill="1" applyBorder="1" applyAlignment="1">
      <alignment wrapText="1"/>
    </xf>
    <xf numFmtId="177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177" fontId="98" fillId="27" borderId="10" xfId="0" applyNumberFormat="1" applyFont="1" applyFill="1" applyBorder="1" applyAlignment="1">
      <alignment/>
    </xf>
    <xf numFmtId="0" fontId="97" fillId="0" borderId="21" xfId="0" applyFont="1" applyFill="1" applyBorder="1" applyAlignment="1">
      <alignment horizontal="center" vertical="center"/>
    </xf>
    <xf numFmtId="0" fontId="97" fillId="0" borderId="22" xfId="0" applyFont="1" applyFill="1" applyBorder="1" applyAlignment="1">
      <alignment horizontal="center" vertical="center"/>
    </xf>
    <xf numFmtId="0" fontId="96" fillId="0" borderId="0" xfId="0" applyFont="1" applyFill="1" applyBorder="1" applyAlignment="1">
      <alignment horizontal="center"/>
    </xf>
    <xf numFmtId="0" fontId="98" fillId="27" borderId="10" xfId="0" applyFont="1" applyFill="1" applyBorder="1" applyAlignment="1">
      <alignment horizontal="center" vertical="center"/>
    </xf>
    <xf numFmtId="0" fontId="101" fillId="0" borderId="23" xfId="0" applyFont="1" applyFill="1" applyBorder="1" applyAlignment="1">
      <alignment horizontal="center" vertical="center"/>
    </xf>
    <xf numFmtId="187" fontId="99" fillId="0" borderId="24" xfId="0" applyNumberFormat="1" applyFont="1" applyFill="1" applyBorder="1" applyAlignment="1">
      <alignment horizontal="center" vertical="center"/>
    </xf>
    <xf numFmtId="10" fontId="99" fillId="0" borderId="24" xfId="0" applyNumberFormat="1" applyFont="1" applyFill="1" applyBorder="1" applyAlignment="1">
      <alignment horizontal="center" vertical="center"/>
    </xf>
    <xf numFmtId="177" fontId="74" fillId="27" borderId="10" xfId="0" applyNumberFormat="1" applyFont="1" applyFill="1" applyBorder="1" applyAlignment="1">
      <alignment horizontal="center" vertical="center"/>
    </xf>
    <xf numFmtId="10" fontId="74" fillId="27" borderId="10" xfId="0" applyNumberFormat="1" applyFont="1" applyFill="1" applyBorder="1" applyAlignment="1">
      <alignment horizontal="center" vertical="center"/>
    </xf>
    <xf numFmtId="0" fontId="74" fillId="27" borderId="10" xfId="0" applyFont="1" applyFill="1" applyBorder="1" applyAlignment="1">
      <alignment horizontal="center" vertical="center"/>
    </xf>
    <xf numFmtId="2" fontId="99" fillId="0" borderId="24" xfId="0" applyNumberFormat="1" applyFont="1" applyFill="1" applyBorder="1" applyAlignment="1">
      <alignment horizontal="center" vertical="center"/>
    </xf>
    <xf numFmtId="9" fontId="104" fillId="27" borderId="10" xfId="0" applyNumberFormat="1" applyFont="1" applyFill="1" applyBorder="1" applyAlignment="1">
      <alignment horizontal="right" vertical="center" wrapText="1"/>
    </xf>
    <xf numFmtId="4" fontId="105" fillId="0" borderId="10" xfId="0" applyNumberFormat="1" applyFont="1" applyFill="1" applyBorder="1" applyAlignment="1">
      <alignment horizontal="right" vertical="center" wrapText="1"/>
    </xf>
    <xf numFmtId="10" fontId="105" fillId="0" borderId="10" xfId="63" applyNumberFormat="1" applyFont="1" applyFill="1" applyBorder="1" applyAlignment="1">
      <alignment horizontal="right" vertical="center" wrapText="1"/>
    </xf>
    <xf numFmtId="4" fontId="106" fillId="0" borderId="10" xfId="0" applyNumberFormat="1" applyFont="1" applyFill="1" applyBorder="1" applyAlignment="1">
      <alignment horizontal="right" vertical="center" wrapText="1"/>
    </xf>
    <xf numFmtId="10" fontId="106" fillId="0" borderId="10" xfId="63" applyNumberFormat="1" applyFont="1" applyFill="1" applyBorder="1" applyAlignment="1">
      <alignment horizontal="right" vertical="center" wrapText="1"/>
    </xf>
    <xf numFmtId="9" fontId="107" fillId="27" borderId="10" xfId="0" applyNumberFormat="1" applyFont="1" applyFill="1" applyBorder="1" applyAlignment="1">
      <alignment horizontal="right" vertical="center" wrapText="1"/>
    </xf>
    <xf numFmtId="0" fontId="96" fillId="0" borderId="10" xfId="0" applyFont="1" applyFill="1" applyBorder="1" applyAlignment="1">
      <alignment horizontal="center" vertical="center" wrapText="1"/>
    </xf>
    <xf numFmtId="177" fontId="96" fillId="0" borderId="15" xfId="0" applyNumberFormat="1" applyFont="1" applyFill="1" applyBorder="1" applyAlignment="1">
      <alignment/>
    </xf>
    <xf numFmtId="10" fontId="96" fillId="0" borderId="10" xfId="0" applyNumberFormat="1" applyFont="1" applyFill="1" applyBorder="1" applyAlignment="1">
      <alignment/>
    </xf>
    <xf numFmtId="2" fontId="96" fillId="0" borderId="10" xfId="0" applyNumberFormat="1" applyFont="1" applyFill="1" applyBorder="1" applyAlignment="1">
      <alignment horizontal="center" vertical="center"/>
    </xf>
    <xf numFmtId="177" fontId="96" fillId="0" borderId="10" xfId="51" applyNumberFormat="1" applyFont="1" applyFill="1" applyBorder="1" applyAlignment="1">
      <alignment/>
    </xf>
    <xf numFmtId="0" fontId="98" fillId="38" borderId="0" xfId="0" applyFont="1" applyFill="1" applyBorder="1" applyAlignment="1">
      <alignment vertical="center" wrapText="1"/>
    </xf>
    <xf numFmtId="0" fontId="100" fillId="38" borderId="0" xfId="0" applyFont="1" applyFill="1" applyBorder="1" applyAlignment="1">
      <alignment vertical="center" wrapText="1"/>
    </xf>
    <xf numFmtId="0" fontId="99" fillId="0" borderId="0" xfId="0" applyFont="1" applyBorder="1" applyAlignment="1">
      <alignment horizontal="center" vertical="center" wrapText="1"/>
    </xf>
    <xf numFmtId="0" fontId="99" fillId="0" borderId="0" xfId="0" applyFont="1" applyBorder="1" applyAlignment="1">
      <alignment vertical="center" wrapText="1"/>
    </xf>
    <xf numFmtId="0" fontId="98" fillId="27" borderId="18" xfId="0" applyFont="1" applyFill="1" applyBorder="1" applyAlignment="1">
      <alignment horizontal="center" vertical="center"/>
    </xf>
    <xf numFmtId="0" fontId="98" fillId="27" borderId="15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9" fontId="96" fillId="6" borderId="10" xfId="0" applyNumberFormat="1" applyFont="1" applyFill="1" applyBorder="1" applyAlignment="1">
      <alignment horizontal="center" vertical="center"/>
    </xf>
    <xf numFmtId="9" fontId="98" fillId="27" borderId="10" xfId="0" applyNumberFormat="1" applyFont="1" applyFill="1" applyBorder="1" applyAlignment="1">
      <alignment horizontal="center" vertical="center"/>
    </xf>
    <xf numFmtId="0" fontId="97" fillId="39" borderId="10" xfId="0" applyFont="1" applyFill="1" applyBorder="1" applyAlignment="1">
      <alignment vertical="center" wrapText="1"/>
    </xf>
    <xf numFmtId="0" fontId="96" fillId="39" borderId="10" xfId="0" applyFont="1" applyFill="1" applyBorder="1" applyAlignment="1">
      <alignment vertical="center" wrapText="1"/>
    </xf>
    <xf numFmtId="0" fontId="96" fillId="0" borderId="0" xfId="0" applyFont="1" applyAlignment="1">
      <alignment horizontal="center" vertical="center"/>
    </xf>
    <xf numFmtId="177" fontId="3" fillId="0" borderId="10" xfId="0" applyNumberFormat="1" applyFont="1" applyBorder="1" applyAlignment="1">
      <alignment vertical="center"/>
    </xf>
    <xf numFmtId="177" fontId="96" fillId="6" borderId="10" xfId="51" applyFont="1" applyFill="1" applyBorder="1" applyAlignment="1">
      <alignment horizontal="center" vertical="center"/>
    </xf>
    <xf numFmtId="177" fontId="96" fillId="0" borderId="10" xfId="51" applyFont="1" applyFill="1" applyBorder="1" applyAlignment="1">
      <alignment horizontal="center" vertical="center"/>
    </xf>
    <xf numFmtId="4" fontId="98" fillId="27" borderId="10" xfId="0" applyNumberFormat="1" applyFont="1" applyFill="1" applyBorder="1" applyAlignment="1">
      <alignment horizontal="center" vertical="center"/>
    </xf>
    <xf numFmtId="177" fontId="4" fillId="0" borderId="10" xfId="0" applyNumberFormat="1" applyFont="1" applyBorder="1" applyAlignment="1">
      <alignment vertical="center"/>
    </xf>
    <xf numFmtId="190" fontId="96" fillId="0" borderId="0" xfId="0" applyNumberFormat="1" applyFont="1" applyAlignment="1">
      <alignment/>
    </xf>
    <xf numFmtId="177" fontId="96" fillId="0" borderId="25" xfId="51" applyFont="1" applyFill="1" applyBorder="1" applyAlignment="1">
      <alignment horizontal="center" vertical="center"/>
    </xf>
    <xf numFmtId="0" fontId="97" fillId="0" borderId="10" xfId="0" applyFont="1" applyBorder="1" applyAlignment="1">
      <alignment horizontal="center" vertical="center"/>
    </xf>
    <xf numFmtId="177" fontId="97" fillId="37" borderId="10" xfId="51" applyFont="1" applyFill="1" applyBorder="1" applyAlignment="1">
      <alignment horizontal="center" vertical="center"/>
    </xf>
    <xf numFmtId="0" fontId="96" fillId="0" borderId="10" xfId="0" applyFont="1" applyBorder="1" applyAlignment="1">
      <alignment horizontal="center" vertical="center" wrapText="1"/>
    </xf>
    <xf numFmtId="191" fontId="96" fillId="0" borderId="0" xfId="0" applyNumberFormat="1" applyFont="1" applyAlignment="1">
      <alignment/>
    </xf>
    <xf numFmtId="0" fontId="96" fillId="0" borderId="0" xfId="0" applyFont="1" applyFill="1" applyAlignment="1">
      <alignment horizontal="center" vertical="center"/>
    </xf>
    <xf numFmtId="177" fontId="96" fillId="0" borderId="0" xfId="0" applyNumberFormat="1" applyFont="1" applyFill="1" applyAlignment="1">
      <alignment/>
    </xf>
    <xf numFmtId="183" fontId="3" fillId="0" borderId="10" xfId="51" applyNumberFormat="1" applyFont="1" applyFill="1" applyBorder="1" applyAlignment="1">
      <alignment vertical="center"/>
    </xf>
    <xf numFmtId="177" fontId="4" fillId="0" borderId="20" xfId="51" applyFont="1" applyFill="1" applyBorder="1" applyAlignment="1">
      <alignment horizontal="center" vertical="center"/>
    </xf>
    <xf numFmtId="3" fontId="97" fillId="0" borderId="10" xfId="0" applyNumberFormat="1" applyFont="1" applyFill="1" applyBorder="1" applyAlignment="1">
      <alignment/>
    </xf>
    <xf numFmtId="0" fontId="95" fillId="0" borderId="10" xfId="0" applyFont="1" applyFill="1" applyBorder="1" applyAlignment="1">
      <alignment horizontal="center" vertical="center"/>
    </xf>
    <xf numFmtId="0" fontId="94" fillId="0" borderId="10" xfId="0" applyFont="1" applyFill="1" applyBorder="1" applyAlignment="1">
      <alignment vertical="center" wrapText="1"/>
    </xf>
    <xf numFmtId="4" fontId="94" fillId="0" borderId="10" xfId="0" applyNumberFormat="1" applyFont="1" applyFill="1" applyBorder="1" applyAlignment="1">
      <alignment horizontal="right" vertical="center"/>
    </xf>
    <xf numFmtId="0" fontId="94" fillId="0" borderId="10" xfId="0" applyFont="1" applyFill="1" applyBorder="1" applyAlignment="1">
      <alignment horizontal="center" vertical="center"/>
    </xf>
    <xf numFmtId="0" fontId="95" fillId="0" borderId="10" xfId="0" applyFont="1" applyFill="1" applyBorder="1" applyAlignment="1">
      <alignment horizontal="right" vertical="center" wrapText="1"/>
    </xf>
    <xf numFmtId="4" fontId="95" fillId="0" borderId="10" xfId="0" applyNumberFormat="1" applyFont="1" applyFill="1" applyBorder="1" applyAlignment="1">
      <alignment horizontal="right" vertical="center"/>
    </xf>
    <xf numFmtId="0" fontId="94" fillId="0" borderId="10" xfId="0" applyFont="1" applyFill="1" applyBorder="1" applyAlignment="1">
      <alignment horizontal="right" vertical="center" wrapText="1"/>
    </xf>
    <xf numFmtId="0" fontId="11" fillId="6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98" fillId="27" borderId="10" xfId="0" applyFont="1" applyFill="1" applyBorder="1" applyAlignment="1">
      <alignment horizontal="center" vertical="center"/>
    </xf>
    <xf numFmtId="0" fontId="95" fillId="0" borderId="10" xfId="0" applyFont="1" applyFill="1" applyBorder="1" applyAlignment="1">
      <alignment vertical="center" wrapText="1"/>
    </xf>
    <xf numFmtId="0" fontId="95" fillId="0" borderId="10" xfId="0" applyFont="1" applyFill="1" applyBorder="1" applyAlignment="1">
      <alignment horizontal="center" vertical="center" wrapText="1"/>
    </xf>
    <xf numFmtId="0" fontId="94" fillId="0" borderId="10" xfId="0" applyFont="1" applyFill="1" applyBorder="1" applyAlignment="1">
      <alignment horizontal="center" vertical="center" wrapText="1"/>
    </xf>
    <xf numFmtId="177" fontId="0" fillId="0" borderId="10" xfId="51" applyFont="1" applyBorder="1" applyAlignment="1">
      <alignment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right" vertical="center"/>
    </xf>
    <xf numFmtId="177" fontId="0" fillId="0" borderId="10" xfId="51" applyFont="1" applyBorder="1" applyAlignment="1">
      <alignment horizontal="right" vertical="center"/>
    </xf>
    <xf numFmtId="177" fontId="88" fillId="0" borderId="10" xfId="51" applyFont="1" applyBorder="1" applyAlignment="1">
      <alignment horizontal="right" vertical="center"/>
    </xf>
    <xf numFmtId="177" fontId="0" fillId="0" borderId="0" xfId="51" applyFont="1" applyAlignment="1">
      <alignment horizontal="right" vertical="center"/>
    </xf>
    <xf numFmtId="0" fontId="95" fillId="0" borderId="0" xfId="0" applyFont="1" applyFill="1" applyBorder="1" applyAlignment="1">
      <alignment vertical="center" wrapText="1"/>
    </xf>
    <xf numFmtId="0" fontId="14" fillId="0" borderId="0" xfId="60" applyFont="1" applyAlignment="1">
      <alignment horizontal="left" vertical="center"/>
      <protection/>
    </xf>
    <xf numFmtId="0" fontId="13" fillId="0" borderId="0" xfId="60" applyNumberFormat="1" applyFill="1" applyBorder="1" applyAlignment="1" applyProtection="1">
      <alignment/>
      <protection/>
    </xf>
    <xf numFmtId="0" fontId="15" fillId="0" borderId="0" xfId="60" applyFont="1" applyAlignment="1">
      <alignment horizontal="right" vertical="center"/>
      <protection/>
    </xf>
    <xf numFmtId="3" fontId="16" fillId="0" borderId="0" xfId="60" applyNumberFormat="1" applyFont="1" applyAlignment="1">
      <alignment horizontal="right" vertical="center"/>
      <protection/>
    </xf>
    <xf numFmtId="0" fontId="17" fillId="0" borderId="0" xfId="60" applyFont="1" applyAlignment="1">
      <alignment horizontal="center" vertical="center"/>
      <protection/>
    </xf>
    <xf numFmtId="0" fontId="18" fillId="0" borderId="0" xfId="60" applyFont="1" applyAlignment="1">
      <alignment horizontal="left" vertical="center"/>
      <protection/>
    </xf>
    <xf numFmtId="0" fontId="16" fillId="0" borderId="0" xfId="60" applyFont="1" applyAlignment="1">
      <alignment horizontal="right" vertical="center"/>
      <protection/>
    </xf>
    <xf numFmtId="0" fontId="16" fillId="0" borderId="0" xfId="60" applyFont="1" applyAlignment="1">
      <alignment vertical="center"/>
      <protection/>
    </xf>
    <xf numFmtId="14" fontId="16" fillId="0" borderId="0" xfId="60" applyNumberFormat="1" applyFont="1" applyAlignment="1">
      <alignment horizontal="right" vertical="center"/>
      <protection/>
    </xf>
    <xf numFmtId="0" fontId="19" fillId="0" borderId="0" xfId="60" applyFont="1" applyAlignment="1">
      <alignment horizontal="left" vertical="center"/>
      <protection/>
    </xf>
    <xf numFmtId="0" fontId="18" fillId="0" borderId="0" xfId="60" applyFont="1" applyAlignment="1">
      <alignment vertical="center"/>
      <protection/>
    </xf>
    <xf numFmtId="0" fontId="18" fillId="0" borderId="0" xfId="60" applyFont="1" applyAlignment="1">
      <alignment horizontal="right" vertical="center"/>
      <protection/>
    </xf>
    <xf numFmtId="193" fontId="20" fillId="0" borderId="0" xfId="60" applyNumberFormat="1" applyFont="1" applyAlignment="1">
      <alignment horizontal="right" vertical="center"/>
      <protection/>
    </xf>
    <xf numFmtId="0" fontId="16" fillId="0" borderId="0" xfId="60" applyFont="1" applyAlignment="1">
      <alignment horizontal="left" vertical="center"/>
      <protection/>
    </xf>
    <xf numFmtId="0" fontId="16" fillId="0" borderId="0" xfId="60" applyFont="1" applyAlignment="1">
      <alignment horizontal="center" vertical="center"/>
      <protection/>
    </xf>
    <xf numFmtId="0" fontId="12" fillId="0" borderId="0" xfId="60" applyFont="1" applyAlignment="1">
      <alignment horizontal="left" vertical="top" wrapText="1"/>
      <protection/>
    </xf>
    <xf numFmtId="195" fontId="18" fillId="0" borderId="0" xfId="60" applyNumberFormat="1" applyFont="1" applyAlignment="1">
      <alignment horizontal="right" vertical="center"/>
      <protection/>
    </xf>
    <xf numFmtId="193" fontId="18" fillId="0" borderId="0" xfId="60" applyNumberFormat="1" applyFont="1" applyAlignment="1">
      <alignment horizontal="right" vertical="center"/>
      <protection/>
    </xf>
    <xf numFmtId="193" fontId="16" fillId="0" borderId="0" xfId="60" applyNumberFormat="1" applyFont="1" applyAlignment="1">
      <alignment horizontal="right" vertical="center"/>
      <protection/>
    </xf>
    <xf numFmtId="196" fontId="21" fillId="0" borderId="0" xfId="60" applyNumberFormat="1" applyFont="1" applyAlignment="1">
      <alignment horizontal="right" vertical="center"/>
      <protection/>
    </xf>
    <xf numFmtId="194" fontId="22" fillId="0" borderId="0" xfId="60" applyNumberFormat="1" applyFont="1" applyFill="1" applyBorder="1" applyAlignment="1" applyProtection="1">
      <alignment/>
      <protection/>
    </xf>
    <xf numFmtId="0" fontId="18" fillId="0" borderId="0" xfId="60" applyNumberFormat="1" applyFont="1" applyFill="1" applyBorder="1" applyAlignment="1" applyProtection="1">
      <alignment horizontal="left" vertical="center"/>
      <protection/>
    </xf>
    <xf numFmtId="0" fontId="108" fillId="0" borderId="10" xfId="0" applyFont="1" applyBorder="1" applyAlignment="1">
      <alignment horizontal="center" vertical="center"/>
    </xf>
    <xf numFmtId="0" fontId="109" fillId="0" borderId="0" xfId="0" applyFont="1" applyAlignment="1">
      <alignment/>
    </xf>
    <xf numFmtId="0" fontId="109" fillId="0" borderId="10" xfId="0" applyFont="1" applyBorder="1" applyAlignment="1">
      <alignment horizontal="center" vertical="center"/>
    </xf>
    <xf numFmtId="0" fontId="108" fillId="0" borderId="10" xfId="0" applyFont="1" applyBorder="1" applyAlignment="1">
      <alignment horizontal="center" vertical="center" wrapText="1"/>
    </xf>
    <xf numFmtId="0" fontId="109" fillId="0" borderId="0" xfId="0" applyFont="1" applyAlignment="1">
      <alignment horizontal="center" vertical="center"/>
    </xf>
    <xf numFmtId="0" fontId="109" fillId="0" borderId="10" xfId="0" applyFont="1" applyBorder="1" applyAlignment="1">
      <alignment horizontal="center" vertical="center" wrapText="1"/>
    </xf>
    <xf numFmtId="0" fontId="109" fillId="0" borderId="0" xfId="0" applyFont="1" applyBorder="1" applyAlignment="1">
      <alignment horizontal="center" vertical="center"/>
    </xf>
    <xf numFmtId="177" fontId="109" fillId="0" borderId="10" xfId="51" applyFont="1" applyBorder="1" applyAlignment="1">
      <alignment horizontal="center" vertical="center"/>
    </xf>
    <xf numFmtId="177" fontId="109" fillId="0" borderId="10" xfId="0" applyNumberFormat="1" applyFont="1" applyBorder="1" applyAlignment="1">
      <alignment horizontal="center" vertical="center"/>
    </xf>
    <xf numFmtId="177" fontId="95" fillId="0" borderId="10" xfId="0" applyNumberFormat="1" applyFont="1" applyFill="1" applyBorder="1" applyAlignment="1">
      <alignment horizontal="right" vertical="center" wrapText="1"/>
    </xf>
    <xf numFmtId="187" fontId="0" fillId="0" borderId="10" xfId="0" applyNumberFormat="1" applyBorder="1" applyAlignment="1">
      <alignment horizontal="center" vertical="center"/>
    </xf>
    <xf numFmtId="177" fontId="95" fillId="0" borderId="10" xfId="51" applyFont="1" applyFill="1" applyBorder="1" applyAlignment="1">
      <alignment horizontal="right" vertical="center" wrapText="1"/>
    </xf>
    <xf numFmtId="9" fontId="96" fillId="6" borderId="10" xfId="63" applyFont="1" applyFill="1" applyBorder="1" applyAlignment="1">
      <alignment horizontal="center" vertical="center"/>
    </xf>
    <xf numFmtId="4" fontId="96" fillId="0" borderId="0" xfId="0" applyNumberFormat="1" applyFont="1" applyAlignment="1">
      <alignment/>
    </xf>
    <xf numFmtId="0" fontId="4" fillId="6" borderId="10" xfId="0" applyFont="1" applyFill="1" applyBorder="1" applyAlignment="1">
      <alignment vertical="center" wrapText="1"/>
    </xf>
    <xf numFmtId="177" fontId="109" fillId="0" borderId="10" xfId="51" applyFont="1" applyBorder="1" applyAlignment="1">
      <alignment horizontal="center" vertical="center" wrapText="1"/>
    </xf>
    <xf numFmtId="4" fontId="3" fillId="6" borderId="10" xfId="0" applyNumberFormat="1" applyFont="1" applyFill="1" applyBorder="1" applyAlignment="1">
      <alignment horizontal="center" vertical="center"/>
    </xf>
    <xf numFmtId="0" fontId="110" fillId="40" borderId="10" xfId="58" applyFont="1" applyFill="1" applyBorder="1" applyAlignment="1">
      <alignment horizontal="center" vertical="center"/>
      <protection/>
    </xf>
    <xf numFmtId="4" fontId="105" fillId="0" borderId="10" xfId="58" applyNumberFormat="1" applyFont="1" applyBorder="1" applyAlignment="1">
      <alignment vertical="center"/>
      <protection/>
    </xf>
    <xf numFmtId="4" fontId="106" fillId="0" borderId="10" xfId="58" applyNumberFormat="1" applyFont="1" applyBorder="1" applyAlignment="1">
      <alignment vertical="center"/>
      <protection/>
    </xf>
    <xf numFmtId="4" fontId="111" fillId="0" borderId="10" xfId="58" applyNumberFormat="1" applyFont="1" applyBorder="1" applyAlignment="1">
      <alignment vertical="center"/>
      <protection/>
    </xf>
    <xf numFmtId="4" fontId="112" fillId="0" borderId="10" xfId="58" applyNumberFormat="1" applyFont="1" applyBorder="1" applyAlignment="1">
      <alignment vertical="center"/>
      <protection/>
    </xf>
    <xf numFmtId="0" fontId="23" fillId="0" borderId="0" xfId="58" applyFont="1" applyAlignment="1">
      <alignment vertical="center"/>
      <protection/>
    </xf>
    <xf numFmtId="4" fontId="113" fillId="0" borderId="10" xfId="58" applyNumberFormat="1" applyFont="1" applyBorder="1" applyAlignment="1">
      <alignment vertical="center"/>
      <protection/>
    </xf>
    <xf numFmtId="0" fontId="2" fillId="0" borderId="0" xfId="58" applyAlignment="1">
      <alignment vertical="center"/>
      <protection/>
    </xf>
    <xf numFmtId="0" fontId="105" fillId="0" borderId="10" xfId="58" applyFont="1" applyBorder="1" applyAlignment="1">
      <alignment horizontal="left" vertical="center"/>
      <protection/>
    </xf>
    <xf numFmtId="0" fontId="106" fillId="0" borderId="10" xfId="58" applyFont="1" applyBorder="1" applyAlignment="1">
      <alignment horizontal="left" vertical="center"/>
      <protection/>
    </xf>
    <xf numFmtId="0" fontId="110" fillId="40" borderId="10" xfId="58" applyFont="1" applyFill="1" applyBorder="1" applyAlignment="1">
      <alignment horizontal="center" vertical="center" wrapText="1"/>
      <protection/>
    </xf>
    <xf numFmtId="187" fontId="0" fillId="0" borderId="0" xfId="0" applyNumberFormat="1" applyAlignment="1">
      <alignment/>
    </xf>
    <xf numFmtId="0" fontId="24" fillId="0" borderId="10" xfId="58" applyFont="1" applyBorder="1" applyAlignment="1">
      <alignment vertical="center" wrapText="1"/>
      <protection/>
    </xf>
    <xf numFmtId="0" fontId="106" fillId="0" borderId="10" xfId="58" applyFont="1" applyBorder="1" applyAlignment="1">
      <alignment horizontal="left" vertical="center" indent="1"/>
      <protection/>
    </xf>
    <xf numFmtId="0" fontId="105" fillId="0" borderId="10" xfId="58" applyFont="1" applyBorder="1" applyAlignment="1">
      <alignment horizontal="left" vertical="center" indent="1"/>
      <protection/>
    </xf>
    <xf numFmtId="0" fontId="109" fillId="0" borderId="0" xfId="0" applyFont="1" applyAlignment="1">
      <alignment horizontal="center" vertical="center" wrapText="1"/>
    </xf>
    <xf numFmtId="177" fontId="109" fillId="0" borderId="10" xfId="51" applyFont="1" applyBorder="1" applyAlignment="1">
      <alignment horizontal="right"/>
    </xf>
    <xf numFmtId="177" fontId="109" fillId="0" borderId="10" xfId="51" applyFont="1" applyBorder="1" applyAlignment="1">
      <alignment horizontal="right" vertical="center"/>
    </xf>
    <xf numFmtId="0" fontId="109" fillId="0" borderId="10" xfId="0" applyFont="1" applyBorder="1" applyAlignment="1">
      <alignment horizontal="justify" vertical="center" wrapText="1"/>
    </xf>
    <xf numFmtId="0" fontId="108" fillId="0" borderId="10" xfId="0" applyFont="1" applyBorder="1" applyAlignment="1">
      <alignment horizontal="justify" vertical="center" wrapText="1"/>
    </xf>
    <xf numFmtId="0" fontId="108" fillId="0" borderId="15" xfId="0" applyFont="1" applyBorder="1" applyAlignment="1">
      <alignment horizontal="justify" vertical="center" wrapText="1"/>
    </xf>
    <xf numFmtId="177" fontId="109" fillId="0" borderId="0" xfId="51" applyFont="1" applyAlignment="1">
      <alignment vertical="center"/>
    </xf>
    <xf numFmtId="177" fontId="109" fillId="0" borderId="10" xfId="51" applyFont="1" applyBorder="1" applyAlignment="1">
      <alignment vertical="center"/>
    </xf>
    <xf numFmtId="177" fontId="108" fillId="0" borderId="20" xfId="51" applyFont="1" applyBorder="1" applyAlignment="1">
      <alignment/>
    </xf>
    <xf numFmtId="177" fontId="109" fillId="0" borderId="0" xfId="51" applyFont="1" applyAlignment="1">
      <alignment/>
    </xf>
    <xf numFmtId="0" fontId="109" fillId="0" borderId="10" xfId="0" applyFont="1" applyBorder="1" applyAlignment="1">
      <alignment wrapText="1"/>
    </xf>
    <xf numFmtId="177" fontId="108" fillId="0" borderId="10" xfId="51" applyFont="1" applyBorder="1" applyAlignment="1">
      <alignment horizontal="center" vertical="center" wrapText="1"/>
    </xf>
    <xf numFmtId="177" fontId="109" fillId="0" borderId="15" xfId="51" applyFont="1" applyBorder="1" applyAlignment="1">
      <alignment horizontal="center" vertical="center" wrapText="1"/>
    </xf>
    <xf numFmtId="177" fontId="109" fillId="0" borderId="10" xfId="51" applyFont="1" applyBorder="1" applyAlignment="1">
      <alignment horizontal="right" wrapText="1"/>
    </xf>
    <xf numFmtId="177" fontId="109" fillId="0" borderId="0" xfId="51" applyFont="1" applyBorder="1" applyAlignment="1">
      <alignment vertical="center"/>
    </xf>
    <xf numFmtId="177" fontId="109" fillId="0" borderId="10" xfId="51" applyFont="1" applyBorder="1" applyAlignment="1">
      <alignment horizontal="justify" vertical="center" wrapText="1"/>
    </xf>
    <xf numFmtId="177" fontId="114" fillId="41" borderId="10" xfId="51" applyFont="1" applyFill="1" applyBorder="1" applyAlignment="1">
      <alignment horizontal="center" vertical="center"/>
    </xf>
    <xf numFmtId="177" fontId="114" fillId="41" borderId="0" xfId="51" applyFont="1" applyFill="1" applyAlignment="1">
      <alignment vertical="center"/>
    </xf>
    <xf numFmtId="0" fontId="108" fillId="0" borderId="10" xfId="0" applyFont="1" applyBorder="1" applyAlignment="1">
      <alignment horizontal="center" vertical="center" wrapText="1"/>
    </xf>
    <xf numFmtId="183" fontId="0" fillId="0" borderId="0" xfId="0" applyNumberFormat="1" applyAlignment="1">
      <alignment/>
    </xf>
    <xf numFmtId="173" fontId="96" fillId="0" borderId="0" xfId="0" applyNumberFormat="1" applyFont="1" applyFill="1" applyBorder="1" applyAlignment="1">
      <alignment horizontal="center"/>
    </xf>
    <xf numFmtId="177" fontId="96" fillId="0" borderId="0" xfId="0" applyNumberFormat="1" applyFont="1" applyFill="1" applyBorder="1" applyAlignment="1">
      <alignment horizontal="center"/>
    </xf>
    <xf numFmtId="177" fontId="6" fillId="0" borderId="0" xfId="0" applyNumberFormat="1" applyFont="1" applyFill="1" applyAlignment="1">
      <alignment/>
    </xf>
    <xf numFmtId="0" fontId="109" fillId="0" borderId="0" xfId="0" applyFont="1" applyAlignment="1">
      <alignment wrapText="1"/>
    </xf>
    <xf numFmtId="177" fontId="99" fillId="0" borderId="10" xfId="0" applyNumberFormat="1" applyFont="1" applyFill="1" applyBorder="1" applyAlignment="1">
      <alignment horizontal="center" vertical="center"/>
    </xf>
    <xf numFmtId="0" fontId="99" fillId="0" borderId="10" xfId="0" applyFont="1" applyBorder="1" applyAlignment="1">
      <alignment horizontal="justify" vertical="center" wrapText="1"/>
    </xf>
    <xf numFmtId="0" fontId="96" fillId="0" borderId="10" xfId="0" applyFont="1" applyBorder="1" applyAlignment="1">
      <alignment wrapText="1"/>
    </xf>
    <xf numFmtId="0" fontId="0" fillId="0" borderId="10" xfId="0" applyBorder="1" applyAlignment="1">
      <alignment horizontal="justify" wrapText="1"/>
    </xf>
    <xf numFmtId="0" fontId="0" fillId="0" borderId="10" xfId="0" applyBorder="1" applyAlignment="1">
      <alignment horizontal="justify" vertical="center" wrapText="1"/>
    </xf>
    <xf numFmtId="0" fontId="0" fillId="0" borderId="10" xfId="0" applyFill="1" applyBorder="1" applyAlignment="1">
      <alignment horizontal="justify" vertical="center" wrapText="1"/>
    </xf>
    <xf numFmtId="0" fontId="0" fillId="0" borderId="20" xfId="0" applyFill="1" applyBorder="1" applyAlignment="1">
      <alignment horizontal="justify" vertical="center" wrapText="1"/>
    </xf>
    <xf numFmtId="0" fontId="0" fillId="0" borderId="10" xfId="0" applyFill="1" applyBorder="1" applyAlignment="1">
      <alignment horizontal="justify" wrapText="1"/>
    </xf>
    <xf numFmtId="0" fontId="0" fillId="0" borderId="20" xfId="0" applyFill="1" applyBorder="1" applyAlignment="1">
      <alignment horizontal="justify" wrapText="1"/>
    </xf>
    <xf numFmtId="0" fontId="106" fillId="0" borderId="18" xfId="58" applyFont="1" applyBorder="1" applyAlignment="1">
      <alignment vertical="center"/>
      <protection/>
    </xf>
    <xf numFmtId="0" fontId="106" fillId="0" borderId="25" xfId="58" applyFont="1" applyBorder="1" applyAlignment="1">
      <alignment vertical="center"/>
      <protection/>
    </xf>
    <xf numFmtId="0" fontId="106" fillId="0" borderId="15" xfId="58" applyFont="1" applyBorder="1" applyAlignment="1">
      <alignment vertical="center"/>
      <protection/>
    </xf>
    <xf numFmtId="4" fontId="115" fillId="0" borderId="0" xfId="0" applyNumberFormat="1" applyFont="1" applyAlignment="1">
      <alignment horizontal="center" vertical="center" wrapText="1"/>
    </xf>
    <xf numFmtId="0" fontId="115" fillId="0" borderId="26" xfId="0" applyFont="1" applyBorder="1" applyAlignment="1">
      <alignment horizontal="center" vertical="center" wrapText="1"/>
    </xf>
    <xf numFmtId="173" fontId="95" fillId="0" borderId="10" xfId="51" applyNumberFormat="1" applyFont="1" applyFill="1" applyBorder="1" applyAlignment="1">
      <alignment horizontal="right" vertical="center" wrapText="1"/>
    </xf>
    <xf numFmtId="0" fontId="115" fillId="0" borderId="0" xfId="0" applyFont="1" applyAlignment="1">
      <alignment horizontal="right" vertical="center" wrapText="1"/>
    </xf>
    <xf numFmtId="173" fontId="115" fillId="0" borderId="0" xfId="0" applyNumberFormat="1" applyFont="1" applyAlignment="1">
      <alignment horizontal="center" vertical="center" wrapText="1"/>
    </xf>
    <xf numFmtId="0" fontId="115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173" fontId="96" fillId="0" borderId="0" xfId="0" applyNumberFormat="1" applyFont="1" applyAlignment="1">
      <alignment/>
    </xf>
    <xf numFmtId="0" fontId="98" fillId="42" borderId="19" xfId="0" applyFont="1" applyFill="1" applyBorder="1" applyAlignment="1">
      <alignment vertical="center" wrapText="1"/>
    </xf>
    <xf numFmtId="0" fontId="74" fillId="42" borderId="19" xfId="0" applyFont="1" applyFill="1" applyBorder="1" applyAlignment="1">
      <alignment/>
    </xf>
    <xf numFmtId="0" fontId="74" fillId="42" borderId="27" xfId="0" applyFont="1" applyFill="1" applyBorder="1" applyAlignment="1">
      <alignment/>
    </xf>
    <xf numFmtId="177" fontId="109" fillId="0" borderId="0" xfId="0" applyNumberFormat="1" applyFont="1" applyAlignment="1">
      <alignment/>
    </xf>
    <xf numFmtId="0" fontId="116" fillId="0" borderId="10" xfId="0" applyFont="1" applyFill="1" applyBorder="1" applyAlignment="1">
      <alignment vertical="center" wrapText="1"/>
    </xf>
    <xf numFmtId="0" fontId="117" fillId="0" borderId="10" xfId="0" applyFont="1" applyBorder="1" applyAlignment="1">
      <alignment horizontal="center" vertical="center"/>
    </xf>
    <xf numFmtId="0" fontId="115" fillId="0" borderId="0" xfId="0" applyFont="1" applyAlignment="1">
      <alignment/>
    </xf>
    <xf numFmtId="0" fontId="118" fillId="0" borderId="10" xfId="0" applyFont="1" applyFill="1" applyBorder="1" applyAlignment="1">
      <alignment vertical="center" wrapText="1"/>
    </xf>
    <xf numFmtId="173" fontId="117" fillId="0" borderId="10" xfId="51" applyNumberFormat="1" applyFont="1" applyBorder="1" applyAlignment="1">
      <alignment horizontal="center" vertical="center"/>
    </xf>
    <xf numFmtId="0" fontId="117" fillId="0" borderId="28" xfId="0" applyFont="1" applyBorder="1" applyAlignment="1">
      <alignment horizontal="left" vertical="center" wrapText="1" indent="2"/>
    </xf>
    <xf numFmtId="0" fontId="117" fillId="0" borderId="29" xfId="0" applyFont="1" applyBorder="1" applyAlignment="1">
      <alignment vertical="center" wrapText="1"/>
    </xf>
    <xf numFmtId="0" fontId="117" fillId="0" borderId="29" xfId="0" applyFont="1" applyBorder="1" applyAlignment="1">
      <alignment horizontal="center" vertical="center" wrapText="1"/>
    </xf>
    <xf numFmtId="0" fontId="115" fillId="0" borderId="29" xfId="0" applyFont="1" applyBorder="1" applyAlignment="1">
      <alignment vertical="center" wrapText="1"/>
    </xf>
    <xf numFmtId="0" fontId="117" fillId="0" borderId="29" xfId="0" applyFont="1" applyBorder="1" applyAlignment="1">
      <alignment horizontal="left" vertical="center" wrapText="1" indent="1"/>
    </xf>
    <xf numFmtId="0" fontId="117" fillId="0" borderId="30" xfId="0" applyFont="1" applyBorder="1" applyAlignment="1">
      <alignment horizontal="left" vertical="center" wrapText="1" indent="4"/>
    </xf>
    <xf numFmtId="0" fontId="115" fillId="0" borderId="31" xfId="0" applyFont="1" applyBorder="1" applyAlignment="1">
      <alignment vertical="center" wrapText="1"/>
    </xf>
    <xf numFmtId="0" fontId="117" fillId="0" borderId="26" xfId="0" applyFont="1" applyBorder="1" applyAlignment="1">
      <alignment vertical="center" wrapText="1"/>
    </xf>
    <xf numFmtId="0" fontId="115" fillId="0" borderId="26" xfId="0" applyFont="1" applyBorder="1" applyAlignment="1">
      <alignment vertical="center" wrapText="1"/>
    </xf>
    <xf numFmtId="0" fontId="115" fillId="0" borderId="32" xfId="0" applyFont="1" applyBorder="1" applyAlignment="1">
      <alignment vertical="center" wrapText="1"/>
    </xf>
    <xf numFmtId="0" fontId="117" fillId="0" borderId="33" xfId="0" applyFont="1" applyBorder="1" applyAlignment="1">
      <alignment horizontal="left" vertical="center" wrapText="1" indent="2"/>
    </xf>
    <xf numFmtId="0" fontId="117" fillId="34" borderId="26" xfId="0" applyFont="1" applyFill="1" applyBorder="1" applyAlignment="1">
      <alignment vertical="center" wrapText="1"/>
    </xf>
    <xf numFmtId="0" fontId="115" fillId="34" borderId="26" xfId="0" applyFont="1" applyFill="1" applyBorder="1" applyAlignment="1">
      <alignment vertical="center" wrapText="1"/>
    </xf>
    <xf numFmtId="173" fontId="117" fillId="34" borderId="32" xfId="0" applyNumberFormat="1" applyFont="1" applyFill="1" applyBorder="1" applyAlignment="1">
      <alignment horizontal="center" vertical="center" wrapText="1"/>
    </xf>
    <xf numFmtId="0" fontId="115" fillId="0" borderId="31" xfId="0" applyFont="1" applyBorder="1" applyAlignment="1">
      <alignment horizontal="left" vertical="center" wrapText="1" indent="3"/>
    </xf>
    <xf numFmtId="0" fontId="115" fillId="0" borderId="0" xfId="0" applyFont="1" applyAlignment="1">
      <alignment vertical="center" wrapText="1"/>
    </xf>
    <xf numFmtId="173" fontId="115" fillId="0" borderId="0" xfId="0" applyNumberFormat="1" applyFont="1" applyAlignment="1">
      <alignment horizontal="left" vertical="center" wrapText="1" indent="2"/>
    </xf>
    <xf numFmtId="173" fontId="115" fillId="0" borderId="34" xfId="0" applyNumberFormat="1" applyFont="1" applyBorder="1" applyAlignment="1">
      <alignment horizontal="center" vertical="center" wrapText="1"/>
    </xf>
    <xf numFmtId="173" fontId="115" fillId="0" borderId="0" xfId="0" applyNumberFormat="1" applyFont="1" applyAlignment="1">
      <alignment horizontal="left" vertical="center" wrapText="1" indent="3"/>
    </xf>
    <xf numFmtId="173" fontId="115" fillId="0" borderId="0" xfId="0" applyNumberFormat="1" applyFont="1" applyAlignment="1">
      <alignment horizontal="right" vertical="center" wrapText="1"/>
    </xf>
    <xf numFmtId="173" fontId="115" fillId="0" borderId="26" xfId="0" applyNumberFormat="1" applyFont="1" applyBorder="1" applyAlignment="1">
      <alignment horizontal="right" vertical="center" wrapText="1"/>
    </xf>
    <xf numFmtId="173" fontId="115" fillId="0" borderId="32" xfId="0" applyNumberFormat="1" applyFont="1" applyBorder="1" applyAlignment="1">
      <alignment horizontal="center" vertical="center" wrapText="1"/>
    </xf>
    <xf numFmtId="0" fontId="115" fillId="0" borderId="31" xfId="0" applyFont="1" applyBorder="1" applyAlignment="1">
      <alignment horizontal="left" vertical="center" wrapText="1" indent="2"/>
    </xf>
    <xf numFmtId="173" fontId="115" fillId="0" borderId="0" xfId="0" applyNumberFormat="1" applyFont="1" applyAlignment="1">
      <alignment vertical="center" wrapText="1"/>
    </xf>
    <xf numFmtId="173" fontId="115" fillId="0" borderId="34" xfId="0" applyNumberFormat="1" applyFont="1" applyBorder="1" applyAlignment="1">
      <alignment vertical="center" wrapText="1"/>
    </xf>
    <xf numFmtId="0" fontId="115" fillId="0" borderId="34" xfId="0" applyFont="1" applyBorder="1" applyAlignment="1">
      <alignment vertical="center" wrapText="1"/>
    </xf>
    <xf numFmtId="0" fontId="115" fillId="0" borderId="0" xfId="0" applyFont="1" applyAlignment="1">
      <alignment horizontal="left" vertical="center" wrapText="1" indent="3"/>
    </xf>
    <xf numFmtId="173" fontId="115" fillId="0" borderId="0" xfId="0" applyNumberFormat="1" applyFont="1" applyAlignment="1">
      <alignment/>
    </xf>
    <xf numFmtId="0" fontId="115" fillId="0" borderId="0" xfId="0" applyFont="1" applyBorder="1" applyAlignment="1">
      <alignment vertical="center" wrapText="1"/>
    </xf>
    <xf numFmtId="0" fontId="115" fillId="0" borderId="0" xfId="0" applyFont="1" applyBorder="1" applyAlignment="1">
      <alignment horizontal="left" vertical="center" wrapText="1" indent="3"/>
    </xf>
    <xf numFmtId="0" fontId="115" fillId="0" borderId="0" xfId="0" applyFont="1" applyBorder="1" applyAlignment="1">
      <alignment horizontal="right" vertical="center" wrapText="1"/>
    </xf>
    <xf numFmtId="173" fontId="115" fillId="0" borderId="0" xfId="0" applyNumberFormat="1" applyFont="1" applyBorder="1" applyAlignment="1">
      <alignment horizontal="center" vertical="center" wrapText="1"/>
    </xf>
    <xf numFmtId="173" fontId="117" fillId="0" borderId="10" xfId="0" applyNumberFormat="1" applyFont="1" applyBorder="1" applyAlignment="1">
      <alignment/>
    </xf>
    <xf numFmtId="173" fontId="115" fillId="0" borderId="10" xfId="0" applyNumberFormat="1" applyFont="1" applyBorder="1" applyAlignment="1">
      <alignment/>
    </xf>
    <xf numFmtId="173" fontId="6" fillId="0" borderId="0" xfId="51" applyNumberFormat="1" applyFont="1" applyFill="1" applyAlignment="1">
      <alignment/>
    </xf>
    <xf numFmtId="173" fontId="0" fillId="0" borderId="0" xfId="0" applyNumberFormat="1" applyFill="1" applyAlignment="1">
      <alignment/>
    </xf>
    <xf numFmtId="173" fontId="6" fillId="0" borderId="0" xfId="0" applyNumberFormat="1" applyFont="1" applyFill="1" applyAlignment="1">
      <alignment/>
    </xf>
    <xf numFmtId="177" fontId="0" fillId="0" borderId="0" xfId="0" applyNumberFormat="1" applyAlignment="1">
      <alignment/>
    </xf>
    <xf numFmtId="177" fontId="0" fillId="0" borderId="0" xfId="51" applyFon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 vertical="center"/>
    </xf>
    <xf numFmtId="0" fontId="58" fillId="0" borderId="10" xfId="0" applyFont="1" applyFill="1" applyBorder="1" applyAlignment="1">
      <alignment vertical="center"/>
    </xf>
    <xf numFmtId="0" fontId="0" fillId="0" borderId="10" xfId="0" applyBorder="1" applyAlignment="1">
      <alignment wrapText="1"/>
    </xf>
    <xf numFmtId="0" fontId="58" fillId="0" borderId="10" xfId="0" applyFont="1" applyFill="1" applyBorder="1" applyAlignment="1">
      <alignment wrapText="1"/>
    </xf>
    <xf numFmtId="177" fontId="0" fillId="0" borderId="0" xfId="51" applyFont="1" applyAlignment="1">
      <alignment/>
    </xf>
    <xf numFmtId="0" fontId="98" fillId="27" borderId="10" xfId="0" applyFont="1" applyFill="1" applyBorder="1" applyAlignment="1">
      <alignment horizontal="center" vertical="center" wrapText="1"/>
    </xf>
    <xf numFmtId="0" fontId="98" fillId="27" borderId="35" xfId="0" applyFont="1" applyFill="1" applyBorder="1" applyAlignment="1">
      <alignment horizontal="center" vertical="center" wrapText="1"/>
    </xf>
    <xf numFmtId="0" fontId="98" fillId="27" borderId="36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98" fillId="27" borderId="10" xfId="0" applyFont="1" applyFill="1" applyBorder="1" applyAlignment="1">
      <alignment horizontal="center" vertical="center"/>
    </xf>
    <xf numFmtId="0" fontId="98" fillId="27" borderId="10" xfId="0" applyFont="1" applyFill="1" applyBorder="1" applyAlignment="1">
      <alignment horizontal="center" vertical="center" wrapText="1"/>
    </xf>
    <xf numFmtId="0" fontId="115" fillId="0" borderId="0" xfId="0" applyFont="1" applyAlignment="1">
      <alignment vertical="center" wrapText="1"/>
    </xf>
    <xf numFmtId="0" fontId="115" fillId="0" borderId="10" xfId="0" applyFont="1" applyBorder="1" applyAlignment="1">
      <alignment horizontal="center"/>
    </xf>
    <xf numFmtId="0" fontId="114" fillId="41" borderId="10" xfId="0" applyFont="1" applyFill="1" applyBorder="1" applyAlignment="1">
      <alignment horizontal="center" wrapText="1"/>
    </xf>
    <xf numFmtId="0" fontId="108" fillId="0" borderId="19" xfId="0" applyFont="1" applyBorder="1" applyAlignment="1">
      <alignment horizontal="center"/>
    </xf>
    <xf numFmtId="0" fontId="108" fillId="0" borderId="37" xfId="0" applyFont="1" applyBorder="1" applyAlignment="1">
      <alignment horizontal="center"/>
    </xf>
    <xf numFmtId="0" fontId="108" fillId="0" borderId="10" xfId="0" applyFont="1" applyBorder="1" applyAlignment="1">
      <alignment horizontal="center"/>
    </xf>
    <xf numFmtId="0" fontId="94" fillId="0" borderId="38" xfId="0" applyFont="1" applyFill="1" applyBorder="1" applyAlignment="1">
      <alignment horizontal="center" vertical="center" wrapText="1"/>
    </xf>
    <xf numFmtId="0" fontId="94" fillId="0" borderId="0" xfId="0" applyFont="1" applyFill="1" applyBorder="1" applyAlignment="1">
      <alignment horizontal="center" vertical="center" wrapText="1"/>
    </xf>
    <xf numFmtId="0" fontId="108" fillId="0" borderId="10" xfId="0" applyFont="1" applyBorder="1" applyAlignment="1">
      <alignment horizontal="center" vertical="center" wrapText="1"/>
    </xf>
    <xf numFmtId="0" fontId="114" fillId="41" borderId="39" xfId="0" applyFont="1" applyFill="1" applyBorder="1" applyAlignment="1">
      <alignment horizontal="center" wrapText="1"/>
    </xf>
    <xf numFmtId="0" fontId="94" fillId="0" borderId="19" xfId="0" applyFont="1" applyFill="1" applyBorder="1" applyAlignment="1">
      <alignment horizontal="center" vertical="center" wrapText="1"/>
    </xf>
    <xf numFmtId="0" fontId="94" fillId="0" borderId="37" xfId="0" applyFont="1" applyFill="1" applyBorder="1" applyAlignment="1">
      <alignment horizontal="center" vertical="center" wrapText="1"/>
    </xf>
    <xf numFmtId="0" fontId="94" fillId="0" borderId="20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74" fillId="42" borderId="27" xfId="0" applyFont="1" applyFill="1" applyBorder="1" applyAlignment="1">
      <alignment horizontal="center"/>
    </xf>
    <xf numFmtId="0" fontId="88" fillId="0" borderId="10" xfId="0" applyFont="1" applyBorder="1" applyAlignment="1">
      <alignment horizontal="center" vertical="center" wrapText="1"/>
    </xf>
    <xf numFmtId="0" fontId="88" fillId="0" borderId="19" xfId="0" applyFont="1" applyBorder="1" applyAlignment="1">
      <alignment horizontal="center" vertical="center" wrapText="1"/>
    </xf>
    <xf numFmtId="0" fontId="88" fillId="0" borderId="37" xfId="0" applyFont="1" applyBorder="1" applyAlignment="1">
      <alignment horizontal="center" vertical="center" wrapText="1"/>
    </xf>
    <xf numFmtId="0" fontId="88" fillId="0" borderId="2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left" wrapText="1"/>
    </xf>
    <xf numFmtId="10" fontId="0" fillId="0" borderId="10" xfId="63" applyNumberFormat="1" applyFont="1" applyBorder="1" applyAlignment="1">
      <alignment horizontal="center"/>
    </xf>
    <xf numFmtId="10" fontId="0" fillId="0" borderId="10" xfId="63" applyNumberFormat="1" applyFont="1" applyBorder="1" applyAlignment="1">
      <alignment horizontal="center" vertical="center"/>
    </xf>
    <xf numFmtId="0" fontId="91" fillId="0" borderId="0" xfId="0" applyFont="1" applyAlignment="1">
      <alignment/>
    </xf>
    <xf numFmtId="0" fontId="0" fillId="0" borderId="0" xfId="0" applyAlignment="1">
      <alignment/>
    </xf>
    <xf numFmtId="0" fontId="92" fillId="0" borderId="0" xfId="0" applyFont="1" applyAlignment="1">
      <alignment/>
    </xf>
    <xf numFmtId="0" fontId="0" fillId="0" borderId="0" xfId="0" applyAlignment="1">
      <alignment wrapText="1"/>
    </xf>
    <xf numFmtId="0" fontId="93" fillId="35" borderId="40" xfId="0" applyFont="1" applyFill="1" applyBorder="1" applyAlignment="1">
      <alignment vertical="center" wrapText="1"/>
    </xf>
    <xf numFmtId="0" fontId="93" fillId="35" borderId="13" xfId="0" applyFont="1" applyFill="1" applyBorder="1" applyAlignment="1">
      <alignment vertical="center" wrapText="1"/>
    </xf>
    <xf numFmtId="0" fontId="94" fillId="0" borderId="41" xfId="0" applyFont="1" applyBorder="1" applyAlignment="1">
      <alignment vertical="center" wrapText="1"/>
    </xf>
    <xf numFmtId="0" fontId="94" fillId="0" borderId="42" xfId="0" applyFont="1" applyBorder="1" applyAlignment="1">
      <alignment vertical="center" wrapText="1"/>
    </xf>
    <xf numFmtId="0" fontId="94" fillId="0" borderId="11" xfId="0" applyFont="1" applyBorder="1" applyAlignment="1">
      <alignment vertical="center" wrapText="1"/>
    </xf>
    <xf numFmtId="1" fontId="3" fillId="0" borderId="10" xfId="0" applyNumberFormat="1" applyFont="1" applyFill="1" applyBorder="1" applyAlignment="1">
      <alignment horizontal="center"/>
    </xf>
    <xf numFmtId="0" fontId="98" fillId="27" borderId="18" xfId="0" applyFont="1" applyFill="1" applyBorder="1" applyAlignment="1">
      <alignment horizontal="center" vertical="center" wrapText="1"/>
    </xf>
    <xf numFmtId="0" fontId="98" fillId="27" borderId="15" xfId="0" applyFont="1" applyFill="1" applyBorder="1" applyAlignment="1">
      <alignment horizontal="center" vertical="center" wrapText="1"/>
    </xf>
    <xf numFmtId="1" fontId="96" fillId="0" borderId="27" xfId="0" applyNumberFormat="1" applyFont="1" applyBorder="1" applyAlignment="1">
      <alignment horizontal="center"/>
    </xf>
    <xf numFmtId="0" fontId="98" fillId="27" borderId="19" xfId="0" applyFont="1" applyFill="1" applyBorder="1" applyAlignment="1">
      <alignment horizontal="center" vertical="center" wrapText="1"/>
    </xf>
    <xf numFmtId="0" fontId="98" fillId="27" borderId="37" xfId="0" applyFont="1" applyFill="1" applyBorder="1" applyAlignment="1">
      <alignment horizontal="center" vertical="center" wrapText="1"/>
    </xf>
    <xf numFmtId="0" fontId="98" fillId="27" borderId="20" xfId="0" applyFont="1" applyFill="1" applyBorder="1" applyAlignment="1">
      <alignment horizontal="center" vertical="center" wrapText="1"/>
    </xf>
    <xf numFmtId="0" fontId="98" fillId="27" borderId="18" xfId="0" applyFont="1" applyFill="1" applyBorder="1" applyAlignment="1">
      <alignment horizontal="center" vertical="center"/>
    </xf>
    <xf numFmtId="0" fontId="98" fillId="27" borderId="15" xfId="0" applyFont="1" applyFill="1" applyBorder="1" applyAlignment="1">
      <alignment horizontal="center" vertical="center"/>
    </xf>
    <xf numFmtId="0" fontId="97" fillId="0" borderId="10" xfId="0" applyFont="1" applyBorder="1" applyAlignment="1">
      <alignment horizontal="center"/>
    </xf>
    <xf numFmtId="0" fontId="96" fillId="0" borderId="0" xfId="0" applyFont="1" applyAlignment="1">
      <alignment horizontal="center"/>
    </xf>
    <xf numFmtId="0" fontId="119" fillId="0" borderId="27" xfId="0" applyFont="1" applyBorder="1" applyAlignment="1">
      <alignment horizontal="center" vertical="center"/>
    </xf>
    <xf numFmtId="0" fontId="97" fillId="37" borderId="10" xfId="0" applyFont="1" applyFill="1" applyBorder="1" applyAlignment="1">
      <alignment horizontal="center" vertical="center"/>
    </xf>
    <xf numFmtId="0" fontId="101" fillId="0" borderId="10" xfId="0" applyFont="1" applyBorder="1" applyAlignment="1">
      <alignment horizontal="center" vertical="center" wrapText="1"/>
    </xf>
    <xf numFmtId="0" fontId="97" fillId="27" borderId="38" xfId="0" applyFont="1" applyFill="1" applyBorder="1" applyAlignment="1">
      <alignment horizontal="center"/>
    </xf>
    <xf numFmtId="0" fontId="97" fillId="27" borderId="0" xfId="0" applyFont="1" applyFill="1" applyBorder="1" applyAlignment="1">
      <alignment horizontal="center"/>
    </xf>
    <xf numFmtId="0" fontId="97" fillId="27" borderId="43" xfId="0" applyFont="1" applyFill="1" applyBorder="1" applyAlignment="1">
      <alignment horizontal="center" vertical="center"/>
    </xf>
    <xf numFmtId="0" fontId="97" fillId="27" borderId="27" xfId="0" applyFont="1" applyFill="1" applyBorder="1" applyAlignment="1">
      <alignment horizontal="center" vertical="center"/>
    </xf>
    <xf numFmtId="0" fontId="101" fillId="0" borderId="17" xfId="0" applyFont="1" applyBorder="1" applyAlignment="1">
      <alignment horizontal="center" vertical="center"/>
    </xf>
    <xf numFmtId="0" fontId="101" fillId="0" borderId="39" xfId="0" applyFont="1" applyBorder="1" applyAlignment="1">
      <alignment horizontal="center" vertical="center"/>
    </xf>
    <xf numFmtId="0" fontId="101" fillId="0" borderId="35" xfId="0" applyFont="1" applyBorder="1" applyAlignment="1">
      <alignment horizontal="center" vertical="center"/>
    </xf>
    <xf numFmtId="0" fontId="97" fillId="0" borderId="27" xfId="0" applyFont="1" applyBorder="1" applyAlignment="1">
      <alignment horizontal="center" vertical="center"/>
    </xf>
    <xf numFmtId="0" fontId="97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98" fillId="27" borderId="19" xfId="0" applyFont="1" applyFill="1" applyBorder="1" applyAlignment="1">
      <alignment horizontal="center"/>
    </xf>
    <xf numFmtId="0" fontId="98" fillId="27" borderId="37" xfId="0" applyFont="1" applyFill="1" applyBorder="1" applyAlignment="1">
      <alignment horizontal="center"/>
    </xf>
    <xf numFmtId="0" fontId="98" fillId="27" borderId="20" xfId="0" applyFont="1" applyFill="1" applyBorder="1" applyAlignment="1">
      <alignment horizontal="center"/>
    </xf>
    <xf numFmtId="0" fontId="98" fillId="27" borderId="10" xfId="0" applyFont="1" applyFill="1" applyBorder="1" applyAlignment="1">
      <alignment horizontal="center" vertical="center"/>
    </xf>
    <xf numFmtId="0" fontId="104" fillId="27" borderId="18" xfId="0" applyFont="1" applyFill="1" applyBorder="1" applyAlignment="1">
      <alignment horizontal="center" vertical="center" wrapText="1"/>
    </xf>
    <xf numFmtId="0" fontId="104" fillId="27" borderId="25" xfId="0" applyFont="1" applyFill="1" applyBorder="1" applyAlignment="1">
      <alignment horizontal="center" vertical="center" wrapText="1"/>
    </xf>
    <xf numFmtId="0" fontId="104" fillId="27" borderId="10" xfId="0" applyFont="1" applyFill="1" applyBorder="1" applyAlignment="1">
      <alignment horizontal="center" vertical="center" wrapText="1"/>
    </xf>
    <xf numFmtId="0" fontId="104" fillId="27" borderId="35" xfId="0" applyFont="1" applyFill="1" applyBorder="1" applyAlignment="1">
      <alignment horizontal="center" vertical="center" wrapText="1"/>
    </xf>
    <xf numFmtId="0" fontId="104" fillId="27" borderId="16" xfId="0" applyFont="1" applyFill="1" applyBorder="1" applyAlignment="1">
      <alignment horizontal="center" vertical="center" wrapText="1"/>
    </xf>
    <xf numFmtId="9" fontId="88" fillId="0" borderId="16" xfId="0" applyNumberFormat="1" applyFont="1" applyFill="1" applyBorder="1" applyAlignment="1">
      <alignment horizontal="center" vertical="center"/>
    </xf>
    <xf numFmtId="0" fontId="88" fillId="0" borderId="16" xfId="0" applyFont="1" applyFill="1" applyBorder="1" applyAlignment="1">
      <alignment horizontal="center" vertical="center"/>
    </xf>
    <xf numFmtId="0" fontId="119" fillId="0" borderId="10" xfId="0" applyFont="1" applyFill="1" applyBorder="1" applyAlignment="1">
      <alignment horizontal="center"/>
    </xf>
    <xf numFmtId="0" fontId="96" fillId="0" borderId="19" xfId="0" applyFont="1" applyFill="1" applyBorder="1" applyAlignment="1">
      <alignment horizontal="center"/>
    </xf>
    <xf numFmtId="0" fontId="96" fillId="0" borderId="37" xfId="0" applyFont="1" applyFill="1" applyBorder="1" applyAlignment="1">
      <alignment horizontal="center"/>
    </xf>
    <xf numFmtId="0" fontId="96" fillId="0" borderId="20" xfId="0" applyFont="1" applyFill="1" applyBorder="1" applyAlignment="1">
      <alignment horizontal="center"/>
    </xf>
    <xf numFmtId="0" fontId="96" fillId="0" borderId="15" xfId="0" applyFont="1" applyFill="1" applyBorder="1" applyAlignment="1">
      <alignment horizontal="center"/>
    </xf>
    <xf numFmtId="0" fontId="96" fillId="0" borderId="10" xfId="0" applyFont="1" applyFill="1" applyBorder="1" applyAlignment="1">
      <alignment horizontal="center"/>
    </xf>
    <xf numFmtId="9" fontId="0" fillId="0" borderId="16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119" fillId="0" borderId="0" xfId="0" applyFont="1" applyFill="1" applyAlignment="1">
      <alignment horizontal="center"/>
    </xf>
    <xf numFmtId="0" fontId="98" fillId="27" borderId="10" xfId="0" applyFont="1" applyFill="1" applyBorder="1" applyAlignment="1">
      <alignment horizontal="center" vertical="center" wrapText="1"/>
    </xf>
    <xf numFmtId="0" fontId="98" fillId="27" borderId="35" xfId="0" applyFont="1" applyFill="1" applyBorder="1" applyAlignment="1">
      <alignment horizontal="center" vertical="center" wrapText="1"/>
    </xf>
    <xf numFmtId="0" fontId="98" fillId="27" borderId="36" xfId="0" applyFont="1" applyFill="1" applyBorder="1" applyAlignment="1">
      <alignment horizontal="center" vertical="center" wrapText="1"/>
    </xf>
    <xf numFmtId="0" fontId="96" fillId="0" borderId="0" xfId="0" applyFont="1" applyAlignment="1">
      <alignment vertical="center"/>
    </xf>
    <xf numFmtId="0" fontId="96" fillId="0" borderId="0" xfId="0" applyFont="1" applyFill="1" applyAlignment="1">
      <alignment vertical="center"/>
    </xf>
    <xf numFmtId="0" fontId="97" fillId="0" borderId="0" xfId="0" applyFont="1" applyFill="1" applyAlignment="1">
      <alignment vertical="center"/>
    </xf>
    <xf numFmtId="0" fontId="96" fillId="0" borderId="25" xfId="0" applyFont="1" applyFill="1" applyBorder="1" applyAlignment="1">
      <alignment vertical="center"/>
    </xf>
    <xf numFmtId="0" fontId="120" fillId="0" borderId="25" xfId="0" applyFont="1" applyFill="1" applyBorder="1" applyAlignment="1">
      <alignment vertical="center"/>
    </xf>
    <xf numFmtId="1" fontId="96" fillId="0" borderId="0" xfId="0" applyNumberFormat="1" applyFont="1" applyAlignment="1">
      <alignment vertical="center"/>
    </xf>
    <xf numFmtId="183" fontId="121" fillId="0" borderId="10" xfId="0" applyNumberFormat="1" applyFont="1" applyBorder="1" applyAlignment="1">
      <alignment horizontal="center" vertical="center"/>
    </xf>
    <xf numFmtId="177" fontId="121" fillId="0" borderId="10" xfId="0" applyNumberFormat="1" applyFont="1" applyBorder="1" applyAlignment="1">
      <alignment horizontal="center" vertical="center"/>
    </xf>
    <xf numFmtId="0" fontId="98" fillId="27" borderId="10" xfId="0" applyFont="1" applyFill="1" applyBorder="1" applyAlignment="1">
      <alignment horizontal="left" vertical="center" wrapText="1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ancel 2 2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Hyperlink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3" xfId="59"/>
    <cellStyle name="Normal 4" xfId="60"/>
    <cellStyle name="Normal 7 3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VARIACIÓN EN EL MONTO DE INVERSIÓN</a:t>
            </a:r>
          </a:p>
        </c:rich>
      </c:tx>
      <c:layout>
        <c:manualLayout>
          <c:xMode val="factor"/>
          <c:yMode val="factor"/>
          <c:x val="-0.0017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5"/>
          <c:y val="0.09475"/>
          <c:w val="0.8115"/>
          <c:h val="0.837"/>
        </c:manualLayout>
      </c:layout>
      <c:lineChart>
        <c:grouping val="standard"/>
        <c:varyColors val="0"/>
        <c:ser>
          <c:idx val="0"/>
          <c:order val="0"/>
          <c:tx>
            <c:strRef>
              <c:f>'A. SENSIBILIDAD'!$F$21</c:f>
              <c:strCache>
                <c:ptCount val="1"/>
                <c:pt idx="0">
                  <c:v>VAN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'A. SENSIBILIDAD'!$E$22:$E$28</c:f>
              <c:numCache/>
            </c:numRef>
          </c:cat>
          <c:val>
            <c:numRef>
              <c:f>'A. SENSIBILIDAD'!$F$22:$F$28</c:f>
              <c:numCache/>
            </c:numRef>
          </c:val>
          <c:smooth val="0"/>
        </c:ser>
        <c:marker val="1"/>
        <c:axId val="584711"/>
        <c:axId val="5262400"/>
      </c:lineChart>
      <c:catAx>
        <c:axId val="584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VARIACIÓN %</a:t>
                </a:r>
              </a:p>
            </c:rich>
          </c:tx>
          <c:layout>
            <c:manualLayout>
              <c:xMode val="factor"/>
              <c:yMode val="factor"/>
              <c:x val="0.02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62400"/>
        <c:crosses val="autoZero"/>
        <c:auto val="1"/>
        <c:lblOffset val="100"/>
        <c:tickLblSkip val="1"/>
        <c:noMultiLvlLbl val="0"/>
      </c:catAx>
      <c:valAx>
        <c:axId val="5262400"/>
        <c:scaling>
          <c:orientation val="minMax"/>
          <c:min val="-1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VAN</a:t>
                </a:r>
              </a:p>
            </c:rich>
          </c:tx>
          <c:layout>
            <c:manualLayout>
              <c:xMode val="factor"/>
              <c:yMode val="factor"/>
              <c:x val="-0.038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47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2"/>
          <c:y val="0.51475"/>
          <c:w val="0.099"/>
          <c:h val="0.0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VARIACIÓN EN LOS BENEFICIOS</a:t>
            </a:r>
          </a:p>
        </c:rich>
      </c:tx>
      <c:layout>
        <c:manualLayout>
          <c:xMode val="factor"/>
          <c:yMode val="factor"/>
          <c:x val="-0.0017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09275"/>
          <c:w val="0.814"/>
          <c:h val="0.84"/>
        </c:manualLayout>
      </c:layout>
      <c:lineChart>
        <c:grouping val="standard"/>
        <c:varyColors val="0"/>
        <c:ser>
          <c:idx val="0"/>
          <c:order val="0"/>
          <c:tx>
            <c:strRef>
              <c:f>'A. SENSIBILIDAD'!$F$30</c:f>
              <c:strCache>
                <c:ptCount val="1"/>
                <c:pt idx="0">
                  <c:v>VAN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'A. SENSIBILIDAD'!$E$31:$E$35</c:f>
              <c:numCache/>
            </c:numRef>
          </c:cat>
          <c:val>
            <c:numRef>
              <c:f>'A. SENSIBILIDAD'!$F$31:$F$35</c:f>
              <c:numCache/>
            </c:numRef>
          </c:val>
          <c:smooth val="0"/>
        </c:ser>
        <c:marker val="1"/>
        <c:axId val="47361601"/>
        <c:axId val="23601226"/>
      </c:lineChart>
      <c:catAx>
        <c:axId val="473616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VARIACIÓN %</a:t>
                </a:r>
              </a:p>
            </c:rich>
          </c:tx>
          <c:layout>
            <c:manualLayout>
              <c:xMode val="factor"/>
              <c:yMode val="factor"/>
              <c:x val="0.019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601226"/>
        <c:crosses val="autoZero"/>
        <c:auto val="1"/>
        <c:lblOffset val="100"/>
        <c:tickLblSkip val="1"/>
        <c:noMultiLvlLbl val="0"/>
      </c:catAx>
      <c:valAx>
        <c:axId val="23601226"/>
        <c:scaling>
          <c:orientation val="minMax"/>
          <c:min val="-1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VAN</a:t>
                </a:r>
              </a:p>
            </c:rich>
          </c:tx>
          <c:layout>
            <c:manualLayout>
              <c:xMode val="factor"/>
              <c:yMode val="factor"/>
              <c:x val="-0.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3616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35"/>
          <c:y val="0.5145"/>
          <c:w val="0.09775"/>
          <c:h val="0.06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VARIACIÓN EN LOS COSTOS DE OPERACIÓN Y MANTENIMIENTO</a:t>
            </a:r>
          </a:p>
        </c:rich>
      </c:tx>
      <c:layout>
        <c:manualLayout>
          <c:xMode val="factor"/>
          <c:yMode val="factor"/>
          <c:x val="-0.0017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75"/>
          <c:y val="0.12425"/>
          <c:w val="0.81425"/>
          <c:h val="0.82075"/>
        </c:manualLayout>
      </c:layout>
      <c:lineChart>
        <c:grouping val="standard"/>
        <c:varyColors val="0"/>
        <c:ser>
          <c:idx val="0"/>
          <c:order val="0"/>
          <c:tx>
            <c:strRef>
              <c:f>'A. SENSIBILIDAD'!$F$37</c:f>
              <c:strCache>
                <c:ptCount val="1"/>
                <c:pt idx="0">
                  <c:v>VAN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'A. SENSIBILIDAD'!$E$38:$E$44</c:f>
              <c:numCache/>
            </c:numRef>
          </c:cat>
          <c:val>
            <c:numRef>
              <c:f>'A. SENSIBILIDAD'!$F$38:$F$44</c:f>
              <c:numCache/>
            </c:numRef>
          </c:val>
          <c:smooth val="0"/>
        </c:ser>
        <c:marker val="1"/>
        <c:axId val="11084443"/>
        <c:axId val="32651124"/>
      </c:lineChart>
      <c:catAx>
        <c:axId val="110844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VARIACIÓN %</a:t>
                </a:r>
              </a:p>
            </c:rich>
          </c:tx>
          <c:layout>
            <c:manualLayout>
              <c:xMode val="factor"/>
              <c:yMode val="factor"/>
              <c:x val="0.01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651124"/>
        <c:crosses val="autoZero"/>
        <c:auto val="1"/>
        <c:lblOffset val="100"/>
        <c:tickLblSkip val="1"/>
        <c:noMultiLvlLbl val="0"/>
      </c:catAx>
      <c:valAx>
        <c:axId val="32651124"/>
        <c:scaling>
          <c:orientation val="minMax"/>
          <c:min val="-1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VAN</a:t>
                </a:r>
              </a:p>
            </c:rich>
          </c:tx>
          <c:layout>
            <c:manualLayout>
              <c:xMode val="factor"/>
              <c:yMode val="factor"/>
              <c:x val="-0.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0844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375"/>
          <c:y val="0.53675"/>
          <c:w val="0.0975"/>
          <c:h val="0.04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409575</xdr:colOff>
      <xdr:row>91</xdr:row>
      <xdr:rowOff>552450</xdr:rowOff>
    </xdr:from>
    <xdr:to>
      <xdr:col>15</xdr:col>
      <xdr:colOff>666750</xdr:colOff>
      <xdr:row>91</xdr:row>
      <xdr:rowOff>571500</xdr:rowOff>
    </xdr:to>
    <xdr:pic>
      <xdr:nvPicPr>
        <xdr:cNvPr id="1" name="image2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92100" y="33851850"/>
          <a:ext cx="10191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19</xdr:row>
      <xdr:rowOff>9525</xdr:rowOff>
    </xdr:from>
    <xdr:to>
      <xdr:col>14</xdr:col>
      <xdr:colOff>714375</xdr:colOff>
      <xdr:row>34</xdr:row>
      <xdr:rowOff>161925</xdr:rowOff>
    </xdr:to>
    <xdr:graphicFrame>
      <xdr:nvGraphicFramePr>
        <xdr:cNvPr id="1" name="1 Gráfico"/>
        <xdr:cNvGraphicFramePr/>
      </xdr:nvGraphicFramePr>
      <xdr:xfrm>
        <a:off x="8248650" y="4133850"/>
        <a:ext cx="546735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152400</xdr:colOff>
      <xdr:row>19</xdr:row>
      <xdr:rowOff>0</xdr:rowOff>
    </xdr:from>
    <xdr:to>
      <xdr:col>22</xdr:col>
      <xdr:colOff>66675</xdr:colOff>
      <xdr:row>35</xdr:row>
      <xdr:rowOff>19050</xdr:rowOff>
    </xdr:to>
    <xdr:graphicFrame>
      <xdr:nvGraphicFramePr>
        <xdr:cNvPr id="2" name="2 Gráfico"/>
        <xdr:cNvGraphicFramePr/>
      </xdr:nvGraphicFramePr>
      <xdr:xfrm>
        <a:off x="14268450" y="4124325"/>
        <a:ext cx="5543550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733425</xdr:colOff>
      <xdr:row>37</xdr:row>
      <xdr:rowOff>76200</xdr:rowOff>
    </xdr:from>
    <xdr:to>
      <xdr:col>17</xdr:col>
      <xdr:colOff>514350</xdr:colOff>
      <xdr:row>54</xdr:row>
      <xdr:rowOff>28575</xdr:rowOff>
    </xdr:to>
    <xdr:graphicFrame>
      <xdr:nvGraphicFramePr>
        <xdr:cNvPr id="3" name="3 Gráfico"/>
        <xdr:cNvGraphicFramePr/>
      </xdr:nvGraphicFramePr>
      <xdr:xfrm>
        <a:off x="10896600" y="7629525"/>
        <a:ext cx="5553075" cy="3724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gpp_usuario19\Documents\MANUELA\OPMI-MININTER\TRABAJOS%20REALIZADOS-MININTER\APROBADOS\A&#209;O%202018\1%20ENTREGABLE-2018\CARABAYLLO\EXCEL-CARABAYLL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VANCE\Escritorio\Libros%20Demografia\LIBRO%20EDADES%20QUINQUENALES,%202005-2015\PROY%20CONSOLIDADO%20DISTRITO%202005-2015%20EDITADO%20(PARA%20LIBRO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gpp_usuario19\Documents\MANUELA\OPMI-MININTER\TRABAJOS%20REALIZADOS-MININTER\APROBADOS\8%20ENTREGABLE\PIP%20ANCON\VERSION%20NOVIEMBRE\ANCON-OK-IMPRIMIR\PIP%20Ancon-CORRIDAS%20MININTE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STO DE OBRA-COSC"/>
      <sheetName val="COSTO DE OBRA-PAR"/>
      <sheetName val="PUNTOS CRITICOS-S-1"/>
      <sheetName val="PUNTOS CRITICOS S-2-3-4"/>
      <sheetName val="PUNTOS CRITICOS S-5-6"/>
      <sheetName val="CAMARAS A INSTALAR"/>
      <sheetName val="PROGRAMACIÓN ARQUITECTÓNICA"/>
      <sheetName val="COMPONENTES"/>
      <sheetName val="INV COMP 1"/>
      <sheetName val="INV COMP 2"/>
      <sheetName val="INV COMP 3"/>
      <sheetName val="INV COMP 4"/>
      <sheetName val="INV COMP 5"/>
      <sheetName val="INV COMP 6"/>
      <sheetName val="INV COMP 7"/>
      <sheetName val="RESUMEN DE INVERSIÓN"/>
      <sheetName val="PERCEPCIÓN DE INSEGURIDAD"/>
      <sheetName val="TASA DE CRECIMIENTO"/>
      <sheetName val="ANALISIS DE DEMANDA"/>
      <sheetName val="ANALISIS DE OFERTA"/>
      <sheetName val="BALANCE OFERTA-DEMANDA"/>
      <sheetName val="O&amp;M SP"/>
      <sheetName val="O&amp;M CP"/>
      <sheetName val="FLUJO INCREMENTAL A PM"/>
      <sheetName val="EVALUACION ECONOMICA SOCIAL"/>
      <sheetName val="ARBITRIO"/>
      <sheetName val="A. SENSIBILIDAD"/>
      <sheetName val="CRONOGRAMA FISICO Y FINANCIERO"/>
      <sheetName val="EVALUACION ECONOMICA SOCIAL (2"/>
    </sheetNames>
    <sheetDataSet>
      <sheetData sheetId="15">
        <row r="3">
          <cell r="E3">
            <v>1020275.1288696</v>
          </cell>
        </row>
        <row r="4">
          <cell r="E4">
            <v>0</v>
          </cell>
        </row>
        <row r="6">
          <cell r="E6">
            <v>312081.13</v>
          </cell>
        </row>
        <row r="8">
          <cell r="E8">
            <v>5246196.180000001</v>
          </cell>
        </row>
        <row r="9">
          <cell r="E9">
            <v>342636.01</v>
          </cell>
        </row>
        <row r="11">
          <cell r="E11">
            <v>1327572</v>
          </cell>
        </row>
        <row r="12">
          <cell r="E12">
            <v>48180</v>
          </cell>
        </row>
        <row r="14">
          <cell r="E14">
            <v>306120</v>
          </cell>
        </row>
        <row r="16">
          <cell r="E16">
            <v>24690</v>
          </cell>
        </row>
        <row r="21">
          <cell r="E21">
            <v>50437.329817000005</v>
          </cell>
        </row>
      </sheetData>
      <sheetData sheetId="18">
        <row r="2">
          <cell r="B2">
            <v>0</v>
          </cell>
          <cell r="C2">
            <v>1</v>
          </cell>
          <cell r="D2">
            <v>2</v>
          </cell>
          <cell r="E2">
            <v>3</v>
          </cell>
          <cell r="F2">
            <v>4</v>
          </cell>
          <cell r="G2">
            <v>5</v>
          </cell>
          <cell r="H2">
            <v>6</v>
          </cell>
          <cell r="I2">
            <v>7</v>
          </cell>
          <cell r="J2">
            <v>8</v>
          </cell>
          <cell r="K2">
            <v>9</v>
          </cell>
          <cell r="L2">
            <v>10</v>
          </cell>
        </row>
        <row r="3">
          <cell r="B3">
            <v>2018</v>
          </cell>
          <cell r="C3">
            <v>2019</v>
          </cell>
          <cell r="D3">
            <v>2020</v>
          </cell>
          <cell r="E3">
            <v>2021</v>
          </cell>
          <cell r="F3">
            <v>2022</v>
          </cell>
          <cell r="G3">
            <v>2023</v>
          </cell>
          <cell r="H3">
            <v>2024</v>
          </cell>
          <cell r="I3">
            <v>2025</v>
          </cell>
          <cell r="J3">
            <v>2026</v>
          </cell>
          <cell r="K3">
            <v>2027</v>
          </cell>
          <cell r="L3">
            <v>2028</v>
          </cell>
        </row>
        <row r="4">
          <cell r="A4" t="str">
            <v>POBLACIÓN DEMANDANTE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mponentes"/>
      <sheetName val="PRESUPUESTO COSC TIPO I"/>
      <sheetName val="Comp1"/>
      <sheetName val="programaArquite"/>
      <sheetName val="Comp2"/>
      <sheetName val="comp3"/>
      <sheetName val="comp4"/>
      <sheetName val="compo5"/>
      <sheetName val="comp6"/>
      <sheetName val="RESUMEN INVERSIÓN"/>
      <sheetName val="INVERSIÓN"/>
      <sheetName val="CALCULO DE TASAS DE CRECIMIENTO"/>
      <sheetName val="ppto"/>
      <sheetName val="C O&amp;M R"/>
      <sheetName val="FLUJO"/>
      <sheetName val="benficio"/>
      <sheetName val="sensibi"/>
      <sheetName val="crongrama"/>
      <sheetName val="ESTADISTICA DE DELITOS"/>
      <sheetName val="UB ACTUAL DE CAMARAS Y CASETAS"/>
      <sheetName val="SUPUESTOS OFERTA"/>
      <sheetName val="SIECYSC-INEI"/>
      <sheetName val="PROYECCION DE POBLACIÓN"/>
      <sheetName val="BALANCE"/>
      <sheetName val="Hoja7"/>
      <sheetName val="O&amp;M C-S PROYECTRO"/>
      <sheetName val="C. INCREMENTALES A P DE MERCADO"/>
      <sheetName val="EVALUACIÓN SOCIAL"/>
      <sheetName val="ARBITRIO"/>
      <sheetName val="ANALISIS DE SENSIBILIDAD"/>
      <sheetName val="CRON. DE A. FINANCIERO-FISICO "/>
      <sheetName val="Hoja1"/>
    </sheetNames>
    <sheetDataSet>
      <sheetData sheetId="22">
        <row r="15">
          <cell r="A15" t="str">
            <v>Proyecciones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1"/>
  <sheetViews>
    <sheetView zoomScalePageLayoutView="0" workbookViewId="0" topLeftCell="A1">
      <selection activeCell="B8" sqref="B8"/>
    </sheetView>
  </sheetViews>
  <sheetFormatPr defaultColWidth="11.421875" defaultRowHeight="15"/>
  <cols>
    <col min="1" max="1" width="11.421875" style="384" customWidth="1"/>
    <col min="2" max="2" width="47.421875" style="0" customWidth="1"/>
    <col min="3" max="4" width="13.00390625" style="0" bestFit="1" customWidth="1"/>
    <col min="5" max="5" width="22.8515625" style="0" bestFit="1" customWidth="1"/>
    <col min="6" max="6" width="18.57421875" style="0" bestFit="1" customWidth="1"/>
    <col min="8" max="8" width="14.8515625" style="0" customWidth="1"/>
  </cols>
  <sheetData>
    <row r="1" s="384" customFormat="1" ht="15"/>
    <row r="2" spans="2:3" ht="15">
      <c r="B2" s="209" t="s">
        <v>263</v>
      </c>
      <c r="C2" s="221" t="s">
        <v>280</v>
      </c>
    </row>
    <row r="3" spans="2:3" ht="24">
      <c r="B3" s="219" t="s">
        <v>273</v>
      </c>
      <c r="C3" s="261">
        <f>C17</f>
        <v>222469.3176</v>
      </c>
    </row>
    <row r="4" spans="2:5" ht="15">
      <c r="B4" s="219" t="s">
        <v>271</v>
      </c>
      <c r="C4" s="261">
        <f>D17+E17</f>
        <v>138708.1032</v>
      </c>
      <c r="E4" s="279"/>
    </row>
    <row r="7" spans="2:11" ht="15">
      <c r="B7" s="268" t="s">
        <v>176</v>
      </c>
      <c r="C7" s="268" t="s">
        <v>408</v>
      </c>
      <c r="D7" s="268" t="s">
        <v>417</v>
      </c>
      <c r="E7" s="268" t="s">
        <v>418</v>
      </c>
      <c r="F7" s="268" t="s">
        <v>409</v>
      </c>
      <c r="J7" s="217"/>
      <c r="K7" s="217"/>
    </row>
    <row r="8" spans="2:11" ht="15">
      <c r="B8" s="281" t="s">
        <v>419</v>
      </c>
      <c r="C8" s="270">
        <v>55246.72</v>
      </c>
      <c r="D8" s="270">
        <v>20534.39</v>
      </c>
      <c r="E8" s="270">
        <v>25034.39</v>
      </c>
      <c r="F8" s="316"/>
      <c r="J8" s="217"/>
      <c r="K8" s="217"/>
    </row>
    <row r="9" spans="2:11" ht="15">
      <c r="B9" s="281" t="s">
        <v>420</v>
      </c>
      <c r="C9" s="270">
        <v>80281.06</v>
      </c>
      <c r="D9" s="270">
        <v>20829.36</v>
      </c>
      <c r="E9" s="270">
        <v>20829.36</v>
      </c>
      <c r="F9" s="317"/>
      <c r="J9" s="217"/>
      <c r="K9" s="217"/>
    </row>
    <row r="10" spans="2:11" ht="15">
      <c r="B10" s="281" t="s">
        <v>421</v>
      </c>
      <c r="C10" s="270">
        <v>5390.17</v>
      </c>
      <c r="D10" s="270">
        <v>2001.38</v>
      </c>
      <c r="E10" s="270">
        <v>2001.38</v>
      </c>
      <c r="F10" s="317"/>
      <c r="J10" s="217"/>
      <c r="K10" s="217"/>
    </row>
    <row r="11" spans="2:6" ht="15">
      <c r="B11" s="281" t="s">
        <v>422</v>
      </c>
      <c r="C11" s="270">
        <v>16193.15</v>
      </c>
      <c r="D11" s="270">
        <v>3363.72</v>
      </c>
      <c r="E11" s="270">
        <v>3363.72</v>
      </c>
      <c r="F11" s="317"/>
    </row>
    <row r="12" spans="2:6" ht="15">
      <c r="B12" s="282" t="s">
        <v>258</v>
      </c>
      <c r="C12" s="269">
        <f>SUM(C8:C11)</f>
        <v>157111.1</v>
      </c>
      <c r="D12" s="269">
        <f>SUM(D8:D11)</f>
        <v>46728.85</v>
      </c>
      <c r="E12" s="269">
        <f>SUM(E8:E11)</f>
        <v>51228.85</v>
      </c>
      <c r="F12" s="270">
        <f>C12+D12+E12</f>
        <v>255068.80000000002</v>
      </c>
    </row>
    <row r="13" spans="2:6" ht="15">
      <c r="B13" s="277" t="s">
        <v>410</v>
      </c>
      <c r="C13" s="270">
        <f>C12*10%</f>
        <v>15711.11</v>
      </c>
      <c r="D13" s="270">
        <f>D12*10%</f>
        <v>4672.885</v>
      </c>
      <c r="E13" s="270">
        <f>E12*10%</f>
        <v>5122.885</v>
      </c>
      <c r="F13" s="317"/>
    </row>
    <row r="14" spans="2:6" ht="15">
      <c r="B14" s="277" t="s">
        <v>411</v>
      </c>
      <c r="C14" s="270">
        <f>C12*10%</f>
        <v>15711.11</v>
      </c>
      <c r="D14" s="270">
        <f>D12*10%</f>
        <v>4672.885</v>
      </c>
      <c r="E14" s="270">
        <f>E12*10%</f>
        <v>5122.885</v>
      </c>
      <c r="F14" s="317"/>
    </row>
    <row r="15" spans="2:6" ht="15">
      <c r="B15" s="276" t="s">
        <v>412</v>
      </c>
      <c r="C15" s="269">
        <f>SUM(C12:C14)</f>
        <v>188533.32</v>
      </c>
      <c r="D15" s="269">
        <f>SUM(D12:D14)</f>
        <v>56074.62</v>
      </c>
      <c r="E15" s="269">
        <f>SUM(E12:E14)</f>
        <v>61474.62</v>
      </c>
      <c r="F15" s="317"/>
    </row>
    <row r="16" spans="2:6" ht="15">
      <c r="B16" s="277" t="s">
        <v>413</v>
      </c>
      <c r="C16" s="270">
        <f>C15*18%</f>
        <v>33935.9976</v>
      </c>
      <c r="D16" s="270">
        <f>D15*18%</f>
        <v>10093.4316</v>
      </c>
      <c r="E16" s="270">
        <f>E15*18%</f>
        <v>11065.4316</v>
      </c>
      <c r="F16" s="318"/>
    </row>
    <row r="17" spans="2:6" ht="25.5">
      <c r="B17" s="278" t="s">
        <v>414</v>
      </c>
      <c r="C17" s="271">
        <f>SUM(C15:C16)</f>
        <v>222469.3176</v>
      </c>
      <c r="D17" s="271">
        <f>SUM(D15:D16)</f>
        <v>66168.0516</v>
      </c>
      <c r="E17" s="271">
        <f>SUM(E15:E16)</f>
        <v>72540.0516</v>
      </c>
      <c r="F17" s="272">
        <f>C17+D17+E17</f>
        <v>361177.4208</v>
      </c>
    </row>
    <row r="18" spans="2:6" ht="15">
      <c r="B18" s="273"/>
      <c r="C18" s="273"/>
      <c r="D18" s="273"/>
      <c r="E18" s="217"/>
      <c r="F18" s="217"/>
    </row>
    <row r="19" spans="2:6" ht="37.5" customHeight="1">
      <c r="B19" s="280" t="s">
        <v>415</v>
      </c>
      <c r="C19" s="274">
        <f>F12*5%</f>
        <v>12753.440000000002</v>
      </c>
      <c r="D19" s="273"/>
      <c r="E19" s="217"/>
      <c r="F19" s="217"/>
    </row>
    <row r="20" spans="2:6" ht="33.75" customHeight="1">
      <c r="B20" s="280" t="s">
        <v>416</v>
      </c>
      <c r="C20" s="274">
        <f>F12*7%</f>
        <v>17854.816000000003</v>
      </c>
      <c r="D20" s="273"/>
      <c r="F20" s="273"/>
    </row>
    <row r="21" spans="2:6" ht="15">
      <c r="B21" s="275"/>
      <c r="C21" s="275"/>
      <c r="D21" s="275"/>
      <c r="F21" s="275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</sheetPr>
  <dimension ref="A1:M66"/>
  <sheetViews>
    <sheetView zoomScale="120" zoomScaleNormal="120" zoomScalePageLayoutView="0" workbookViewId="0" topLeftCell="A52">
      <selection activeCell="B58" sqref="B58"/>
    </sheetView>
  </sheetViews>
  <sheetFormatPr defaultColWidth="11.421875" defaultRowHeight="15"/>
  <cols>
    <col min="1" max="1" width="47.421875" style="471" customWidth="1"/>
    <col min="2" max="2" width="39.28125" style="26" customWidth="1"/>
    <col min="3" max="3" width="14.7109375" style="26" customWidth="1"/>
    <col min="4" max="4" width="15.7109375" style="26" customWidth="1"/>
    <col min="5" max="5" width="13.8515625" style="26" bestFit="1" customWidth="1"/>
    <col min="6" max="6" width="14.57421875" style="26" customWidth="1"/>
    <col min="7" max="9" width="11.421875" style="26" customWidth="1"/>
    <col min="10" max="10" width="16.7109375" style="26" customWidth="1"/>
    <col min="11" max="16384" width="11.421875" style="26" customWidth="1"/>
  </cols>
  <sheetData>
    <row r="1" spans="2:3" ht="12.75">
      <c r="B1" s="27" t="s">
        <v>12</v>
      </c>
      <c r="C1" s="27"/>
    </row>
    <row r="2" spans="1:5" ht="12.75">
      <c r="A2" s="28" t="s">
        <v>13</v>
      </c>
      <c r="B2" s="29" t="s">
        <v>14</v>
      </c>
      <c r="C2" s="29" t="s">
        <v>604</v>
      </c>
      <c r="D2" s="30"/>
      <c r="E2" s="30"/>
    </row>
    <row r="3" spans="1:6" ht="12.75">
      <c r="A3" s="385" t="s">
        <v>15</v>
      </c>
      <c r="B3" s="31" t="s">
        <v>16</v>
      </c>
      <c r="C3" s="32">
        <v>4</v>
      </c>
      <c r="D3" s="30"/>
      <c r="E3" s="203"/>
      <c r="F3" s="33"/>
    </row>
    <row r="4" spans="1:6" ht="12.75">
      <c r="A4" s="385" t="s">
        <v>17</v>
      </c>
      <c r="B4" s="31" t="s">
        <v>18</v>
      </c>
      <c r="C4" s="32">
        <v>15</v>
      </c>
      <c r="D4" s="30"/>
      <c r="E4" s="30"/>
      <c r="F4" s="34"/>
    </row>
    <row r="5" spans="1:6" ht="12.75">
      <c r="A5" s="385" t="s">
        <v>19</v>
      </c>
      <c r="B5" s="31" t="s">
        <v>20</v>
      </c>
      <c r="C5" s="61">
        <v>40</v>
      </c>
      <c r="D5" s="30"/>
      <c r="E5" s="204"/>
      <c r="F5" s="34"/>
    </row>
    <row r="6" spans="1:6" ht="12.75">
      <c r="A6" s="385" t="s">
        <v>21</v>
      </c>
      <c r="B6" s="28" t="s">
        <v>12</v>
      </c>
      <c r="C6" s="35">
        <f>C5*C4*C3</f>
        <v>2400</v>
      </c>
      <c r="D6" s="30" t="s">
        <v>22</v>
      </c>
      <c r="E6" s="30"/>
      <c r="F6" s="34"/>
    </row>
    <row r="7" spans="1:6" ht="12.75">
      <c r="A7" s="472"/>
      <c r="B7" s="30"/>
      <c r="C7" s="30"/>
      <c r="D7" s="30"/>
      <c r="E7" s="30"/>
      <c r="F7" s="34"/>
    </row>
    <row r="8" spans="1:6" ht="12.75">
      <c r="A8" s="472"/>
      <c r="B8" s="30"/>
      <c r="C8" s="30"/>
      <c r="D8" s="30"/>
      <c r="E8" s="30"/>
      <c r="F8" s="34"/>
    </row>
    <row r="9" spans="1:6" ht="12.75">
      <c r="A9" s="472"/>
      <c r="B9" s="36" t="s">
        <v>23</v>
      </c>
      <c r="C9" s="36"/>
      <c r="D9" s="30"/>
      <c r="E9" s="30"/>
      <c r="F9" s="34"/>
    </row>
    <row r="10" spans="1:6" ht="12.75">
      <c r="A10" s="385" t="s">
        <v>13</v>
      </c>
      <c r="B10" s="29" t="s">
        <v>14</v>
      </c>
      <c r="C10" s="385" t="s">
        <v>604</v>
      </c>
      <c r="D10" s="30"/>
      <c r="E10" s="30"/>
      <c r="F10" s="34"/>
    </row>
    <row r="11" spans="1:5" ht="12.75">
      <c r="A11" s="385" t="s">
        <v>15</v>
      </c>
      <c r="B11" s="31" t="s">
        <v>24</v>
      </c>
      <c r="C11" s="37">
        <v>0.7</v>
      </c>
      <c r="D11" s="30"/>
      <c r="E11" s="30"/>
    </row>
    <row r="12" spans="1:5" ht="12.75">
      <c r="A12" s="385" t="s">
        <v>17</v>
      </c>
      <c r="B12" s="31" t="s">
        <v>25</v>
      </c>
      <c r="C12" s="38">
        <v>14</v>
      </c>
      <c r="D12" s="30" t="s">
        <v>26</v>
      </c>
      <c r="E12" s="30"/>
    </row>
    <row r="13" spans="1:5" ht="12.75">
      <c r="A13" s="385" t="s">
        <v>19</v>
      </c>
      <c r="B13" s="31" t="s">
        <v>27</v>
      </c>
      <c r="C13" s="38">
        <v>20</v>
      </c>
      <c r="D13" s="30" t="s">
        <v>28</v>
      </c>
      <c r="E13" s="30"/>
    </row>
    <row r="14" spans="1:6" ht="12.75">
      <c r="A14" s="385" t="s">
        <v>29</v>
      </c>
      <c r="B14" s="31" t="s">
        <v>30</v>
      </c>
      <c r="C14" s="38">
        <v>8</v>
      </c>
      <c r="D14" s="30"/>
      <c r="E14" s="30"/>
      <c r="F14" s="39"/>
    </row>
    <row r="15" spans="1:6" ht="12.75">
      <c r="A15" s="385" t="s">
        <v>31</v>
      </c>
      <c r="B15" s="40" t="s">
        <v>32</v>
      </c>
      <c r="C15" s="29">
        <f>C12*C14*C11/C13</f>
        <v>3.9199999999999995</v>
      </c>
      <c r="D15" s="30" t="s">
        <v>33</v>
      </c>
      <c r="E15" s="30"/>
      <c r="F15" s="34"/>
    </row>
    <row r="16" spans="1:6" ht="12.75">
      <c r="A16" s="472"/>
      <c r="B16" s="30"/>
      <c r="C16" s="30"/>
      <c r="D16" s="30"/>
      <c r="E16" s="30"/>
      <c r="F16" s="34"/>
    </row>
    <row r="17" spans="1:6" ht="12.75">
      <c r="A17" s="41" t="s">
        <v>34</v>
      </c>
      <c r="B17" s="30"/>
      <c r="C17" s="30"/>
      <c r="D17" s="30"/>
      <c r="E17" s="30"/>
      <c r="F17" s="34"/>
    </row>
    <row r="18" spans="1:6" ht="12.75">
      <c r="A18" s="473" t="s">
        <v>35</v>
      </c>
      <c r="B18" s="42"/>
      <c r="C18" s="30"/>
      <c r="D18" s="30"/>
      <c r="E18" s="30"/>
      <c r="F18" s="34"/>
    </row>
    <row r="19" spans="1:6" ht="12.75">
      <c r="A19" s="28" t="s">
        <v>14</v>
      </c>
      <c r="B19" s="385" t="s">
        <v>604</v>
      </c>
      <c r="C19" s="29" t="s">
        <v>36</v>
      </c>
      <c r="D19" s="30"/>
      <c r="E19" s="30"/>
      <c r="F19" s="34"/>
    </row>
    <row r="20" spans="1:6" ht="12.75">
      <c r="A20" s="43" t="s">
        <v>12</v>
      </c>
      <c r="B20" s="44">
        <f>C6</f>
        <v>2400</v>
      </c>
      <c r="C20" s="29" t="s">
        <v>37</v>
      </c>
      <c r="D20" s="30"/>
      <c r="E20" s="30"/>
      <c r="F20" s="34"/>
    </row>
    <row r="21" spans="1:6" ht="12.75">
      <c r="A21" s="43" t="s">
        <v>32</v>
      </c>
      <c r="B21" s="38">
        <f>C15</f>
        <v>3.9199999999999995</v>
      </c>
      <c r="C21" s="29" t="s">
        <v>33</v>
      </c>
      <c r="D21" s="30"/>
      <c r="E21" s="30"/>
      <c r="F21" s="34"/>
    </row>
    <row r="22" spans="1:6" ht="25.5">
      <c r="A22" s="43" t="s">
        <v>38</v>
      </c>
      <c r="B22" s="35">
        <f>B20*B21</f>
        <v>9407.999999999998</v>
      </c>
      <c r="C22" s="29" t="s">
        <v>39</v>
      </c>
      <c r="D22" s="30"/>
      <c r="E22" s="30"/>
      <c r="F22" s="34"/>
    </row>
    <row r="23" spans="1:5" ht="12.75">
      <c r="A23" s="472"/>
      <c r="B23" s="30"/>
      <c r="C23" s="30"/>
      <c r="D23" s="30"/>
      <c r="E23" s="30"/>
    </row>
    <row r="24" spans="1:5" ht="25.5">
      <c r="A24" s="43" t="s">
        <v>40</v>
      </c>
      <c r="B24" s="45" t="s">
        <v>41</v>
      </c>
      <c r="C24" s="30"/>
      <c r="D24" s="30"/>
      <c r="E24" s="30"/>
    </row>
    <row r="25" spans="1:5" ht="12.75">
      <c r="A25" s="43" t="s">
        <v>42</v>
      </c>
      <c r="B25" s="46">
        <v>0.8</v>
      </c>
      <c r="C25" s="30"/>
      <c r="D25" s="30"/>
      <c r="E25" s="30"/>
    </row>
    <row r="26" spans="1:5" ht="12.75">
      <c r="A26" s="43" t="s">
        <v>43</v>
      </c>
      <c r="B26" s="46">
        <v>0.45</v>
      </c>
      <c r="C26" s="30"/>
      <c r="D26" s="30"/>
      <c r="E26" s="30"/>
    </row>
    <row r="27" spans="1:5" ht="12.75">
      <c r="A27" s="43" t="s">
        <v>44</v>
      </c>
      <c r="B27" s="46">
        <v>0.4</v>
      </c>
      <c r="C27" s="30"/>
      <c r="D27" s="30"/>
      <c r="E27" s="30"/>
    </row>
    <row r="28" spans="1:5" ht="12.75">
      <c r="A28" s="386" t="s">
        <v>45</v>
      </c>
      <c r="B28" s="47">
        <v>0.2</v>
      </c>
      <c r="C28" s="30"/>
      <c r="D28" s="30"/>
      <c r="E28" s="30"/>
    </row>
    <row r="29" spans="1:5" ht="12.75">
      <c r="A29" s="472"/>
      <c r="B29" s="30"/>
      <c r="C29" s="30"/>
      <c r="D29" s="30"/>
      <c r="E29" s="30"/>
    </row>
    <row r="31" spans="1:2" ht="12.75">
      <c r="A31" s="386" t="s">
        <v>46</v>
      </c>
      <c r="B31" s="45" t="s">
        <v>47</v>
      </c>
    </row>
    <row r="32" spans="1:2" ht="12.75">
      <c r="A32" s="386" t="str">
        <f>A25</f>
        <v>Vehículo de Serenazgo con personal policial</v>
      </c>
      <c r="B32" s="54">
        <f>$B$22*B25</f>
        <v>7526.399999999999</v>
      </c>
    </row>
    <row r="33" spans="1:2" ht="12.75">
      <c r="A33" s="386" t="str">
        <f>A26</f>
        <v>Puesto de Auxilio de Serenazgo</v>
      </c>
      <c r="B33" s="54">
        <f>$B$22*B26</f>
        <v>4233.599999999999</v>
      </c>
    </row>
    <row r="34" spans="1:2" ht="12.75">
      <c r="A34" s="386" t="str">
        <f>A27</f>
        <v>Patrullaje de Serenazgo en Motocicleta</v>
      </c>
      <c r="B34" s="54">
        <f>$B$22*B27</f>
        <v>3763.1999999999994</v>
      </c>
    </row>
    <row r="35" spans="1:2" ht="12.75">
      <c r="A35" s="386" t="str">
        <f>A28</f>
        <v>Patrullaje a pié</v>
      </c>
      <c r="B35" s="54">
        <f>$B$22*B28</f>
        <v>1881.5999999999997</v>
      </c>
    </row>
    <row r="38" ht="12.75">
      <c r="A38" s="474" t="s">
        <v>48</v>
      </c>
    </row>
    <row r="39" ht="12.75">
      <c r="A39" s="475" t="s">
        <v>49</v>
      </c>
    </row>
    <row r="40" ht="12.75">
      <c r="B40" s="34"/>
    </row>
    <row r="41" spans="1:12" ht="12.75">
      <c r="A41" s="424" t="s">
        <v>10</v>
      </c>
      <c r="B41" s="49">
        <f>'[1]ANALISIS DE DEMANDA'!B2</f>
        <v>0</v>
      </c>
      <c r="C41" s="49">
        <f>'[1]ANALISIS DE DEMANDA'!C2</f>
        <v>1</v>
      </c>
      <c r="D41" s="49">
        <f>'[1]ANALISIS DE DEMANDA'!D2</f>
        <v>2</v>
      </c>
      <c r="E41" s="49">
        <f>'[1]ANALISIS DE DEMANDA'!E2</f>
        <v>3</v>
      </c>
      <c r="F41" s="49">
        <f>'[1]ANALISIS DE DEMANDA'!F2</f>
        <v>4</v>
      </c>
      <c r="G41" s="49">
        <f>'[1]ANALISIS DE DEMANDA'!G2</f>
        <v>5</v>
      </c>
      <c r="H41" s="49">
        <f>'[1]ANALISIS DE DEMANDA'!H2</f>
        <v>6</v>
      </c>
      <c r="I41" s="49">
        <f>'[1]ANALISIS DE DEMANDA'!I2</f>
        <v>7</v>
      </c>
      <c r="J41" s="49">
        <f>'[1]ANALISIS DE DEMANDA'!J2</f>
        <v>8</v>
      </c>
      <c r="K41" s="49">
        <f>'[1]ANALISIS DE DEMANDA'!K2</f>
        <v>9</v>
      </c>
      <c r="L41" s="49">
        <f>'[1]ANALISIS DE DEMANDA'!L2</f>
        <v>10</v>
      </c>
    </row>
    <row r="42" spans="1:12" ht="12.75">
      <c r="A42" s="425"/>
      <c r="B42" s="49">
        <f>'[1]ANALISIS DE DEMANDA'!B3</f>
        <v>2018</v>
      </c>
      <c r="C42" s="49">
        <f>'[1]ANALISIS DE DEMANDA'!C3</f>
        <v>2019</v>
      </c>
      <c r="D42" s="49">
        <f>'[1]ANALISIS DE DEMANDA'!D3</f>
        <v>2020</v>
      </c>
      <c r="E42" s="49">
        <f>'[1]ANALISIS DE DEMANDA'!E3</f>
        <v>2021</v>
      </c>
      <c r="F42" s="49">
        <f>'[1]ANALISIS DE DEMANDA'!F3</f>
        <v>2022</v>
      </c>
      <c r="G42" s="49">
        <f>'[1]ANALISIS DE DEMANDA'!G3</f>
        <v>2023</v>
      </c>
      <c r="H42" s="49">
        <f>'[1]ANALISIS DE DEMANDA'!H3</f>
        <v>2024</v>
      </c>
      <c r="I42" s="49">
        <f>'[1]ANALISIS DE DEMANDA'!I3</f>
        <v>2025</v>
      </c>
      <c r="J42" s="49">
        <f>'[1]ANALISIS DE DEMANDA'!J3</f>
        <v>2026</v>
      </c>
      <c r="K42" s="49">
        <f>'[1]ANALISIS DE DEMANDA'!K3</f>
        <v>2027</v>
      </c>
      <c r="L42" s="49">
        <f>'[1]ANALISIS DE DEMANDA'!L3</f>
        <v>2028</v>
      </c>
    </row>
    <row r="43" spans="1:12" ht="12.75">
      <c r="A43" s="386" t="str">
        <f>'[1]ANALISIS DE DEMANDA'!A4</f>
        <v>POBLACIÓN DEMANDANTE</v>
      </c>
      <c r="B43" s="477">
        <f>'ANALISIS DE DEMANDA'!B3</f>
        <v>18021</v>
      </c>
      <c r="C43" s="50">
        <f>'ANALISIS DE DEMANDA'!C3</f>
        <v>18164</v>
      </c>
      <c r="D43" s="50">
        <f>'ANALISIS DE DEMANDA'!D3</f>
        <v>18308</v>
      </c>
      <c r="E43" s="50">
        <f>'ANALISIS DE DEMANDA'!E3</f>
        <v>18453</v>
      </c>
      <c r="F43" s="50">
        <f>'ANALISIS DE DEMANDA'!F3</f>
        <v>18599</v>
      </c>
      <c r="G43" s="50">
        <f>'ANALISIS DE DEMANDA'!G3</f>
        <v>18746</v>
      </c>
      <c r="H43" s="50">
        <f>'ANALISIS DE DEMANDA'!H3</f>
        <v>18894</v>
      </c>
      <c r="I43" s="50">
        <f>'ANALISIS DE DEMANDA'!I3</f>
        <v>19044</v>
      </c>
      <c r="J43" s="50">
        <f>'ANALISIS DE DEMANDA'!J3</f>
        <v>19195</v>
      </c>
      <c r="K43" s="50">
        <f>'ANALISIS DE DEMANDA'!K3</f>
        <v>19346</v>
      </c>
      <c r="L43" s="50">
        <f>'ANALISIS DE DEMANDA'!L3</f>
        <v>19500</v>
      </c>
    </row>
    <row r="44" spans="1:13" ht="12.75">
      <c r="A44" s="476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</row>
    <row r="45" spans="1:13" ht="12.75">
      <c r="A45" s="476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</row>
    <row r="46" spans="2:12" ht="12.75"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</row>
    <row r="47" spans="1:11" ht="12.75">
      <c r="A47" s="426"/>
      <c r="B47" s="426"/>
      <c r="C47" s="426"/>
      <c r="D47" s="426"/>
      <c r="E47" s="426"/>
      <c r="F47" s="51"/>
      <c r="G47" s="51"/>
      <c r="H47" s="51"/>
      <c r="I47" s="51"/>
      <c r="J47" s="51"/>
      <c r="K47" s="51"/>
    </row>
    <row r="48" spans="1:11" ht="38.25">
      <c r="A48" s="385" t="s">
        <v>50</v>
      </c>
      <c r="B48" s="45" t="s">
        <v>51</v>
      </c>
      <c r="C48" s="45" t="s">
        <v>52</v>
      </c>
      <c r="D48" s="45" t="s">
        <v>53</v>
      </c>
      <c r="E48" s="45" t="s">
        <v>54</v>
      </c>
      <c r="F48" s="51"/>
      <c r="G48" s="29" t="s">
        <v>55</v>
      </c>
      <c r="H48" s="45" t="s">
        <v>56</v>
      </c>
      <c r="I48" s="53" t="s">
        <v>57</v>
      </c>
      <c r="J48" s="45" t="s">
        <v>58</v>
      </c>
      <c r="K48" s="45" t="s">
        <v>59</v>
      </c>
    </row>
    <row r="49" spans="1:11" ht="38.25">
      <c r="A49" s="386" t="str">
        <f>A25</f>
        <v>Vehículo de Serenazgo con personal policial</v>
      </c>
      <c r="B49" s="54">
        <f>B32</f>
        <v>7526.399999999999</v>
      </c>
      <c r="C49" s="55">
        <v>1</v>
      </c>
      <c r="D49" s="60">
        <f>B49*C49</f>
        <v>7526.399999999999</v>
      </c>
      <c r="E49" s="56">
        <f>C49*3</f>
        <v>3</v>
      </c>
      <c r="F49" s="51"/>
      <c r="G49" s="29">
        <v>1</v>
      </c>
      <c r="H49" s="47">
        <v>1</v>
      </c>
      <c r="I49" s="55">
        <v>4</v>
      </c>
      <c r="J49" s="47">
        <v>3</v>
      </c>
      <c r="K49" s="47">
        <f>H49*J49</f>
        <v>3</v>
      </c>
    </row>
    <row r="50" spans="1:11" ht="25.5">
      <c r="A50" s="386" t="str">
        <f>A26</f>
        <v>Puesto de Auxilio de Serenazgo</v>
      </c>
      <c r="B50" s="54">
        <f>B33</f>
        <v>4233.599999999999</v>
      </c>
      <c r="C50" s="55">
        <v>2</v>
      </c>
      <c r="D50" s="60">
        <f>B50*C50</f>
        <v>8467.199999999999</v>
      </c>
      <c r="E50" s="56">
        <f>C50*3</f>
        <v>6</v>
      </c>
      <c r="F50" s="51"/>
      <c r="G50" s="29">
        <v>2</v>
      </c>
      <c r="H50" s="47">
        <v>1</v>
      </c>
      <c r="I50" s="55">
        <v>4</v>
      </c>
      <c r="J50" s="47">
        <v>3</v>
      </c>
      <c r="K50" s="47">
        <f>H50*J50</f>
        <v>3</v>
      </c>
    </row>
    <row r="51" spans="1:11" ht="38.25">
      <c r="A51" s="386" t="str">
        <f>A27</f>
        <v>Patrullaje de Serenazgo en Motocicleta</v>
      </c>
      <c r="B51" s="54">
        <f>B34</f>
        <v>3763.1999999999994</v>
      </c>
      <c r="C51" s="55">
        <v>1</v>
      </c>
      <c r="D51" s="60">
        <f>B51*C51</f>
        <v>3763.1999999999994</v>
      </c>
      <c r="E51" s="56">
        <f>C51*3</f>
        <v>3</v>
      </c>
      <c r="F51" s="51"/>
      <c r="G51" s="29">
        <v>3</v>
      </c>
      <c r="H51" s="47">
        <v>1</v>
      </c>
      <c r="I51" s="55">
        <v>4</v>
      </c>
      <c r="J51" s="47">
        <v>3</v>
      </c>
      <c r="K51" s="47">
        <f>H51*J51</f>
        <v>3</v>
      </c>
    </row>
    <row r="52" spans="1:11" ht="12.75">
      <c r="A52" s="427" t="s">
        <v>60</v>
      </c>
      <c r="B52" s="428"/>
      <c r="C52" s="429"/>
      <c r="D52" s="57">
        <f>SUM(D49:D51)</f>
        <v>19756.8</v>
      </c>
      <c r="E52" s="58">
        <f>SUM(E49:E51)</f>
        <v>12</v>
      </c>
      <c r="F52" s="51"/>
      <c r="G52" s="29">
        <v>4</v>
      </c>
      <c r="H52" s="47">
        <v>1</v>
      </c>
      <c r="I52" s="55">
        <v>4</v>
      </c>
      <c r="J52" s="47">
        <v>3</v>
      </c>
      <c r="K52" s="47">
        <f>H52*J52</f>
        <v>3</v>
      </c>
    </row>
    <row r="53" spans="1:11" ht="12.75">
      <c r="A53" s="423" t="s">
        <v>61</v>
      </c>
      <c r="B53" s="423"/>
      <c r="C53" s="423"/>
      <c r="D53" s="59">
        <f>D52/L43</f>
        <v>1.0131692307692308</v>
      </c>
      <c r="F53" s="51"/>
      <c r="G53" s="161">
        <v>4</v>
      </c>
      <c r="H53" s="47">
        <v>1</v>
      </c>
      <c r="I53" s="47">
        <v>4</v>
      </c>
      <c r="J53" s="47">
        <v>3</v>
      </c>
      <c r="K53" s="47">
        <f>H53*J53</f>
        <v>3</v>
      </c>
    </row>
    <row r="54" spans="5:11" ht="12.75">
      <c r="E54" s="51"/>
      <c r="F54" s="51"/>
      <c r="G54" s="29" t="s">
        <v>64</v>
      </c>
      <c r="H54" s="218">
        <f>SUM(H49:H53)</f>
        <v>5</v>
      </c>
      <c r="I54" s="62">
        <f>SUM(I49:I53)</f>
        <v>20</v>
      </c>
      <c r="J54" s="62"/>
      <c r="K54" s="62">
        <f>SUM(K49:K53)</f>
        <v>15</v>
      </c>
    </row>
    <row r="55" spans="4:6" ht="12.75">
      <c r="D55" s="51"/>
      <c r="E55" s="51"/>
      <c r="F55" s="51"/>
    </row>
    <row r="56" spans="1:6" ht="12.75">
      <c r="A56" s="426"/>
      <c r="B56" s="426"/>
      <c r="C56" s="426"/>
      <c r="D56" s="426"/>
      <c r="E56" s="51"/>
      <c r="F56" s="51"/>
    </row>
    <row r="57" spans="1:4" ht="38.25">
      <c r="A57" s="385" t="str">
        <f>A48</f>
        <v>DESCRPCIÓN</v>
      </c>
      <c r="B57" s="45" t="str">
        <f>B48</f>
        <v>CAPACIDAD DE COBERTURA (Habitantes)</v>
      </c>
      <c r="C57" s="45" t="str">
        <f>C48</f>
        <v>CANTIDAD DE MEDIOS DE VIGILANCIA</v>
      </c>
      <c r="D57" s="45" t="str">
        <f>D48</f>
        <v>POBLACIÓN ATENDIDA</v>
      </c>
    </row>
    <row r="58" spans="1:6" ht="38.25">
      <c r="A58" s="386" t="str">
        <f aca="true" t="shared" si="0" ref="A58:B60">A49</f>
        <v>Vehículo de Serenazgo con personal policial</v>
      </c>
      <c r="B58" s="54">
        <f>B49</f>
        <v>7526.399999999999</v>
      </c>
      <c r="C58" s="55">
        <v>1</v>
      </c>
      <c r="D58" s="50">
        <f>B58*C58</f>
        <v>7526.399999999999</v>
      </c>
      <c r="F58" s="51"/>
    </row>
    <row r="59" spans="1:6" ht="25.5">
      <c r="A59" s="386" t="str">
        <f t="shared" si="0"/>
        <v>Puesto de Auxilio de Serenazgo</v>
      </c>
      <c r="B59" s="54">
        <f t="shared" si="0"/>
        <v>4233.599999999999</v>
      </c>
      <c r="C59" s="55">
        <v>0</v>
      </c>
      <c r="D59" s="50">
        <f>B59*C59</f>
        <v>0</v>
      </c>
      <c r="F59" s="51"/>
    </row>
    <row r="60" spans="1:6" ht="38.25">
      <c r="A60" s="386" t="str">
        <f t="shared" si="0"/>
        <v>Patrullaje de Serenazgo en Motocicleta</v>
      </c>
      <c r="B60" s="54">
        <f t="shared" si="0"/>
        <v>3763.1999999999994</v>
      </c>
      <c r="C60" s="55">
        <v>2</v>
      </c>
      <c r="D60" s="50">
        <f>B60*C60</f>
        <v>7526.399999999999</v>
      </c>
      <c r="F60" s="51"/>
    </row>
    <row r="61" spans="1:4" ht="12.75">
      <c r="A61" s="427" t="s">
        <v>60</v>
      </c>
      <c r="B61" s="428"/>
      <c r="C61" s="429"/>
      <c r="D61" s="57">
        <f>SUM(D58:D60)</f>
        <v>15052.799999999997</v>
      </c>
    </row>
    <row r="62" spans="1:4" ht="12.75">
      <c r="A62" s="423" t="s">
        <v>62</v>
      </c>
      <c r="B62" s="423"/>
      <c r="C62" s="423"/>
      <c r="D62" s="59">
        <f>D61/L43</f>
        <v>0.7719384615384615</v>
      </c>
    </row>
    <row r="66" ht="12.75">
      <c r="C66" s="26" t="s">
        <v>63</v>
      </c>
    </row>
  </sheetData>
  <sheetProtection/>
  <mergeCells count="7">
    <mergeCell ref="A62:C62"/>
    <mergeCell ref="A41:A42"/>
    <mergeCell ref="A47:E47"/>
    <mergeCell ref="A52:C52"/>
    <mergeCell ref="A53:C53"/>
    <mergeCell ref="A56:D56"/>
    <mergeCell ref="A61:C6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/>
  </sheetPr>
  <dimension ref="A1:N12"/>
  <sheetViews>
    <sheetView tabSelected="1" zoomScalePageLayoutView="0" workbookViewId="0" topLeftCell="A1">
      <selection activeCell="F12" sqref="F12"/>
    </sheetView>
  </sheetViews>
  <sheetFormatPr defaultColWidth="11.421875" defaultRowHeight="15"/>
  <cols>
    <col min="1" max="1" width="26.140625" style="1" customWidth="1"/>
    <col min="2" max="2" width="15.7109375" style="1" customWidth="1"/>
    <col min="3" max="3" width="16.7109375" style="1" customWidth="1"/>
    <col min="4" max="4" width="14.57421875" style="1" customWidth="1"/>
    <col min="5" max="12" width="12.421875" style="1" bestFit="1" customWidth="1"/>
    <col min="13" max="16384" width="11.421875" style="1" customWidth="1"/>
  </cols>
  <sheetData>
    <row r="1" spans="1:14" ht="15">
      <c r="A1" s="432" t="s">
        <v>6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26"/>
      <c r="N1" s="26"/>
    </row>
    <row r="2" spans="1:14" ht="15">
      <c r="A2" s="430" t="str">
        <f>'ANALISIS DE OFERTA '!A41</f>
        <v>DESCRIPCIÓN</v>
      </c>
      <c r="B2" s="49">
        <f>'ANALISIS DE OFERTA '!B41</f>
        <v>0</v>
      </c>
      <c r="C2" s="49">
        <f>'ANALISIS DE OFERTA '!C41</f>
        <v>1</v>
      </c>
      <c r="D2" s="49">
        <f>'ANALISIS DE OFERTA '!D41</f>
        <v>2</v>
      </c>
      <c r="E2" s="49">
        <f>'ANALISIS DE OFERTA '!E41</f>
        <v>3</v>
      </c>
      <c r="F2" s="49">
        <f>'ANALISIS DE OFERTA '!F41</f>
        <v>4</v>
      </c>
      <c r="G2" s="49">
        <f>'ANALISIS DE OFERTA '!G41</f>
        <v>5</v>
      </c>
      <c r="H2" s="49">
        <f>'ANALISIS DE OFERTA '!H41</f>
        <v>6</v>
      </c>
      <c r="I2" s="49">
        <f>'ANALISIS DE OFERTA '!I41</f>
        <v>7</v>
      </c>
      <c r="J2" s="49">
        <f>'ANALISIS DE OFERTA '!J41</f>
        <v>8</v>
      </c>
      <c r="K2" s="49">
        <f>'ANALISIS DE OFERTA '!K41</f>
        <v>9</v>
      </c>
      <c r="L2" s="49">
        <f>'ANALISIS DE OFERTA '!L41</f>
        <v>10</v>
      </c>
      <c r="M2" s="26"/>
      <c r="N2" s="26"/>
    </row>
    <row r="3" spans="1:14" ht="15">
      <c r="A3" s="431"/>
      <c r="B3" s="49">
        <f>'ANALISIS DE OFERTA '!B42</f>
        <v>2018</v>
      </c>
      <c r="C3" s="49">
        <f>'ANALISIS DE OFERTA '!C42</f>
        <v>2019</v>
      </c>
      <c r="D3" s="49">
        <f>'ANALISIS DE OFERTA '!D42</f>
        <v>2020</v>
      </c>
      <c r="E3" s="49">
        <f>'ANALISIS DE OFERTA '!E42</f>
        <v>2021</v>
      </c>
      <c r="F3" s="49">
        <f>'ANALISIS DE OFERTA '!F42</f>
        <v>2022</v>
      </c>
      <c r="G3" s="49">
        <f>'ANALISIS DE OFERTA '!G42</f>
        <v>2023</v>
      </c>
      <c r="H3" s="49">
        <f>'ANALISIS DE OFERTA '!H42</f>
        <v>2024</v>
      </c>
      <c r="I3" s="49">
        <f>'ANALISIS DE OFERTA '!I42</f>
        <v>2025</v>
      </c>
      <c r="J3" s="49">
        <f>'ANALISIS DE OFERTA '!J42</f>
        <v>2026</v>
      </c>
      <c r="K3" s="49">
        <f>'ANALISIS DE OFERTA '!K42</f>
        <v>2027</v>
      </c>
      <c r="L3" s="49">
        <f>'ANALISIS DE OFERTA '!L42</f>
        <v>2028</v>
      </c>
      <c r="M3" s="26"/>
      <c r="N3" s="26"/>
    </row>
    <row r="4" spans="1:14" ht="15">
      <c r="A4" s="479" t="str">
        <f>'ANALISIS DE OFERTA '!A43</f>
        <v>POBLACIÓN DEMANDANTE</v>
      </c>
      <c r="B4" s="48">
        <f>'ANALISIS DE OFERTA '!B43</f>
        <v>18021</v>
      </c>
      <c r="C4" s="48">
        <f>'ANALISIS DE OFERTA '!C43</f>
        <v>18164</v>
      </c>
      <c r="D4" s="48">
        <f>'ANALISIS DE OFERTA '!D43</f>
        <v>18308</v>
      </c>
      <c r="E4" s="48">
        <f>'ANALISIS DE OFERTA '!E43</f>
        <v>18453</v>
      </c>
      <c r="F4" s="48">
        <f>'ANALISIS DE OFERTA '!F43</f>
        <v>18599</v>
      </c>
      <c r="G4" s="48">
        <f>'ANALISIS DE OFERTA '!G43</f>
        <v>18746</v>
      </c>
      <c r="H4" s="48">
        <f>'ANALISIS DE OFERTA '!H43</f>
        <v>18894</v>
      </c>
      <c r="I4" s="48">
        <f>'ANALISIS DE OFERTA '!I43</f>
        <v>19044</v>
      </c>
      <c r="J4" s="48">
        <f>'ANALISIS DE OFERTA '!J43</f>
        <v>19195</v>
      </c>
      <c r="K4" s="48">
        <f>'ANALISIS DE OFERTA '!K43</f>
        <v>19346</v>
      </c>
      <c r="L4" s="48">
        <f>'ANALISIS DE OFERTA '!L43</f>
        <v>19500</v>
      </c>
      <c r="M4" s="26"/>
      <c r="N4" s="26"/>
    </row>
    <row r="5" spans="1:14" ht="15">
      <c r="A5" s="479" t="s">
        <v>65</v>
      </c>
      <c r="B5" s="60">
        <f>B4*'ANALISIS DE OFERTA '!$D$62</f>
        <v>13911.103015384613</v>
      </c>
      <c r="C5" s="60">
        <f>C4*'ANALISIS DE OFERTA '!$D$62</f>
        <v>14021.490215384614</v>
      </c>
      <c r="D5" s="60">
        <f>D4*'ANALISIS DE OFERTA '!$D$62</f>
        <v>14132.649353846153</v>
      </c>
      <c r="E5" s="60">
        <f>E4*'ANALISIS DE OFERTA '!$D$62</f>
        <v>14244.580430769229</v>
      </c>
      <c r="F5" s="60">
        <f>F4*'ANALISIS DE OFERTA '!$D$62</f>
        <v>14357.283446153844</v>
      </c>
      <c r="G5" s="60">
        <f>G4*'ANALISIS DE OFERTA '!$D$62</f>
        <v>14470.758399999999</v>
      </c>
      <c r="H5" s="60">
        <f>H4*'ANALISIS DE OFERTA '!$D$62</f>
        <v>14585.005292307691</v>
      </c>
      <c r="I5" s="60">
        <f>I4*'ANALISIS DE OFERTA '!$D$62</f>
        <v>14700.79606153846</v>
      </c>
      <c r="J5" s="60">
        <f>J4*'ANALISIS DE OFERTA '!$D$62</f>
        <v>14817.358769230768</v>
      </c>
      <c r="K5" s="60">
        <f>K4*'ANALISIS DE OFERTA '!$D$62</f>
        <v>14933.921476923075</v>
      </c>
      <c r="L5" s="60">
        <f>L4*'ANALISIS DE OFERTA '!$D$62</f>
        <v>15052.8</v>
      </c>
      <c r="M5" s="26"/>
      <c r="N5" s="26"/>
    </row>
    <row r="6" spans="1:14" ht="25.5">
      <c r="A6" s="479" t="s">
        <v>66</v>
      </c>
      <c r="B6" s="478">
        <f>B4-B5</f>
        <v>4109.896984615387</v>
      </c>
      <c r="C6" s="478">
        <f aca="true" t="shared" si="0" ref="C6:K6">C4-C5</f>
        <v>4142.509784615386</v>
      </c>
      <c r="D6" s="478">
        <f t="shared" si="0"/>
        <v>4175.350646153847</v>
      </c>
      <c r="E6" s="478">
        <f t="shared" si="0"/>
        <v>4208.419569230771</v>
      </c>
      <c r="F6" s="478">
        <f t="shared" si="0"/>
        <v>4241.716553846156</v>
      </c>
      <c r="G6" s="478">
        <f t="shared" si="0"/>
        <v>4275.241600000001</v>
      </c>
      <c r="H6" s="478">
        <f t="shared" si="0"/>
        <v>4308.994707692309</v>
      </c>
      <c r="I6" s="478">
        <f t="shared" si="0"/>
        <v>4343.20393846154</v>
      </c>
      <c r="J6" s="478">
        <f>J4-J5</f>
        <v>4377.641230769232</v>
      </c>
      <c r="K6" s="478">
        <f t="shared" si="0"/>
        <v>4412.078523076925</v>
      </c>
      <c r="L6" s="478">
        <f>L4-L5</f>
        <v>4447.200000000001</v>
      </c>
      <c r="M6" s="26"/>
      <c r="N6" s="26"/>
    </row>
    <row r="7" spans="1:14" ht="1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15">
      <c r="A8" s="432" t="s">
        <v>118</v>
      </c>
      <c r="B8" s="432"/>
      <c r="C8" s="432"/>
      <c r="D8" s="432"/>
      <c r="E8" s="26"/>
      <c r="F8" s="26"/>
      <c r="G8" s="26"/>
      <c r="H8" s="26"/>
      <c r="I8" s="26"/>
      <c r="J8" s="26"/>
      <c r="K8" s="26"/>
      <c r="L8" s="26"/>
      <c r="M8" s="26"/>
      <c r="N8" s="26"/>
    </row>
    <row r="9" spans="1:14" ht="38.25">
      <c r="A9" s="45" t="str">
        <f>'ANALISIS DE OFERTA '!A57</f>
        <v>DESCRPCIÓN</v>
      </c>
      <c r="B9" s="45" t="s">
        <v>116</v>
      </c>
      <c r="C9" s="45" t="s">
        <v>117</v>
      </c>
      <c r="D9" s="45" t="s">
        <v>115</v>
      </c>
      <c r="E9" s="26"/>
      <c r="F9" s="26"/>
      <c r="G9" s="26"/>
      <c r="H9" s="26"/>
      <c r="I9" s="26"/>
      <c r="J9" s="26"/>
      <c r="K9" s="26"/>
      <c r="L9" s="26"/>
      <c r="M9" s="26"/>
      <c r="N9" s="26"/>
    </row>
    <row r="10" spans="1:14" ht="25.5">
      <c r="A10" s="479" t="str">
        <f>'ANALISIS DE OFERTA '!A58</f>
        <v>Vehículo de Serenazgo con personal policial</v>
      </c>
      <c r="B10" s="63">
        <f>'ANALISIS DE OFERTA '!C49</f>
        <v>1</v>
      </c>
      <c r="C10" s="63">
        <f>'ANALISIS DE OFERTA '!C58</f>
        <v>1</v>
      </c>
      <c r="D10" s="63">
        <f>C10-B10</f>
        <v>0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</row>
    <row r="11" spans="1:14" ht="25.5">
      <c r="A11" s="479" t="str">
        <f>'ANALISIS DE OFERTA '!A59</f>
        <v>Puesto de Auxilio de Serenazgo</v>
      </c>
      <c r="B11" s="63">
        <f>'ANALISIS DE OFERTA '!C50</f>
        <v>2</v>
      </c>
      <c r="C11" s="63">
        <f>'ANALISIS DE OFERTA '!C59</f>
        <v>0</v>
      </c>
      <c r="D11" s="63">
        <f>C11-B11</f>
        <v>-2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</row>
    <row r="12" spans="1:14" ht="25.5">
      <c r="A12" s="479" t="str">
        <f>'ANALISIS DE OFERTA '!A60</f>
        <v>Patrullaje de Serenazgo en Motocicleta</v>
      </c>
      <c r="B12" s="63">
        <f>'ANALISIS DE OFERTA '!C51</f>
        <v>1</v>
      </c>
      <c r="C12" s="63">
        <f>'ANALISIS DE OFERTA '!C60</f>
        <v>2</v>
      </c>
      <c r="D12" s="63">
        <f>C12-B12</f>
        <v>1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</row>
    <row r="13" ht="15" customHeight="1"/>
  </sheetData>
  <sheetProtection/>
  <mergeCells count="3">
    <mergeCell ref="A2:A3"/>
    <mergeCell ref="A1:L1"/>
    <mergeCell ref="A8:D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8"/>
  </sheetPr>
  <dimension ref="A1:I38"/>
  <sheetViews>
    <sheetView zoomScalePageLayoutView="0" workbookViewId="0" topLeftCell="A1">
      <selection activeCell="E14" sqref="E14"/>
    </sheetView>
  </sheetViews>
  <sheetFormatPr defaultColWidth="11.421875" defaultRowHeight="15"/>
  <cols>
    <col min="1" max="1" width="4.421875" style="1" bestFit="1" customWidth="1"/>
    <col min="2" max="2" width="26.421875" style="1" customWidth="1"/>
    <col min="3" max="6" width="11.421875" style="1" customWidth="1"/>
    <col min="7" max="7" width="14.00390625" style="1" customWidth="1"/>
    <col min="8" max="8" width="12.57421875" style="1" bestFit="1" customWidth="1"/>
    <col min="9" max="9" width="16.57421875" style="1" bestFit="1" customWidth="1"/>
    <col min="10" max="16384" width="11.421875" style="1" customWidth="1"/>
  </cols>
  <sheetData>
    <row r="1" spans="1:9" ht="36" customHeight="1">
      <c r="A1" s="434" t="s">
        <v>120</v>
      </c>
      <c r="B1" s="434"/>
      <c r="C1" s="434"/>
      <c r="D1" s="434"/>
      <c r="E1" s="434"/>
      <c r="F1" s="434"/>
      <c r="G1" s="434"/>
      <c r="H1" s="434"/>
      <c r="I1" s="434"/>
    </row>
    <row r="2" spans="1:9" ht="38.25" customHeight="1">
      <c r="A2" s="64" t="s">
        <v>121</v>
      </c>
      <c r="B2" s="64" t="s">
        <v>14</v>
      </c>
      <c r="C2" s="64" t="s">
        <v>122</v>
      </c>
      <c r="D2" s="64" t="s">
        <v>123</v>
      </c>
      <c r="E2" s="64" t="s">
        <v>124</v>
      </c>
      <c r="F2" s="65" t="s">
        <v>245</v>
      </c>
      <c r="G2" s="65" t="s">
        <v>126</v>
      </c>
      <c r="H2" s="65" t="s">
        <v>127</v>
      </c>
      <c r="I2" s="65" t="s">
        <v>126</v>
      </c>
    </row>
    <row r="3" spans="1:9" ht="15" customHeight="1">
      <c r="A3" s="199">
        <v>1</v>
      </c>
      <c r="B3" s="66" t="s">
        <v>128</v>
      </c>
      <c r="C3" s="47"/>
      <c r="D3" s="47"/>
      <c r="E3" s="47"/>
      <c r="F3" s="47"/>
      <c r="G3" s="67">
        <f>SUM(G4:G10)</f>
        <v>196104</v>
      </c>
      <c r="H3" s="67"/>
      <c r="I3" s="67">
        <f>SUM(I4:I10)</f>
        <v>167902.05599999998</v>
      </c>
    </row>
    <row r="4" spans="1:9" ht="31.5" customHeight="1">
      <c r="A4" s="47"/>
      <c r="B4" s="69" t="s">
        <v>242</v>
      </c>
      <c r="C4" s="47" t="s">
        <v>243</v>
      </c>
      <c r="D4" s="194">
        <v>1</v>
      </c>
      <c r="E4" s="48">
        <v>12</v>
      </c>
      <c r="F4" s="48">
        <v>1200</v>
      </c>
      <c r="G4" s="48">
        <f>D4*E4*F4</f>
        <v>14400</v>
      </c>
      <c r="H4" s="84">
        <v>0.909</v>
      </c>
      <c r="I4" s="48">
        <f>G4*H4</f>
        <v>13089.6</v>
      </c>
    </row>
    <row r="5" spans="1:9" ht="15" customHeight="1">
      <c r="A5" s="47"/>
      <c r="B5" s="71" t="s">
        <v>240</v>
      </c>
      <c r="C5" s="47" t="s">
        <v>243</v>
      </c>
      <c r="D5" s="194">
        <v>1</v>
      </c>
      <c r="E5" s="48">
        <v>12</v>
      </c>
      <c r="F5" s="48">
        <v>1222</v>
      </c>
      <c r="G5" s="48">
        <f aca="true" t="shared" si="0" ref="G5:G10">D5*E5*F5</f>
        <v>14664</v>
      </c>
      <c r="H5" s="84">
        <v>0.909</v>
      </c>
      <c r="I5" s="48">
        <f aca="true" t="shared" si="1" ref="I5:I10">G5*H5</f>
        <v>13329.576000000001</v>
      </c>
    </row>
    <row r="6" spans="1:9" ht="15" customHeight="1">
      <c r="A6" s="47"/>
      <c r="B6" s="69" t="s">
        <v>129</v>
      </c>
      <c r="C6" s="47" t="s">
        <v>243</v>
      </c>
      <c r="D6" s="48">
        <v>16</v>
      </c>
      <c r="E6" s="48">
        <v>12</v>
      </c>
      <c r="F6" s="48">
        <v>850</v>
      </c>
      <c r="G6" s="48">
        <f t="shared" si="0"/>
        <v>163200</v>
      </c>
      <c r="H6" s="84">
        <v>0.847</v>
      </c>
      <c r="I6" s="48">
        <f t="shared" si="1"/>
        <v>138230.4</v>
      </c>
    </row>
    <row r="7" spans="1:9" ht="15">
      <c r="A7" s="47"/>
      <c r="B7" s="71" t="s">
        <v>132</v>
      </c>
      <c r="C7" s="47" t="s">
        <v>241</v>
      </c>
      <c r="D7" s="194">
        <v>1</v>
      </c>
      <c r="E7" s="48">
        <v>12</v>
      </c>
      <c r="F7" s="48">
        <v>50</v>
      </c>
      <c r="G7" s="48">
        <f t="shared" si="0"/>
        <v>600</v>
      </c>
      <c r="H7" s="84">
        <v>0.847</v>
      </c>
      <c r="I7" s="48">
        <f t="shared" si="1"/>
        <v>508.2</v>
      </c>
    </row>
    <row r="8" spans="1:9" ht="15.75" customHeight="1">
      <c r="A8" s="47"/>
      <c r="B8" s="71" t="s">
        <v>244</v>
      </c>
      <c r="C8" s="47" t="s">
        <v>241</v>
      </c>
      <c r="D8" s="194">
        <v>1</v>
      </c>
      <c r="E8" s="48">
        <v>12</v>
      </c>
      <c r="F8" s="48">
        <v>95</v>
      </c>
      <c r="G8" s="48">
        <f t="shared" si="0"/>
        <v>1140</v>
      </c>
      <c r="H8" s="84">
        <v>0.847</v>
      </c>
      <c r="I8" s="48">
        <f t="shared" si="1"/>
        <v>965.5799999999999</v>
      </c>
    </row>
    <row r="9" spans="1:9" ht="25.5" customHeight="1">
      <c r="A9" s="47"/>
      <c r="B9" s="71" t="s">
        <v>133</v>
      </c>
      <c r="C9" s="47" t="s">
        <v>241</v>
      </c>
      <c r="D9" s="194">
        <v>1</v>
      </c>
      <c r="E9" s="48">
        <v>12</v>
      </c>
      <c r="F9" s="194">
        <v>95</v>
      </c>
      <c r="G9" s="48">
        <f t="shared" si="0"/>
        <v>1140</v>
      </c>
      <c r="H9" s="84">
        <v>0.847</v>
      </c>
      <c r="I9" s="48">
        <f t="shared" si="1"/>
        <v>965.5799999999999</v>
      </c>
    </row>
    <row r="10" spans="1:9" ht="25.5" customHeight="1">
      <c r="A10" s="47"/>
      <c r="B10" s="71" t="s">
        <v>134</v>
      </c>
      <c r="C10" s="47" t="s">
        <v>241</v>
      </c>
      <c r="D10" s="194">
        <v>1</v>
      </c>
      <c r="E10" s="48">
        <v>12</v>
      </c>
      <c r="F10" s="194">
        <v>80</v>
      </c>
      <c r="G10" s="48">
        <f t="shared" si="0"/>
        <v>960</v>
      </c>
      <c r="H10" s="84">
        <v>0.847</v>
      </c>
      <c r="I10" s="48">
        <f t="shared" si="1"/>
        <v>813.12</v>
      </c>
    </row>
    <row r="11" spans="1:9" ht="15" customHeight="1">
      <c r="A11" s="199">
        <v>2</v>
      </c>
      <c r="B11" s="66" t="s">
        <v>136</v>
      </c>
      <c r="C11" s="47"/>
      <c r="D11" s="194"/>
      <c r="E11" s="48"/>
      <c r="F11" s="194"/>
      <c r="G11" s="67">
        <f>SUM(G12:G17)</f>
        <v>58850</v>
      </c>
      <c r="H11" s="67"/>
      <c r="I11" s="67">
        <f>SUM(I12:I17)</f>
        <v>40617.33000000001</v>
      </c>
    </row>
    <row r="12" spans="1:9" ht="15">
      <c r="A12" s="47"/>
      <c r="B12" s="69" t="s">
        <v>135</v>
      </c>
      <c r="C12" s="47" t="s">
        <v>253</v>
      </c>
      <c r="D12" s="194">
        <v>1080</v>
      </c>
      <c r="E12" s="48">
        <v>1</v>
      </c>
      <c r="F12" s="194">
        <v>15</v>
      </c>
      <c r="G12" s="48">
        <f aca="true" t="shared" si="2" ref="G12:G17">D12*E12*F12</f>
        <v>16200</v>
      </c>
      <c r="H12" s="84">
        <v>0.66</v>
      </c>
      <c r="I12" s="48">
        <f aca="true" t="shared" si="3" ref="I12:I17">G12*H12</f>
        <v>10692</v>
      </c>
    </row>
    <row r="13" spans="1:9" ht="15">
      <c r="A13" s="47"/>
      <c r="B13" s="69" t="s">
        <v>248</v>
      </c>
      <c r="C13" s="47" t="s">
        <v>253</v>
      </c>
      <c r="D13" s="194">
        <v>2304</v>
      </c>
      <c r="E13" s="48">
        <v>1</v>
      </c>
      <c r="F13" s="194">
        <v>15</v>
      </c>
      <c r="G13" s="48">
        <f t="shared" si="2"/>
        <v>34560</v>
      </c>
      <c r="H13" s="84">
        <v>0.66</v>
      </c>
      <c r="I13" s="48">
        <f t="shared" si="3"/>
        <v>22809.600000000002</v>
      </c>
    </row>
    <row r="14" spans="1:9" ht="15">
      <c r="A14" s="47"/>
      <c r="B14" s="69" t="s">
        <v>246</v>
      </c>
      <c r="C14" s="47" t="s">
        <v>254</v>
      </c>
      <c r="D14" s="194">
        <v>1</v>
      </c>
      <c r="E14" s="48">
        <v>1</v>
      </c>
      <c r="F14" s="194">
        <v>3650</v>
      </c>
      <c r="G14" s="48">
        <f t="shared" si="2"/>
        <v>3650</v>
      </c>
      <c r="H14" s="84">
        <v>0.909</v>
      </c>
      <c r="I14" s="48">
        <f t="shared" si="3"/>
        <v>3317.85</v>
      </c>
    </row>
    <row r="15" spans="1:9" ht="15">
      <c r="A15" s="47"/>
      <c r="B15" s="69" t="s">
        <v>247</v>
      </c>
      <c r="C15" s="47" t="s">
        <v>254</v>
      </c>
      <c r="D15" s="198">
        <v>2</v>
      </c>
      <c r="E15" s="198">
        <v>1</v>
      </c>
      <c r="F15" s="198">
        <v>200</v>
      </c>
      <c r="G15" s="48">
        <f t="shared" si="2"/>
        <v>400</v>
      </c>
      <c r="H15" s="84">
        <v>0.909</v>
      </c>
      <c r="I15" s="48">
        <f t="shared" si="3"/>
        <v>363.6</v>
      </c>
    </row>
    <row r="16" spans="1:9" ht="25.5" customHeight="1">
      <c r="A16" s="47"/>
      <c r="B16" s="69" t="s">
        <v>249</v>
      </c>
      <c r="C16" s="201" t="s">
        <v>255</v>
      </c>
      <c r="D16" s="194">
        <f>16</f>
        <v>16</v>
      </c>
      <c r="E16" s="48">
        <v>12</v>
      </c>
      <c r="F16" s="48">
        <v>20</v>
      </c>
      <c r="G16" s="48">
        <f t="shared" si="2"/>
        <v>3840</v>
      </c>
      <c r="H16" s="84">
        <v>0.847</v>
      </c>
      <c r="I16" s="48">
        <f t="shared" si="3"/>
        <v>3252.48</v>
      </c>
    </row>
    <row r="17" spans="1:9" ht="25.5">
      <c r="A17" s="47"/>
      <c r="B17" s="69" t="s">
        <v>137</v>
      </c>
      <c r="C17" s="47" t="s">
        <v>131</v>
      </c>
      <c r="D17" s="194">
        <v>1</v>
      </c>
      <c r="E17" s="48">
        <v>1</v>
      </c>
      <c r="F17" s="48">
        <v>200</v>
      </c>
      <c r="G17" s="48">
        <f t="shared" si="2"/>
        <v>200</v>
      </c>
      <c r="H17" s="84">
        <v>0.909</v>
      </c>
      <c r="I17" s="48">
        <f t="shared" si="3"/>
        <v>181.8</v>
      </c>
    </row>
    <row r="18" spans="1:9" ht="25.5" customHeight="1">
      <c r="A18" s="435" t="s">
        <v>138</v>
      </c>
      <c r="B18" s="435"/>
      <c r="C18" s="435"/>
      <c r="D18" s="435"/>
      <c r="E18" s="435"/>
      <c r="F18" s="435"/>
      <c r="G18" s="72">
        <f>G3+G11</f>
        <v>254954</v>
      </c>
      <c r="H18" s="26"/>
      <c r="I18" s="72">
        <f>I3+I11</f>
        <v>208519.386</v>
      </c>
    </row>
    <row r="19" spans="1:9" ht="15">
      <c r="A19" s="26"/>
      <c r="B19" s="26"/>
      <c r="C19" s="26"/>
      <c r="D19" s="26"/>
      <c r="E19" s="26"/>
      <c r="F19" s="26"/>
      <c r="G19" s="26"/>
      <c r="H19" s="26"/>
      <c r="I19" s="26"/>
    </row>
    <row r="20" spans="1:9" ht="15.75" customHeight="1">
      <c r="A20" s="26"/>
      <c r="D20" s="34"/>
      <c r="E20" s="433"/>
      <c r="F20" s="433"/>
      <c r="I20" s="26"/>
    </row>
    <row r="21" spans="1:9" ht="25.5" customHeight="1">
      <c r="A21" s="26"/>
      <c r="B21" s="26"/>
      <c r="C21" s="34"/>
      <c r="D21" s="34"/>
      <c r="E21" s="34"/>
      <c r="F21" s="26"/>
      <c r="I21" s="26"/>
    </row>
    <row r="22" spans="1:9" ht="15">
      <c r="A22" s="26"/>
      <c r="B22" s="197"/>
      <c r="C22" s="202"/>
      <c r="D22" s="34"/>
      <c r="E22" s="34"/>
      <c r="F22" s="34"/>
      <c r="I22" s="26"/>
    </row>
    <row r="23" spans="1:9" ht="15.75" customHeight="1">
      <c r="A23" s="26"/>
      <c r="B23" s="34"/>
      <c r="C23" s="202"/>
      <c r="D23" s="34"/>
      <c r="E23" s="26"/>
      <c r="F23" s="26"/>
      <c r="I23" s="26"/>
    </row>
    <row r="24" spans="1:6" ht="15">
      <c r="A24" s="26"/>
      <c r="B24" s="26"/>
      <c r="C24" s="26"/>
      <c r="D24" s="26"/>
      <c r="E24" s="26"/>
      <c r="F24" s="26"/>
    </row>
    <row r="25" spans="1:8" ht="15.75" customHeight="1">
      <c r="A25" s="26"/>
      <c r="B25" s="39"/>
      <c r="C25" s="39"/>
      <c r="D25" s="34"/>
      <c r="F25" s="26"/>
      <c r="G25" s="26"/>
      <c r="H25" s="26"/>
    </row>
    <row r="26" spans="1:8" ht="15">
      <c r="A26" s="26"/>
      <c r="B26" s="39"/>
      <c r="C26" s="39"/>
      <c r="D26" s="34"/>
      <c r="E26" s="26"/>
      <c r="F26" s="26"/>
      <c r="G26" s="26"/>
      <c r="H26" s="26" t="s">
        <v>63</v>
      </c>
    </row>
    <row r="27" spans="1:8" ht="15">
      <c r="A27" s="26"/>
      <c r="B27" s="26"/>
      <c r="C27" s="26"/>
      <c r="D27" s="26"/>
      <c r="E27" s="26"/>
      <c r="F27" s="26"/>
      <c r="G27" s="26"/>
      <c r="H27" s="26"/>
    </row>
    <row r="28" spans="1:8" ht="15">
      <c r="A28" s="26"/>
      <c r="B28" s="26"/>
      <c r="C28" s="26"/>
      <c r="D28" s="26"/>
      <c r="E28" s="26"/>
      <c r="F28" s="26"/>
      <c r="G28" s="26"/>
      <c r="H28" s="26"/>
    </row>
    <row r="29" spans="1:8" ht="15">
      <c r="A29" s="26"/>
      <c r="B29" s="26"/>
      <c r="C29" s="26"/>
      <c r="D29" s="26"/>
      <c r="E29" s="26"/>
      <c r="F29" s="26"/>
      <c r="G29" s="26"/>
      <c r="H29" s="26"/>
    </row>
    <row r="30" spans="1:8" ht="15">
      <c r="A30" s="26"/>
      <c r="B30" s="26"/>
      <c r="C30" s="26"/>
      <c r="D30" s="26"/>
      <c r="E30" s="26"/>
      <c r="F30" s="26"/>
      <c r="G30" s="26"/>
      <c r="H30" s="26"/>
    </row>
    <row r="31" spans="1:8" ht="15">
      <c r="A31" s="26"/>
      <c r="B31" s="26"/>
      <c r="C31" s="26"/>
      <c r="D31" s="26"/>
      <c r="E31" s="26"/>
      <c r="F31" s="26"/>
      <c r="G31" s="26"/>
      <c r="H31" s="26"/>
    </row>
    <row r="32" spans="1:8" ht="15">
      <c r="A32" s="26"/>
      <c r="B32" s="26"/>
      <c r="C32" s="26"/>
      <c r="D32" s="26"/>
      <c r="E32" s="26"/>
      <c r="F32" s="26"/>
      <c r="G32" s="26"/>
      <c r="H32" s="26"/>
    </row>
    <row r="33" spans="1:8" ht="15">
      <c r="A33" s="26"/>
      <c r="B33" s="26"/>
      <c r="C33" s="26"/>
      <c r="D33" s="26"/>
      <c r="E33" s="26"/>
      <c r="F33" s="26"/>
      <c r="G33" s="26"/>
      <c r="H33" s="26"/>
    </row>
    <row r="34" spans="1:8" ht="15">
      <c r="A34" s="26"/>
      <c r="B34" s="26"/>
      <c r="C34" s="26"/>
      <c r="D34" s="26"/>
      <c r="E34" s="26"/>
      <c r="F34" s="26"/>
      <c r="G34" s="26"/>
      <c r="H34" s="26"/>
    </row>
    <row r="35" spans="1:8" ht="15">
      <c r="A35" s="26"/>
      <c r="B35" s="26"/>
      <c r="C35" s="26"/>
      <c r="D35" s="26"/>
      <c r="E35" s="26"/>
      <c r="F35" s="26"/>
      <c r="G35" s="26"/>
      <c r="H35" s="26"/>
    </row>
    <row r="36" spans="1:8" ht="15">
      <c r="A36" s="26"/>
      <c r="B36" s="26"/>
      <c r="C36" s="26"/>
      <c r="D36" s="26"/>
      <c r="E36" s="26"/>
      <c r="F36" s="26"/>
      <c r="G36" s="26"/>
      <c r="H36" s="26"/>
    </row>
    <row r="37" spans="1:8" ht="15">
      <c r="A37" s="26"/>
      <c r="B37" s="26"/>
      <c r="C37" s="26"/>
      <c r="D37" s="26"/>
      <c r="E37" s="26"/>
      <c r="F37" s="26"/>
      <c r="G37" s="26"/>
      <c r="H37" s="26"/>
    </row>
    <row r="38" spans="1:8" ht="15">
      <c r="A38" s="26"/>
      <c r="B38" s="26"/>
      <c r="C38" s="26"/>
      <c r="D38" s="26"/>
      <c r="E38" s="26"/>
      <c r="F38" s="26"/>
      <c r="G38" s="26"/>
      <c r="H38" s="26"/>
    </row>
  </sheetData>
  <sheetProtection/>
  <mergeCells count="3">
    <mergeCell ref="E20:F20"/>
    <mergeCell ref="A1:I1"/>
    <mergeCell ref="A18:F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8"/>
  </sheetPr>
  <dimension ref="A1:I44"/>
  <sheetViews>
    <sheetView zoomScalePageLayoutView="0" workbookViewId="0" topLeftCell="A31">
      <selection activeCell="G54" sqref="G54"/>
    </sheetView>
  </sheetViews>
  <sheetFormatPr defaultColWidth="11.421875" defaultRowHeight="15"/>
  <cols>
    <col min="1" max="1" width="3.8515625" style="26" customWidth="1"/>
    <col min="2" max="2" width="30.140625" style="26" customWidth="1"/>
    <col min="3" max="3" width="13.00390625" style="26" customWidth="1"/>
    <col min="4" max="5" width="11.57421875" style="26" bestFit="1" customWidth="1"/>
    <col min="6" max="6" width="12.8515625" style="26" bestFit="1" customWidth="1"/>
    <col min="7" max="7" width="20.7109375" style="26" customWidth="1"/>
    <col min="8" max="8" width="14.8515625" style="26" bestFit="1" customWidth="1"/>
    <col min="9" max="9" width="13.00390625" style="26" bestFit="1" customWidth="1"/>
    <col min="10" max="16384" width="11.421875" style="26" customWidth="1"/>
  </cols>
  <sheetData>
    <row r="1" spans="1:9" ht="12.75">
      <c r="A1" s="444" t="s">
        <v>139</v>
      </c>
      <c r="B1" s="444"/>
      <c r="C1" s="444"/>
      <c r="D1" s="444"/>
      <c r="E1" s="444"/>
      <c r="F1" s="444"/>
      <c r="G1" s="444"/>
      <c r="H1" s="444"/>
      <c r="I1" s="444"/>
    </row>
    <row r="2" spans="1:9" ht="38.25">
      <c r="A2" s="65" t="s">
        <v>121</v>
      </c>
      <c r="B2" s="65" t="s">
        <v>14</v>
      </c>
      <c r="C2" s="65" t="s">
        <v>122</v>
      </c>
      <c r="D2" s="65" t="s">
        <v>140</v>
      </c>
      <c r="E2" s="65" t="s">
        <v>124</v>
      </c>
      <c r="F2" s="65" t="s">
        <v>125</v>
      </c>
      <c r="G2" s="65" t="s">
        <v>126</v>
      </c>
      <c r="H2" s="65" t="s">
        <v>127</v>
      </c>
      <c r="I2" s="65" t="s">
        <v>126</v>
      </c>
    </row>
    <row r="3" spans="1:9" ht="12.75">
      <c r="A3" s="47">
        <v>1</v>
      </c>
      <c r="B3" s="66" t="s">
        <v>128</v>
      </c>
      <c r="C3" s="47"/>
      <c r="D3" s="48"/>
      <c r="E3" s="48"/>
      <c r="F3" s="48"/>
      <c r="G3" s="67">
        <f>SUM(G4:G14)</f>
        <v>428430.16</v>
      </c>
      <c r="H3" s="67"/>
      <c r="I3" s="67">
        <f>SUM(I4:I14)</f>
        <v>365426.31351999997</v>
      </c>
    </row>
    <row r="4" spans="1:9" ht="25.5">
      <c r="A4" s="47"/>
      <c r="B4" s="69" t="str">
        <f>'O&amp;M SP'!B4</f>
        <v>Responsable de la
Unidad</v>
      </c>
      <c r="C4" s="47" t="str">
        <f>'O&amp;M SP'!C4</f>
        <v>Persona</v>
      </c>
      <c r="D4" s="48">
        <v>1</v>
      </c>
      <c r="E4" s="48">
        <v>12</v>
      </c>
      <c r="F4" s="48">
        <v>1200</v>
      </c>
      <c r="G4" s="48">
        <f>D4*E4*F4</f>
        <v>14400</v>
      </c>
      <c r="H4" s="70">
        <v>0.909</v>
      </c>
      <c r="I4" s="48">
        <f>G4*H4</f>
        <v>13089.6</v>
      </c>
    </row>
    <row r="5" spans="1:9" ht="12.75">
      <c r="A5" s="47"/>
      <c r="B5" s="69" t="str">
        <f>'O&amp;M SP'!B5</f>
        <v>Técnico Administrativo</v>
      </c>
      <c r="C5" s="47" t="str">
        <f>'O&amp;M SP'!C5</f>
        <v>Persona</v>
      </c>
      <c r="D5" s="48">
        <v>1</v>
      </c>
      <c r="E5" s="48">
        <v>12</v>
      </c>
      <c r="F5" s="48">
        <v>1222</v>
      </c>
      <c r="G5" s="48">
        <f aca="true" t="shared" si="0" ref="G5:G12">D5*E5*F5</f>
        <v>14664</v>
      </c>
      <c r="H5" s="70">
        <v>0.909</v>
      </c>
      <c r="I5" s="48">
        <f aca="true" t="shared" si="1" ref="I5:I14">G5*H5</f>
        <v>13329.576000000001</v>
      </c>
    </row>
    <row r="6" spans="1:9" ht="12.75">
      <c r="A6" s="47"/>
      <c r="B6" s="69" t="s">
        <v>129</v>
      </c>
      <c r="C6" s="47" t="str">
        <f>'O&amp;M SP'!C6</f>
        <v>Persona</v>
      </c>
      <c r="D6" s="48">
        <f>'ANALISIS DE OFERTA '!E52</f>
        <v>12</v>
      </c>
      <c r="E6" s="48">
        <v>12</v>
      </c>
      <c r="F6" s="48">
        <v>850</v>
      </c>
      <c r="G6" s="48">
        <f t="shared" si="0"/>
        <v>122400</v>
      </c>
      <c r="H6" s="70">
        <v>0.847</v>
      </c>
      <c r="I6" s="48">
        <f t="shared" si="1"/>
        <v>103672.8</v>
      </c>
    </row>
    <row r="7" spans="1:9" ht="12.75">
      <c r="A7" s="47"/>
      <c r="B7" s="69" t="s">
        <v>256</v>
      </c>
      <c r="C7" s="47" t="s">
        <v>243</v>
      </c>
      <c r="D7" s="48">
        <v>1</v>
      </c>
      <c r="E7" s="48">
        <v>12</v>
      </c>
      <c r="F7" s="48">
        <v>1000</v>
      </c>
      <c r="G7" s="48">
        <f t="shared" si="0"/>
        <v>12000</v>
      </c>
      <c r="H7" s="70">
        <v>0.909</v>
      </c>
      <c r="I7" s="48">
        <f t="shared" si="1"/>
        <v>10908</v>
      </c>
    </row>
    <row r="8" spans="1:9" ht="25.5">
      <c r="A8" s="47"/>
      <c r="B8" s="69" t="s">
        <v>141</v>
      </c>
      <c r="C8" s="47" t="s">
        <v>243</v>
      </c>
      <c r="D8" s="48">
        <f>'ANALISIS DE OFERTA '!K54</f>
        <v>15</v>
      </c>
      <c r="E8" s="48">
        <v>12</v>
      </c>
      <c r="F8" s="48">
        <v>850</v>
      </c>
      <c r="G8" s="48">
        <f t="shared" si="0"/>
        <v>153000</v>
      </c>
      <c r="H8" s="70">
        <v>0.847</v>
      </c>
      <c r="I8" s="48">
        <f t="shared" si="1"/>
        <v>129591</v>
      </c>
    </row>
    <row r="9" spans="1:9" ht="12.75">
      <c r="A9" s="47"/>
      <c r="B9" s="71" t="s">
        <v>130</v>
      </c>
      <c r="C9" s="47" t="str">
        <f>'O&amp;M SP'!C7</f>
        <v>mes</v>
      </c>
      <c r="D9" s="48">
        <v>1</v>
      </c>
      <c r="E9" s="48">
        <v>12</v>
      </c>
      <c r="F9" s="48">
        <v>600</v>
      </c>
      <c r="G9" s="48">
        <f t="shared" si="0"/>
        <v>7200</v>
      </c>
      <c r="H9" s="70">
        <v>0.847</v>
      </c>
      <c r="I9" s="48">
        <f t="shared" si="1"/>
        <v>6098.4</v>
      </c>
    </row>
    <row r="10" spans="1:9" ht="12.75">
      <c r="A10" s="47"/>
      <c r="B10" s="71" t="s">
        <v>132</v>
      </c>
      <c r="C10" s="47" t="str">
        <f>'O&amp;M SP'!C8</f>
        <v>mes</v>
      </c>
      <c r="D10" s="48">
        <v>1</v>
      </c>
      <c r="E10" s="48">
        <v>12</v>
      </c>
      <c r="F10" s="48">
        <v>150</v>
      </c>
      <c r="G10" s="48">
        <f t="shared" si="0"/>
        <v>1800</v>
      </c>
      <c r="H10" s="70">
        <v>0.847</v>
      </c>
      <c r="I10" s="48">
        <f t="shared" si="1"/>
        <v>1524.6</v>
      </c>
    </row>
    <row r="11" spans="1:9" ht="12.75">
      <c r="A11" s="47"/>
      <c r="B11" s="71" t="s">
        <v>133</v>
      </c>
      <c r="C11" s="47" t="str">
        <f>'O&amp;M SP'!C9</f>
        <v>mes</v>
      </c>
      <c r="D11" s="48">
        <v>1</v>
      </c>
      <c r="E11" s="48">
        <v>12</v>
      </c>
      <c r="F11" s="48">
        <v>150</v>
      </c>
      <c r="G11" s="48">
        <f t="shared" si="0"/>
        <v>1800</v>
      </c>
      <c r="H11" s="70">
        <v>0.847</v>
      </c>
      <c r="I11" s="48">
        <f t="shared" si="1"/>
        <v>1524.6</v>
      </c>
    </row>
    <row r="12" spans="1:9" ht="12.75">
      <c r="A12" s="47"/>
      <c r="B12" s="71" t="s">
        <v>134</v>
      </c>
      <c r="C12" s="47" t="str">
        <f>'O&amp;M SP'!C10</f>
        <v>mes</v>
      </c>
      <c r="D12" s="48">
        <v>1</v>
      </c>
      <c r="E12" s="48">
        <v>12</v>
      </c>
      <c r="F12" s="48">
        <v>150</v>
      </c>
      <c r="G12" s="48">
        <f t="shared" si="0"/>
        <v>1800</v>
      </c>
      <c r="H12" s="70">
        <v>0.847</v>
      </c>
      <c r="I12" s="48">
        <f t="shared" si="1"/>
        <v>1524.6</v>
      </c>
    </row>
    <row r="13" spans="1:9" ht="12.75">
      <c r="A13" s="47"/>
      <c r="B13" s="71" t="s">
        <v>478</v>
      </c>
      <c r="C13" s="47" t="s">
        <v>489</v>
      </c>
      <c r="D13" s="48">
        <v>4</v>
      </c>
      <c r="E13" s="48">
        <v>1</v>
      </c>
      <c r="F13" s="48">
        <v>700</v>
      </c>
      <c r="G13" s="48">
        <f>D13*E13*F13</f>
        <v>2800</v>
      </c>
      <c r="H13" s="70">
        <v>0.847</v>
      </c>
      <c r="I13" s="48">
        <f t="shared" si="1"/>
        <v>2371.6</v>
      </c>
    </row>
    <row r="14" spans="1:9" ht="12.75">
      <c r="A14" s="47"/>
      <c r="B14" s="309" t="s">
        <v>599</v>
      </c>
      <c r="C14" s="47" t="s">
        <v>489</v>
      </c>
      <c r="D14" s="48">
        <v>1</v>
      </c>
      <c r="E14" s="48">
        <v>1</v>
      </c>
      <c r="F14" s="83">
        <f>'COMPONENTE 3'!E49</f>
        <v>96566.15999999999</v>
      </c>
      <c r="G14" s="48">
        <f>D14*E14*F14</f>
        <v>96566.15999999999</v>
      </c>
      <c r="H14" s="70">
        <v>0.847</v>
      </c>
      <c r="I14" s="48">
        <f t="shared" si="1"/>
        <v>81791.53751999998</v>
      </c>
    </row>
    <row r="15" spans="1:9" ht="12.75">
      <c r="A15" s="47">
        <v>2</v>
      </c>
      <c r="B15" s="66" t="s">
        <v>136</v>
      </c>
      <c r="C15" s="47"/>
      <c r="D15" s="48"/>
      <c r="E15" s="48"/>
      <c r="F15" s="48"/>
      <c r="G15" s="67">
        <f>SUM(G16:G22)</f>
        <v>105300</v>
      </c>
      <c r="H15" s="67"/>
      <c r="I15" s="67">
        <f>SUM(I16:I22)</f>
        <v>56201.58</v>
      </c>
    </row>
    <row r="16" spans="1:9" ht="12.75">
      <c r="A16" s="47"/>
      <c r="B16" s="69" t="str">
        <f>'O&amp;M SP'!B12</f>
        <v>Combustible-petroleo</v>
      </c>
      <c r="C16" s="47" t="str">
        <f>'O&amp;M SP'!C12</f>
        <v>Galones/año</v>
      </c>
      <c r="D16" s="48">
        <f>'O&amp;M SP'!D12*2</f>
        <v>2160</v>
      </c>
      <c r="E16" s="48">
        <v>1</v>
      </c>
      <c r="F16" s="48">
        <v>15</v>
      </c>
      <c r="G16" s="48">
        <f>D16*E16*F16</f>
        <v>32400</v>
      </c>
      <c r="H16" s="70">
        <v>0.66</v>
      </c>
      <c r="I16" s="48">
        <f>G16*H16</f>
        <v>21384</v>
      </c>
    </row>
    <row r="17" spans="1:9" ht="12.75">
      <c r="A17" s="47"/>
      <c r="B17" s="69" t="str">
        <f>'O&amp;M SP'!B13</f>
        <v>Combustible-gasolina</v>
      </c>
      <c r="C17" s="47" t="str">
        <f>'O&amp;M SP'!C13</f>
        <v>Galones/año</v>
      </c>
      <c r="D17" s="48">
        <f>'O&amp;M SP'!D13</f>
        <v>2304</v>
      </c>
      <c r="E17" s="48">
        <v>1</v>
      </c>
      <c r="F17" s="48">
        <v>15</v>
      </c>
      <c r="G17" s="48">
        <f aca="true" t="shared" si="2" ref="G17:G22">D17*E17*F17</f>
        <v>34560</v>
      </c>
      <c r="H17" s="70"/>
      <c r="I17" s="67"/>
    </row>
    <row r="18" spans="1:9" ht="12.75">
      <c r="A18" s="47"/>
      <c r="B18" s="69" t="s">
        <v>252</v>
      </c>
      <c r="C18" s="47" t="str">
        <f>'O&amp;M SP'!C14</f>
        <v>Und/año</v>
      </c>
      <c r="D18" s="48">
        <f>'BALANCE OFERTA-DEMANDA'!B10</f>
        <v>1</v>
      </c>
      <c r="E18" s="48">
        <v>1</v>
      </c>
      <c r="F18" s="48">
        <f>'O&amp;M SP'!F14</f>
        <v>3650</v>
      </c>
      <c r="G18" s="48">
        <f t="shared" si="2"/>
        <v>3650</v>
      </c>
      <c r="H18" s="70">
        <v>0.909</v>
      </c>
      <c r="I18" s="48">
        <f>G18*H18</f>
        <v>3317.85</v>
      </c>
    </row>
    <row r="19" spans="1:9" ht="12.75">
      <c r="A19" s="47"/>
      <c r="B19" s="69" t="s">
        <v>250</v>
      </c>
      <c r="C19" s="47" t="str">
        <f>'O&amp;M SP'!C15</f>
        <v>Und/año</v>
      </c>
      <c r="D19" s="48">
        <f>'BALANCE OFERTA-DEMANDA'!B12</f>
        <v>1</v>
      </c>
      <c r="E19" s="48">
        <v>1</v>
      </c>
      <c r="F19" s="48">
        <f>'O&amp;M SP'!F15</f>
        <v>200</v>
      </c>
      <c r="G19" s="48">
        <f t="shared" si="2"/>
        <v>200</v>
      </c>
      <c r="H19" s="70">
        <v>0.909</v>
      </c>
      <c r="I19" s="48">
        <f>G19*H19</f>
        <v>181.8</v>
      </c>
    </row>
    <row r="20" spans="1:9" ht="25.5">
      <c r="A20" s="47"/>
      <c r="B20" s="69" t="s">
        <v>249</v>
      </c>
      <c r="C20" s="201" t="str">
        <f>'O&amp;M SP'!C16</f>
        <v>Unidades/mes</v>
      </c>
      <c r="D20" s="48">
        <f>'ANALISIS DE OFERTA '!E52+'ANALISIS DE OFERTA '!K54</f>
        <v>27</v>
      </c>
      <c r="E20" s="48">
        <v>1</v>
      </c>
      <c r="F20" s="48">
        <f>'O&amp;M SP'!F16</f>
        <v>20</v>
      </c>
      <c r="G20" s="48">
        <f t="shared" si="2"/>
        <v>540</v>
      </c>
      <c r="H20" s="70">
        <v>0.847</v>
      </c>
      <c r="I20" s="48">
        <f>G20*H20</f>
        <v>457.38</v>
      </c>
    </row>
    <row r="21" spans="1:9" ht="25.5">
      <c r="A21" s="47"/>
      <c r="B21" s="69" t="s">
        <v>142</v>
      </c>
      <c r="C21" s="47" t="str">
        <f>'O&amp;M SP'!C17</f>
        <v>Glb</v>
      </c>
      <c r="D21" s="48">
        <v>1</v>
      </c>
      <c r="E21" s="48">
        <v>1</v>
      </c>
      <c r="F21" s="48">
        <f>'O&amp;M SP'!G17</f>
        <v>200</v>
      </c>
      <c r="G21" s="48">
        <f t="shared" si="2"/>
        <v>200</v>
      </c>
      <c r="H21" s="70">
        <v>0.909</v>
      </c>
      <c r="I21" s="48">
        <f>G21*H21</f>
        <v>181.8</v>
      </c>
    </row>
    <row r="22" spans="1:9" ht="27" customHeight="1">
      <c r="A22" s="47"/>
      <c r="B22" s="69" t="s">
        <v>143</v>
      </c>
      <c r="C22" s="47" t="str">
        <f>C21</f>
        <v>Glb</v>
      </c>
      <c r="D22" s="48">
        <v>1</v>
      </c>
      <c r="E22" s="48">
        <v>1</v>
      </c>
      <c r="F22" s="48">
        <v>33750</v>
      </c>
      <c r="G22" s="48">
        <f t="shared" si="2"/>
        <v>33750</v>
      </c>
      <c r="H22" s="70">
        <v>0.909</v>
      </c>
      <c r="I22" s="48">
        <f>G22*H22</f>
        <v>30678.75</v>
      </c>
    </row>
    <row r="23" spans="1:9" ht="12.75">
      <c r="A23" s="435" t="s">
        <v>251</v>
      </c>
      <c r="B23" s="435"/>
      <c r="C23" s="435"/>
      <c r="D23" s="435"/>
      <c r="E23" s="435"/>
      <c r="F23" s="435"/>
      <c r="G23" s="200">
        <f>G3+G15</f>
        <v>533730.1599999999</v>
      </c>
      <c r="H23" s="73"/>
      <c r="I23" s="200">
        <f>I3+I15</f>
        <v>421627.89352</v>
      </c>
    </row>
    <row r="25" spans="2:9" ht="12.75">
      <c r="B25" s="445" t="s">
        <v>144</v>
      </c>
      <c r="C25" s="445"/>
      <c r="D25" s="445"/>
      <c r="E25" s="445"/>
      <c r="F25" s="445"/>
      <c r="G25" s="73"/>
      <c r="H25" s="73"/>
      <c r="I25" s="73"/>
    </row>
    <row r="26" spans="2:9" ht="12.75">
      <c r="B26" s="437" t="s">
        <v>145</v>
      </c>
      <c r="C26" s="438"/>
      <c r="D26" s="438"/>
      <c r="E26" s="438"/>
      <c r="F26" s="438"/>
      <c r="G26" s="438"/>
      <c r="H26" s="438"/>
      <c r="I26" s="438"/>
    </row>
    <row r="27" spans="2:9" ht="38.25">
      <c r="B27" s="74" t="s">
        <v>55</v>
      </c>
      <c r="C27" s="74" t="s">
        <v>146</v>
      </c>
      <c r="D27" s="74" t="s">
        <v>274</v>
      </c>
      <c r="E27" s="74" t="s">
        <v>123</v>
      </c>
      <c r="F27" s="74" t="s">
        <v>147</v>
      </c>
      <c r="G27" s="74" t="s">
        <v>148</v>
      </c>
      <c r="H27" s="74" t="s">
        <v>127</v>
      </c>
      <c r="I27" s="74" t="s">
        <v>149</v>
      </c>
    </row>
    <row r="28" spans="2:9" ht="12.75">
      <c r="B28" s="75" t="s">
        <v>150</v>
      </c>
      <c r="C28" s="75">
        <v>5</v>
      </c>
      <c r="D28" s="47" t="s">
        <v>486</v>
      </c>
      <c r="E28" s="76">
        <f>'BALANCE OFERTA-DEMANDA'!B10</f>
        <v>1</v>
      </c>
      <c r="F28" s="77">
        <f>'COMPONENTE 3'!C10</f>
        <v>153562.5</v>
      </c>
      <c r="G28" s="78">
        <f>E28*F28</f>
        <v>153562.5</v>
      </c>
      <c r="H28" s="68">
        <v>0.847</v>
      </c>
      <c r="I28" s="79">
        <f>G28*H28</f>
        <v>130067.4375</v>
      </c>
    </row>
    <row r="29" spans="2:9" ht="12.75">
      <c r="B29" s="75" t="s">
        <v>151</v>
      </c>
      <c r="C29" s="75">
        <v>5</v>
      </c>
      <c r="D29" s="47" t="s">
        <v>486</v>
      </c>
      <c r="E29" s="76">
        <f>'BALANCE OFERTA-DEMANDA'!B12</f>
        <v>1</v>
      </c>
      <c r="F29" s="77">
        <f>'COMPONENTE 3'!H3</f>
        <v>11150</v>
      </c>
      <c r="G29" s="78">
        <f>E29*F29</f>
        <v>11150</v>
      </c>
      <c r="H29" s="68">
        <v>0.847</v>
      </c>
      <c r="I29" s="79">
        <f>G29*H29</f>
        <v>9444.05</v>
      </c>
    </row>
    <row r="30" spans="2:9" ht="12.75">
      <c r="B30" s="441" t="s">
        <v>64</v>
      </c>
      <c r="C30" s="442"/>
      <c r="D30" s="442"/>
      <c r="E30" s="442"/>
      <c r="F30" s="443"/>
      <c r="G30" s="80">
        <f>G28+G29</f>
        <v>164712.5</v>
      </c>
      <c r="I30" s="80">
        <f>I28+I29</f>
        <v>139511.4875</v>
      </c>
    </row>
    <row r="31" spans="2:8" ht="12.75">
      <c r="B31" s="81"/>
      <c r="C31" s="81"/>
      <c r="D31" s="81"/>
      <c r="E31" s="81"/>
      <c r="F31" s="82"/>
      <c r="H31" s="82"/>
    </row>
    <row r="32" spans="2:6" ht="12.75">
      <c r="B32" s="81"/>
      <c r="C32" s="81"/>
      <c r="D32" s="81"/>
      <c r="E32" s="81"/>
      <c r="F32" s="82"/>
    </row>
    <row r="33" spans="2:9" ht="12.75">
      <c r="B33" s="439" t="s">
        <v>152</v>
      </c>
      <c r="C33" s="440"/>
      <c r="D33" s="440"/>
      <c r="E33" s="440"/>
      <c r="F33" s="440"/>
      <c r="G33" s="440"/>
      <c r="H33" s="440"/>
      <c r="I33" s="440"/>
    </row>
    <row r="34" spans="2:9" ht="38.25">
      <c r="B34" s="74" t="s">
        <v>55</v>
      </c>
      <c r="C34" s="74" t="s">
        <v>146</v>
      </c>
      <c r="D34" s="74" t="s">
        <v>274</v>
      </c>
      <c r="E34" s="74" t="s">
        <v>123</v>
      </c>
      <c r="F34" s="74" t="s">
        <v>147</v>
      </c>
      <c r="G34" s="74" t="s">
        <v>148</v>
      </c>
      <c r="H34" s="74" t="s">
        <v>127</v>
      </c>
      <c r="I34" s="74" t="s">
        <v>149</v>
      </c>
    </row>
    <row r="35" spans="2:9" ht="12.75">
      <c r="B35" s="308" t="s">
        <v>455</v>
      </c>
      <c r="C35" s="75" t="s">
        <v>153</v>
      </c>
      <c r="D35" s="47" t="s">
        <v>486</v>
      </c>
      <c r="E35" s="307">
        <f>'COMPONENTE 3'!D61+'COMPONENTE 3'!D76+'COMPONENTE 3'!D80+'COMPONENTE 3'!D93+'COMPONENTE 3'!D99+'COMPONENTE 3'!D107</f>
        <v>14</v>
      </c>
      <c r="F35" s="83">
        <f>'COMPONENTE 3'!C107</f>
        <v>3800</v>
      </c>
      <c r="G35" s="77">
        <f aca="true" t="shared" si="3" ref="G35:G42">E35*F35</f>
        <v>53200</v>
      </c>
      <c r="H35" s="84">
        <v>0.847</v>
      </c>
      <c r="I35" s="60">
        <f aca="true" t="shared" si="4" ref="I35:I42">G35*H35</f>
        <v>45060.4</v>
      </c>
    </row>
    <row r="36" spans="2:9" ht="12.75">
      <c r="B36" s="308" t="s">
        <v>441</v>
      </c>
      <c r="C36" s="75" t="s">
        <v>153</v>
      </c>
      <c r="D36" s="47" t="s">
        <v>486</v>
      </c>
      <c r="E36" s="307">
        <f>'COMPONENTE 3'!D97</f>
        <v>1</v>
      </c>
      <c r="F36" s="83">
        <f>'COMPONENTE 3'!C97</f>
        <v>3099</v>
      </c>
      <c r="G36" s="77">
        <f t="shared" si="3"/>
        <v>3099</v>
      </c>
      <c r="H36" s="84">
        <v>0.847</v>
      </c>
      <c r="I36" s="60">
        <f t="shared" si="4"/>
        <v>2624.853</v>
      </c>
    </row>
    <row r="37" spans="2:9" ht="25.5">
      <c r="B37" s="308" t="s">
        <v>483</v>
      </c>
      <c r="C37" s="75" t="s">
        <v>153</v>
      </c>
      <c r="D37" s="47" t="s">
        <v>487</v>
      </c>
      <c r="E37" s="307">
        <f>'COMPONENTE 3'!D98</f>
        <v>1</v>
      </c>
      <c r="F37" s="83">
        <f>'COMPONENTE 3'!C98</f>
        <v>1677</v>
      </c>
      <c r="G37" s="77">
        <f t="shared" si="3"/>
        <v>1677</v>
      </c>
      <c r="H37" s="84">
        <v>0.847</v>
      </c>
      <c r="I37" s="60">
        <f t="shared" si="4"/>
        <v>1420.4189999999999</v>
      </c>
    </row>
    <row r="38" spans="2:9" ht="25.5">
      <c r="B38" s="308" t="s">
        <v>484</v>
      </c>
      <c r="C38" s="75" t="s">
        <v>153</v>
      </c>
      <c r="D38" s="47" t="s">
        <v>487</v>
      </c>
      <c r="E38" s="307">
        <f>'COMPONENTE 3'!D11</f>
        <v>2</v>
      </c>
      <c r="F38" s="307">
        <f>'COMPONENTE 3'!C11</f>
        <v>16216.62</v>
      </c>
      <c r="G38" s="77">
        <f t="shared" si="3"/>
        <v>32433.24</v>
      </c>
      <c r="H38" s="84">
        <v>0.847</v>
      </c>
      <c r="I38" s="60">
        <f t="shared" si="4"/>
        <v>27470.95428</v>
      </c>
    </row>
    <row r="39" spans="2:9" ht="25.5">
      <c r="B39" s="308" t="s">
        <v>485</v>
      </c>
      <c r="C39" s="75" t="s">
        <v>153</v>
      </c>
      <c r="D39" s="47" t="s">
        <v>487</v>
      </c>
      <c r="E39" s="307">
        <f>'COMPONENTE 3'!D12</f>
        <v>2</v>
      </c>
      <c r="F39" s="307">
        <f>'COMPONENTE 3'!C12</f>
        <v>3898.21</v>
      </c>
      <c r="G39" s="77">
        <f t="shared" si="3"/>
        <v>7796.42</v>
      </c>
      <c r="H39" s="84">
        <v>0.847</v>
      </c>
      <c r="I39" s="60">
        <f t="shared" si="4"/>
        <v>6603.5677399999995</v>
      </c>
    </row>
    <row r="40" spans="2:9" ht="140.25">
      <c r="B40" s="308" t="str">
        <f>'COMPONENTE 3'!F2</f>
        <v>Barra posterior ajustable sujeta con pernos a la parrilla posterior con base para circulina de 12 v- led de alta intensidad (03 cambios) (luces led laterales
instaladas en el protector
de piernas con mando en
motor- 03 cambios) (sirena para motocicletas con
mando en el timon ( 03-
sonidos)</v>
      </c>
      <c r="C40" s="75" t="s">
        <v>153</v>
      </c>
      <c r="D40" s="47" t="s">
        <v>487</v>
      </c>
      <c r="E40" s="307">
        <f>'COMPONENTE 3'!I3</f>
        <v>2</v>
      </c>
      <c r="F40" s="83">
        <f>'COMPONENTE 3'!H2</f>
        <v>790</v>
      </c>
      <c r="G40" s="77">
        <f t="shared" si="3"/>
        <v>1580</v>
      </c>
      <c r="H40" s="84">
        <v>0.847</v>
      </c>
      <c r="I40" s="60">
        <f t="shared" si="4"/>
        <v>1338.26</v>
      </c>
    </row>
    <row r="41" spans="2:9" ht="12.75">
      <c r="B41" s="309" t="s">
        <v>488</v>
      </c>
      <c r="C41" s="75" t="s">
        <v>153</v>
      </c>
      <c r="D41" s="47" t="s">
        <v>487</v>
      </c>
      <c r="E41" s="307">
        <v>1</v>
      </c>
      <c r="F41" s="83">
        <f>'COMPONENTE 3'!E108</f>
        <v>80325.40000000001</v>
      </c>
      <c r="G41" s="77">
        <f t="shared" si="3"/>
        <v>80325.40000000001</v>
      </c>
      <c r="H41" s="84">
        <v>0.847</v>
      </c>
      <c r="I41" s="60">
        <f t="shared" si="4"/>
        <v>68035.6138</v>
      </c>
    </row>
    <row r="42" spans="2:9" ht="12.75">
      <c r="B42" s="26" t="s">
        <v>600</v>
      </c>
      <c r="C42" s="75" t="s">
        <v>153</v>
      </c>
      <c r="D42" s="47" t="s">
        <v>487</v>
      </c>
      <c r="E42" s="307">
        <v>1</v>
      </c>
      <c r="F42" s="83">
        <f>'COMPONENTE 2'!E56</f>
        <v>51996</v>
      </c>
      <c r="G42" s="77">
        <f t="shared" si="3"/>
        <v>51996</v>
      </c>
      <c r="H42" s="84">
        <v>0.847</v>
      </c>
      <c r="I42" s="60">
        <f t="shared" si="4"/>
        <v>44040.612</v>
      </c>
    </row>
    <row r="43" spans="2:9" ht="12.75">
      <c r="B43" s="436" t="s">
        <v>64</v>
      </c>
      <c r="C43" s="436"/>
      <c r="D43" s="436"/>
      <c r="E43" s="436"/>
      <c r="F43" s="436"/>
      <c r="G43" s="85">
        <f>SUM(G35:G41)</f>
        <v>180111.06</v>
      </c>
      <c r="I43" s="85">
        <f>SUM(I35:I41)</f>
        <v>152554.06782</v>
      </c>
    </row>
    <row r="44" spans="2:9" ht="12.75">
      <c r="B44" s="432" t="s">
        <v>154</v>
      </c>
      <c r="C44" s="432"/>
      <c r="D44" s="432"/>
      <c r="E44" s="432"/>
      <c r="F44" s="432"/>
      <c r="G44" s="86">
        <f>G30+G43</f>
        <v>344823.56</v>
      </c>
      <c r="I44" s="86">
        <f>I30+I43</f>
        <v>292065.55532</v>
      </c>
    </row>
  </sheetData>
  <sheetProtection/>
  <mergeCells count="8">
    <mergeCell ref="B44:F44"/>
    <mergeCell ref="B43:F43"/>
    <mergeCell ref="B26:I26"/>
    <mergeCell ref="B33:I33"/>
    <mergeCell ref="B30:F30"/>
    <mergeCell ref="A1:I1"/>
    <mergeCell ref="A23:F23"/>
    <mergeCell ref="B25:F25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8"/>
  </sheetPr>
  <dimension ref="A1:S25"/>
  <sheetViews>
    <sheetView zoomScalePageLayoutView="0" workbookViewId="0" topLeftCell="A1">
      <selection activeCell="F22" sqref="F22"/>
    </sheetView>
  </sheetViews>
  <sheetFormatPr defaultColWidth="11.421875" defaultRowHeight="15"/>
  <cols>
    <col min="1" max="1" width="11.421875" style="1" customWidth="1"/>
    <col min="2" max="2" width="25.421875" style="1" bestFit="1" customWidth="1"/>
    <col min="3" max="16384" width="11.421875" style="1" customWidth="1"/>
  </cols>
  <sheetData>
    <row r="1" spans="1:19" ht="15">
      <c r="A1" s="87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87"/>
      <c r="O1" s="87"/>
      <c r="P1" s="87"/>
      <c r="Q1" s="87"/>
      <c r="R1" s="87"/>
      <c r="S1" s="87"/>
    </row>
    <row r="2" spans="1:19" ht="15">
      <c r="A2" s="87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87"/>
      <c r="O2" s="87"/>
      <c r="P2" s="87"/>
      <c r="Q2" s="87"/>
      <c r="R2" s="87"/>
      <c r="S2" s="87"/>
    </row>
    <row r="3" spans="1:19" ht="15">
      <c r="A3" s="87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87"/>
      <c r="O3" s="87"/>
      <c r="P3" s="87"/>
      <c r="Q3" s="87"/>
      <c r="R3" s="87"/>
      <c r="S3" s="87"/>
    </row>
    <row r="4" spans="1:19" ht="15">
      <c r="A4" s="87"/>
      <c r="B4" s="88" t="s">
        <v>155</v>
      </c>
      <c r="C4" s="88" t="s">
        <v>156</v>
      </c>
      <c r="D4" s="88" t="s">
        <v>157</v>
      </c>
      <c r="E4" s="88" t="s">
        <v>158</v>
      </c>
      <c r="F4" s="88" t="s">
        <v>159</v>
      </c>
      <c r="G4" s="88" t="s">
        <v>160</v>
      </c>
      <c r="H4" s="88" t="s">
        <v>161</v>
      </c>
      <c r="I4" s="88" t="s">
        <v>162</v>
      </c>
      <c r="J4" s="88" t="s">
        <v>163</v>
      </c>
      <c r="K4" s="88" t="s">
        <v>164</v>
      </c>
      <c r="L4" s="88" t="s">
        <v>165</v>
      </c>
      <c r="M4" s="88" t="s">
        <v>166</v>
      </c>
      <c r="N4" s="87"/>
      <c r="O4" s="87"/>
      <c r="P4" s="87"/>
      <c r="Q4" s="87"/>
      <c r="R4" s="87"/>
      <c r="S4" s="87"/>
    </row>
    <row r="5" spans="1:19" ht="15">
      <c r="A5" s="87"/>
      <c r="B5" s="88"/>
      <c r="C5" s="88">
        <v>2018</v>
      </c>
      <c r="D5" s="88">
        <v>2019</v>
      </c>
      <c r="E5" s="88">
        <v>2020</v>
      </c>
      <c r="F5" s="88">
        <v>2021</v>
      </c>
      <c r="G5" s="88">
        <v>2022</v>
      </c>
      <c r="H5" s="88">
        <v>2023</v>
      </c>
      <c r="I5" s="88">
        <v>2024</v>
      </c>
      <c r="J5" s="88">
        <v>2025</v>
      </c>
      <c r="K5" s="88">
        <v>2026</v>
      </c>
      <c r="L5" s="88">
        <v>2027</v>
      </c>
      <c r="M5" s="88">
        <v>2028</v>
      </c>
      <c r="N5" s="87"/>
      <c r="O5" s="87"/>
      <c r="P5" s="87"/>
      <c r="Q5" s="87"/>
      <c r="R5" s="87"/>
      <c r="S5" s="87"/>
    </row>
    <row r="6" spans="1:19" ht="15">
      <c r="A6" s="87"/>
      <c r="B6" s="89" t="s">
        <v>167</v>
      </c>
      <c r="C6" s="207">
        <f>COMPONENTES!F19</f>
        <v>4766599.456626997</v>
      </c>
      <c r="D6" s="91"/>
      <c r="E6" s="91"/>
      <c r="F6" s="91"/>
      <c r="G6" s="91"/>
      <c r="H6" s="91"/>
      <c r="I6" s="91"/>
      <c r="J6" s="91"/>
      <c r="K6" s="91"/>
      <c r="L6" s="91"/>
      <c r="M6" s="91"/>
      <c r="N6" s="87"/>
      <c r="O6" s="87"/>
      <c r="P6" s="87"/>
      <c r="Q6" s="87"/>
      <c r="R6" s="87"/>
      <c r="S6" s="87"/>
    </row>
    <row r="7" spans="1:19" ht="15">
      <c r="A7" s="87"/>
      <c r="B7" s="89" t="s">
        <v>168</v>
      </c>
      <c r="C7" s="207">
        <f>C8+C9</f>
        <v>0</v>
      </c>
      <c r="D7" s="207">
        <f>D8+D9</f>
        <v>254954</v>
      </c>
      <c r="E7" s="207">
        <f aca="true" t="shared" si="0" ref="E7:M7">E8+E9</f>
        <v>254954</v>
      </c>
      <c r="F7" s="207">
        <f t="shared" si="0"/>
        <v>254954</v>
      </c>
      <c r="G7" s="207">
        <f t="shared" si="0"/>
        <v>254954</v>
      </c>
      <c r="H7" s="207">
        <f t="shared" si="0"/>
        <v>254954</v>
      </c>
      <c r="I7" s="207">
        <f t="shared" si="0"/>
        <v>254954</v>
      </c>
      <c r="J7" s="207">
        <f t="shared" si="0"/>
        <v>254954</v>
      </c>
      <c r="K7" s="207">
        <f t="shared" si="0"/>
        <v>254954</v>
      </c>
      <c r="L7" s="207">
        <f t="shared" si="0"/>
        <v>254954</v>
      </c>
      <c r="M7" s="207">
        <f t="shared" si="0"/>
        <v>254954</v>
      </c>
      <c r="N7" s="87"/>
      <c r="O7" s="87"/>
      <c r="P7" s="87"/>
      <c r="Q7" s="87"/>
      <c r="R7" s="87"/>
      <c r="S7" s="87"/>
    </row>
    <row r="8" spans="1:19" ht="15">
      <c r="A8" s="87"/>
      <c r="B8" s="89" t="s">
        <v>169</v>
      </c>
      <c r="C8" s="90"/>
      <c r="D8" s="90">
        <f>'O&amp;M SP'!G3</f>
        <v>196104</v>
      </c>
      <c r="E8" s="90">
        <f>'O&amp;M SP'!$G$3</f>
        <v>196104</v>
      </c>
      <c r="F8" s="90">
        <f>'O&amp;M SP'!$G$3</f>
        <v>196104</v>
      </c>
      <c r="G8" s="90">
        <f>'O&amp;M SP'!$G$3</f>
        <v>196104</v>
      </c>
      <c r="H8" s="90">
        <f>'O&amp;M SP'!$G$3</f>
        <v>196104</v>
      </c>
      <c r="I8" s="90">
        <f>'O&amp;M SP'!$G$3</f>
        <v>196104</v>
      </c>
      <c r="J8" s="90">
        <f>'O&amp;M SP'!$G$3</f>
        <v>196104</v>
      </c>
      <c r="K8" s="90">
        <f>'O&amp;M SP'!$G$3</f>
        <v>196104</v>
      </c>
      <c r="L8" s="90">
        <f>'O&amp;M SP'!$G$3</f>
        <v>196104</v>
      </c>
      <c r="M8" s="90">
        <f>'O&amp;M SP'!$G$3</f>
        <v>196104</v>
      </c>
      <c r="N8" s="87"/>
      <c r="O8" s="87"/>
      <c r="P8" s="87"/>
      <c r="Q8" s="87"/>
      <c r="R8" s="87"/>
      <c r="S8" s="87"/>
    </row>
    <row r="9" spans="1:19" ht="15">
      <c r="A9" s="87"/>
      <c r="B9" s="89" t="s">
        <v>170</v>
      </c>
      <c r="C9" s="90"/>
      <c r="D9" s="90">
        <f>'O&amp;M SP'!G11</f>
        <v>58850</v>
      </c>
      <c r="E9" s="90">
        <f>'O&amp;M SP'!$G$11</f>
        <v>58850</v>
      </c>
      <c r="F9" s="90">
        <f>'O&amp;M SP'!$G$11</f>
        <v>58850</v>
      </c>
      <c r="G9" s="90">
        <f>'O&amp;M SP'!$G$11</f>
        <v>58850</v>
      </c>
      <c r="H9" s="90">
        <f>'O&amp;M SP'!$G$11</f>
        <v>58850</v>
      </c>
      <c r="I9" s="90">
        <f>'O&amp;M SP'!$G$11</f>
        <v>58850</v>
      </c>
      <c r="J9" s="90">
        <f>'O&amp;M SP'!$G$11</f>
        <v>58850</v>
      </c>
      <c r="K9" s="90">
        <f>'O&amp;M SP'!$G$11</f>
        <v>58850</v>
      </c>
      <c r="L9" s="90">
        <f>'O&amp;M SP'!$G$11</f>
        <v>58850</v>
      </c>
      <c r="M9" s="90">
        <f>'O&amp;M SP'!$G$11</f>
        <v>58850</v>
      </c>
      <c r="N9" s="87"/>
      <c r="O9" s="87"/>
      <c r="P9" s="87"/>
      <c r="Q9" s="87"/>
      <c r="R9" s="87"/>
      <c r="S9" s="87"/>
    </row>
    <row r="10" spans="1:19" ht="15">
      <c r="A10" s="87"/>
      <c r="B10" s="89" t="s">
        <v>171</v>
      </c>
      <c r="C10" s="207">
        <f>C11+C12+C13</f>
        <v>0</v>
      </c>
      <c r="D10" s="207">
        <f>D11+D12+D13</f>
        <v>533730.1599999999</v>
      </c>
      <c r="E10" s="207">
        <f aca="true" t="shared" si="1" ref="E10:M10">E11+E12+E13</f>
        <v>533730.1599999999</v>
      </c>
      <c r="F10" s="207">
        <f t="shared" si="1"/>
        <v>533730.1599999999</v>
      </c>
      <c r="G10" s="207">
        <f t="shared" si="1"/>
        <v>533730.1599999999</v>
      </c>
      <c r="H10" s="207">
        <f t="shared" si="1"/>
        <v>825795.71532</v>
      </c>
      <c r="I10" s="207">
        <f t="shared" si="1"/>
        <v>533730.1599999999</v>
      </c>
      <c r="J10" s="207">
        <f t="shared" si="1"/>
        <v>533730.1599999999</v>
      </c>
      <c r="K10" s="207">
        <f t="shared" si="1"/>
        <v>533730.1599999999</v>
      </c>
      <c r="L10" s="207">
        <f t="shared" si="1"/>
        <v>533730.1599999999</v>
      </c>
      <c r="M10" s="207">
        <f t="shared" si="1"/>
        <v>533730.1599999999</v>
      </c>
      <c r="N10" s="87"/>
      <c r="O10" s="87"/>
      <c r="P10" s="87"/>
      <c r="Q10" s="87"/>
      <c r="R10" s="87"/>
      <c r="S10" s="87"/>
    </row>
    <row r="11" spans="1:19" ht="15">
      <c r="A11" s="87"/>
      <c r="B11" s="89" t="s">
        <v>169</v>
      </c>
      <c r="C11" s="90"/>
      <c r="D11" s="90">
        <f>'O&amp;M CP'!G3</f>
        <v>428430.16</v>
      </c>
      <c r="E11" s="90">
        <f>'O&amp;M CP'!$G$3</f>
        <v>428430.16</v>
      </c>
      <c r="F11" s="90">
        <f>'O&amp;M CP'!$G$3</f>
        <v>428430.16</v>
      </c>
      <c r="G11" s="90">
        <f>'O&amp;M CP'!$G$3</f>
        <v>428430.16</v>
      </c>
      <c r="H11" s="90">
        <f>'O&amp;M CP'!$G$3</f>
        <v>428430.16</v>
      </c>
      <c r="I11" s="90">
        <f>'O&amp;M CP'!$G$3</f>
        <v>428430.16</v>
      </c>
      <c r="J11" s="90">
        <f>'O&amp;M CP'!$G$3</f>
        <v>428430.16</v>
      </c>
      <c r="K11" s="90">
        <f>'O&amp;M CP'!$G$3</f>
        <v>428430.16</v>
      </c>
      <c r="L11" s="90">
        <f>'O&amp;M CP'!$G$3</f>
        <v>428430.16</v>
      </c>
      <c r="M11" s="90">
        <f>'O&amp;M CP'!$G$3</f>
        <v>428430.16</v>
      </c>
      <c r="N11" s="87"/>
      <c r="O11" s="87"/>
      <c r="P11" s="87"/>
      <c r="Q11" s="87"/>
      <c r="R11" s="87"/>
      <c r="S11" s="87"/>
    </row>
    <row r="12" spans="1:19" ht="15">
      <c r="A12" s="87"/>
      <c r="B12" s="89" t="s">
        <v>170</v>
      </c>
      <c r="C12" s="90"/>
      <c r="D12" s="90">
        <f>'O&amp;M CP'!G15</f>
        <v>105300</v>
      </c>
      <c r="E12" s="90">
        <f>'O&amp;M CP'!$G$15</f>
        <v>105300</v>
      </c>
      <c r="F12" s="90">
        <f>'O&amp;M CP'!$G$15</f>
        <v>105300</v>
      </c>
      <c r="G12" s="90">
        <f>'O&amp;M CP'!$G$15</f>
        <v>105300</v>
      </c>
      <c r="H12" s="90">
        <f>'O&amp;M CP'!$G$15</f>
        <v>105300</v>
      </c>
      <c r="I12" s="90">
        <f>'O&amp;M CP'!$G$15</f>
        <v>105300</v>
      </c>
      <c r="J12" s="90">
        <f>'O&amp;M CP'!$G$15</f>
        <v>105300</v>
      </c>
      <c r="K12" s="90">
        <f>'O&amp;M CP'!$G$15</f>
        <v>105300</v>
      </c>
      <c r="L12" s="90">
        <f>'O&amp;M CP'!$G$15</f>
        <v>105300</v>
      </c>
      <c r="M12" s="90">
        <f>'O&amp;M CP'!$G$15</f>
        <v>105300</v>
      </c>
      <c r="N12" s="87"/>
      <c r="O12" s="87"/>
      <c r="P12" s="87"/>
      <c r="Q12" s="87"/>
      <c r="R12" s="87"/>
      <c r="S12" s="87"/>
    </row>
    <row r="13" spans="1:19" ht="15">
      <c r="A13" s="87"/>
      <c r="B13" s="89" t="s">
        <v>172</v>
      </c>
      <c r="C13" s="90"/>
      <c r="D13" s="90"/>
      <c r="E13" s="90"/>
      <c r="F13" s="90"/>
      <c r="G13" s="90"/>
      <c r="H13" s="90">
        <f>'O&amp;M CP'!I44</f>
        <v>292065.55532</v>
      </c>
      <c r="I13" s="90"/>
      <c r="J13" s="90"/>
      <c r="K13" s="90"/>
      <c r="L13" s="90"/>
      <c r="M13" s="90"/>
      <c r="N13" s="87"/>
      <c r="O13" s="87"/>
      <c r="P13" s="87"/>
      <c r="Q13" s="87"/>
      <c r="R13" s="87"/>
      <c r="S13" s="87"/>
    </row>
    <row r="14" spans="1:19" ht="15">
      <c r="A14" s="87"/>
      <c r="B14" s="89" t="s">
        <v>173</v>
      </c>
      <c r="C14" s="92">
        <f>(C6+C10)-C7</f>
        <v>4766599.456626997</v>
      </c>
      <c r="D14" s="92">
        <f>D10-D7</f>
        <v>278776.1599999999</v>
      </c>
      <c r="E14" s="92">
        <f>E10-E7</f>
        <v>278776.1599999999</v>
      </c>
      <c r="F14" s="92">
        <f aca="true" t="shared" si="2" ref="F14:M14">F10-F7</f>
        <v>278776.1599999999</v>
      </c>
      <c r="G14" s="92">
        <f t="shared" si="2"/>
        <v>278776.1599999999</v>
      </c>
      <c r="H14" s="92">
        <f t="shared" si="2"/>
        <v>570841.71532</v>
      </c>
      <c r="I14" s="92">
        <f t="shared" si="2"/>
        <v>278776.1599999999</v>
      </c>
      <c r="J14" s="92">
        <f t="shared" si="2"/>
        <v>278776.1599999999</v>
      </c>
      <c r="K14" s="92">
        <f t="shared" si="2"/>
        <v>278776.1599999999</v>
      </c>
      <c r="L14" s="92">
        <f t="shared" si="2"/>
        <v>278776.1599999999</v>
      </c>
      <c r="M14" s="92">
        <f t="shared" si="2"/>
        <v>278776.1599999999</v>
      </c>
      <c r="N14" s="87"/>
      <c r="O14" s="87"/>
      <c r="P14" s="87"/>
      <c r="Q14" s="87"/>
      <c r="R14" s="87"/>
      <c r="S14" s="87"/>
    </row>
    <row r="15" spans="1:19" ht="15">
      <c r="A15" s="87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87"/>
      <c r="O15" s="87"/>
      <c r="P15" s="87"/>
      <c r="Q15" s="87"/>
      <c r="R15" s="87"/>
      <c r="S15" s="87"/>
    </row>
    <row r="16" spans="1:19" ht="15">
      <c r="A16" s="87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</row>
    <row r="17" spans="1:19" ht="15">
      <c r="A17" s="87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</row>
    <row r="18" spans="1:19" ht="15">
      <c r="A18" s="87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</row>
    <row r="19" spans="1:19" ht="15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</row>
    <row r="20" spans="1:19" ht="15">
      <c r="A20" s="87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</row>
    <row r="21" spans="1:19" ht="15">
      <c r="A21" s="87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</row>
    <row r="22" spans="1:19" ht="15">
      <c r="A22" s="87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</row>
    <row r="23" spans="1:19" ht="15">
      <c r="A23" s="87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</row>
    <row r="24" spans="1:19" ht="15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</row>
    <row r="25" spans="1:19" ht="15">
      <c r="A25" s="87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8"/>
  </sheetPr>
  <dimension ref="A1:Q34"/>
  <sheetViews>
    <sheetView zoomScalePageLayoutView="0" workbookViewId="0" topLeftCell="A10">
      <selection activeCell="C32" sqref="C32"/>
    </sheetView>
  </sheetViews>
  <sheetFormatPr defaultColWidth="11.421875" defaultRowHeight="15"/>
  <cols>
    <col min="1" max="1" width="23.7109375" style="1" bestFit="1" customWidth="1"/>
    <col min="2" max="2" width="16.8515625" style="1" bestFit="1" customWidth="1"/>
    <col min="3" max="3" width="19.140625" style="1" customWidth="1"/>
    <col min="4" max="12" width="13.8515625" style="1" bestFit="1" customWidth="1"/>
    <col min="13" max="13" width="14.57421875" style="1" bestFit="1" customWidth="1"/>
    <col min="14" max="14" width="12.57421875" style="1" bestFit="1" customWidth="1"/>
    <col min="15" max="16384" width="11.421875" style="1" customWidth="1"/>
  </cols>
  <sheetData>
    <row r="1" spans="1:17" ht="15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</row>
    <row r="2" spans="1:17" ht="16.5">
      <c r="A2" s="446" t="s">
        <v>174</v>
      </c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87"/>
      <c r="O2" s="87"/>
      <c r="P2" s="87"/>
      <c r="Q2" s="87"/>
    </row>
    <row r="3" spans="1:17" ht="16.5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4"/>
      <c r="M3" s="95"/>
      <c r="N3" s="87"/>
      <c r="O3" s="87"/>
      <c r="P3" s="87"/>
      <c r="Q3" s="87"/>
    </row>
    <row r="4" spans="1:17" ht="15">
      <c r="A4" s="96" t="s">
        <v>175</v>
      </c>
      <c r="B4" s="96" t="s">
        <v>176</v>
      </c>
      <c r="C4" s="97">
        <v>2018</v>
      </c>
      <c r="D4" s="97">
        <v>2019</v>
      </c>
      <c r="E4" s="97">
        <v>2020</v>
      </c>
      <c r="F4" s="97">
        <v>2021</v>
      </c>
      <c r="G4" s="97">
        <v>2022</v>
      </c>
      <c r="H4" s="97">
        <v>2023</v>
      </c>
      <c r="I4" s="97">
        <v>2024</v>
      </c>
      <c r="J4" s="97">
        <v>2025</v>
      </c>
      <c r="K4" s="97">
        <v>2026</v>
      </c>
      <c r="L4" s="97">
        <v>2027</v>
      </c>
      <c r="M4" s="97">
        <v>2028</v>
      </c>
      <c r="N4" s="87"/>
      <c r="O4" s="87"/>
      <c r="P4" s="87"/>
      <c r="Q4" s="87"/>
    </row>
    <row r="5" spans="1:17" ht="38.25">
      <c r="A5" s="98"/>
      <c r="B5" s="99" t="s">
        <v>177</v>
      </c>
      <c r="C5" s="100">
        <f>'BALANCE OFERTA-DEMANDA'!B4</f>
        <v>18021</v>
      </c>
      <c r="D5" s="100">
        <f>'BALANCE OFERTA-DEMANDA'!C4</f>
        <v>18164</v>
      </c>
      <c r="E5" s="100">
        <f>'BALANCE OFERTA-DEMANDA'!D4</f>
        <v>18308</v>
      </c>
      <c r="F5" s="100">
        <f>'BALANCE OFERTA-DEMANDA'!E4</f>
        <v>18453</v>
      </c>
      <c r="G5" s="100">
        <f>'BALANCE OFERTA-DEMANDA'!F4</f>
        <v>18599</v>
      </c>
      <c r="H5" s="100">
        <f>'BALANCE OFERTA-DEMANDA'!G4</f>
        <v>18746</v>
      </c>
      <c r="I5" s="100">
        <f>'BALANCE OFERTA-DEMANDA'!H4</f>
        <v>18894</v>
      </c>
      <c r="J5" s="100">
        <f>'BALANCE OFERTA-DEMANDA'!I4</f>
        <v>19044</v>
      </c>
      <c r="K5" s="100">
        <f>'BALANCE OFERTA-DEMANDA'!J4</f>
        <v>19195</v>
      </c>
      <c r="L5" s="100">
        <f>'BALANCE OFERTA-DEMANDA'!K4</f>
        <v>19346</v>
      </c>
      <c r="M5" s="100">
        <f>'BALANCE OFERTA-DEMANDA'!L4</f>
        <v>19500</v>
      </c>
      <c r="N5" s="87"/>
      <c r="O5" s="87"/>
      <c r="P5" s="87"/>
      <c r="Q5" s="87"/>
    </row>
    <row r="6" spans="1:17" ht="15">
      <c r="A6" s="102">
        <v>0.35</v>
      </c>
      <c r="B6" s="99" t="s">
        <v>178</v>
      </c>
      <c r="C6" s="100">
        <f>C5*A6</f>
        <v>6307.349999999999</v>
      </c>
      <c r="D6" s="101">
        <f>$C$6*(1+$F$11)^(D4-$C$4)</f>
        <v>6118.129499999999</v>
      </c>
      <c r="E6" s="101">
        <f>$C$6*(1+$F$11)^(E4-$C$4)</f>
        <v>5934.585614999999</v>
      </c>
      <c r="F6" s="101">
        <f>$C$6*(1+$F$11)^(F4-$C$4)</f>
        <v>5756.5480465499995</v>
      </c>
      <c r="G6" s="101">
        <f aca="true" t="shared" si="0" ref="G6:L6">$C$6*(1+$F$11)^(G4-$C$4)</f>
        <v>5583.851605153499</v>
      </c>
      <c r="H6" s="101">
        <f t="shared" si="0"/>
        <v>5416.336056998894</v>
      </c>
      <c r="I6" s="101">
        <f t="shared" si="0"/>
        <v>5253.845975288928</v>
      </c>
      <c r="J6" s="101">
        <f t="shared" si="0"/>
        <v>5096.230596030259</v>
      </c>
      <c r="K6" s="101">
        <f t="shared" si="0"/>
        <v>4943.343678149352</v>
      </c>
      <c r="L6" s="101">
        <f t="shared" si="0"/>
        <v>4795.04336780487</v>
      </c>
      <c r="M6" s="101">
        <f>$C$6*(1+$F$11)^(M4-$C$4)</f>
        <v>4651.192066770725</v>
      </c>
      <c r="N6" s="87"/>
      <c r="O6" s="87"/>
      <c r="P6" s="87"/>
      <c r="Q6" s="87"/>
    </row>
    <row r="7" spans="1:17" ht="25.5">
      <c r="A7" s="102">
        <v>0.7</v>
      </c>
      <c r="B7" s="99" t="s">
        <v>179</v>
      </c>
      <c r="C7" s="100">
        <f>C6*A7</f>
        <v>4415.1449999999995</v>
      </c>
      <c r="D7" s="101">
        <f aca="true" t="shared" si="1" ref="D7:M7">$C$7*(1+$F$11)^(D4-$C$4)</f>
        <v>4282.69065</v>
      </c>
      <c r="E7" s="101">
        <f t="shared" si="1"/>
        <v>4154.209930499999</v>
      </c>
      <c r="F7" s="101">
        <f t="shared" si="1"/>
        <v>4029.5836325849996</v>
      </c>
      <c r="G7" s="101">
        <f t="shared" si="1"/>
        <v>3908.6961236074494</v>
      </c>
      <c r="H7" s="101">
        <f t="shared" si="1"/>
        <v>3791.4352398992255</v>
      </c>
      <c r="I7" s="101">
        <f t="shared" si="1"/>
        <v>3677.692182702249</v>
      </c>
      <c r="J7" s="101">
        <f t="shared" si="1"/>
        <v>3567.3614172211815</v>
      </c>
      <c r="K7" s="101">
        <f t="shared" si="1"/>
        <v>3460.340574704546</v>
      </c>
      <c r="L7" s="101">
        <f t="shared" si="1"/>
        <v>3356.5303574634095</v>
      </c>
      <c r="M7" s="101">
        <f t="shared" si="1"/>
        <v>3255.8344467395073</v>
      </c>
      <c r="N7" s="87"/>
      <c r="O7" s="87"/>
      <c r="P7" s="87"/>
      <c r="Q7" s="87"/>
    </row>
    <row r="8" spans="1:17" ht="25.5">
      <c r="A8" s="102">
        <v>0.5</v>
      </c>
      <c r="B8" s="99" t="s">
        <v>180</v>
      </c>
      <c r="C8" s="100">
        <f>C7*A8</f>
        <v>2207.5724999999998</v>
      </c>
      <c r="D8" s="101">
        <f>$C$8*(1+$F$11)^(D4-$C$4)</f>
        <v>2141.345325</v>
      </c>
      <c r="E8" s="101">
        <f aca="true" t="shared" si="2" ref="E8:M8">$C$8*(1+$F$11)^(E4-$C$4)</f>
        <v>2077.1049652499996</v>
      </c>
      <c r="F8" s="101">
        <f t="shared" si="2"/>
        <v>2014.7918162924998</v>
      </c>
      <c r="G8" s="101">
        <f t="shared" si="2"/>
        <v>1954.3480618037247</v>
      </c>
      <c r="H8" s="101">
        <f t="shared" si="2"/>
        <v>1895.7176199496128</v>
      </c>
      <c r="I8" s="101">
        <f t="shared" si="2"/>
        <v>1838.8460913511244</v>
      </c>
      <c r="J8" s="101">
        <f t="shared" si="2"/>
        <v>1783.6807086105907</v>
      </c>
      <c r="K8" s="101">
        <f t="shared" si="2"/>
        <v>1730.170287352273</v>
      </c>
      <c r="L8" s="101">
        <f t="shared" si="2"/>
        <v>1678.2651787317047</v>
      </c>
      <c r="M8" s="101">
        <f t="shared" si="2"/>
        <v>1627.9172233697536</v>
      </c>
      <c r="N8" s="87"/>
      <c r="O8" s="87"/>
      <c r="P8" s="87"/>
      <c r="Q8" s="87"/>
    </row>
    <row r="9" spans="1:17" ht="15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87"/>
      <c r="O9" s="87"/>
      <c r="P9" s="87"/>
      <c r="Q9" s="87"/>
    </row>
    <row r="10" spans="1:17" ht="15">
      <c r="A10" s="103"/>
      <c r="B10" s="104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4"/>
      <c r="N10" s="87"/>
      <c r="O10" s="87"/>
      <c r="P10" s="87"/>
      <c r="Q10" s="87"/>
    </row>
    <row r="11" spans="1:17" ht="15">
      <c r="A11" s="103"/>
      <c r="B11" s="106"/>
      <c r="C11" s="104"/>
      <c r="D11" s="104"/>
      <c r="E11" s="104"/>
      <c r="F11" s="107">
        <v>-0.03</v>
      </c>
      <c r="G11" s="104"/>
      <c r="H11" s="104"/>
      <c r="I11" s="104"/>
      <c r="J11" s="104"/>
      <c r="K11" s="104"/>
      <c r="L11" s="104"/>
      <c r="M11" s="104"/>
      <c r="N11" s="87"/>
      <c r="O11" s="87"/>
      <c r="P11" s="87"/>
      <c r="Q11" s="87"/>
    </row>
    <row r="12" spans="1:17" ht="15">
      <c r="A12" s="104"/>
      <c r="B12" s="104"/>
      <c r="C12" s="104"/>
      <c r="D12" s="104"/>
      <c r="E12" s="104"/>
      <c r="F12" s="104"/>
      <c r="G12" s="104"/>
      <c r="H12" s="104"/>
      <c r="I12" s="108"/>
      <c r="J12" s="104"/>
      <c r="K12" s="104"/>
      <c r="L12" s="104"/>
      <c r="M12" s="104"/>
      <c r="N12" s="87"/>
      <c r="O12" s="87"/>
      <c r="P12" s="87"/>
      <c r="Q12" s="87"/>
    </row>
    <row r="13" spans="1:17" ht="15">
      <c r="A13" s="109" t="s">
        <v>181</v>
      </c>
      <c r="B13" s="110">
        <v>30</v>
      </c>
      <c r="C13" s="111" t="s">
        <v>182</v>
      </c>
      <c r="F13" s="95"/>
      <c r="G13" s="95"/>
      <c r="H13" s="95"/>
      <c r="I13" s="95"/>
      <c r="J13" s="95"/>
      <c r="K13" s="95"/>
      <c r="L13" s="95"/>
      <c r="M13" s="95"/>
      <c r="N13" s="87"/>
      <c r="O13" s="87"/>
      <c r="P13" s="87"/>
      <c r="Q13" s="87"/>
    </row>
    <row r="14" spans="1:17" ht="25.5">
      <c r="A14" s="112" t="s">
        <v>183</v>
      </c>
      <c r="B14" s="113">
        <v>1</v>
      </c>
      <c r="C14" s="113" t="s">
        <v>184</v>
      </c>
      <c r="F14" s="95"/>
      <c r="G14" s="95"/>
      <c r="H14" s="95"/>
      <c r="I14" s="95"/>
      <c r="J14" s="95"/>
      <c r="K14" s="95"/>
      <c r="L14" s="95"/>
      <c r="M14" s="95"/>
      <c r="N14" s="87"/>
      <c r="O14" s="87"/>
      <c r="P14" s="87"/>
      <c r="Q14" s="87"/>
    </row>
    <row r="15" spans="1:17" ht="15">
      <c r="A15" s="114" t="s">
        <v>185</v>
      </c>
      <c r="B15" s="115">
        <v>6.81</v>
      </c>
      <c r="C15" s="113" t="s">
        <v>186</v>
      </c>
      <c r="F15" s="116"/>
      <c r="G15" s="116"/>
      <c r="H15" s="116"/>
      <c r="I15" s="116"/>
      <c r="J15" s="116"/>
      <c r="K15" s="116"/>
      <c r="L15" s="116"/>
      <c r="M15" s="116"/>
      <c r="N15" s="87"/>
      <c r="O15" s="87"/>
      <c r="P15" s="87"/>
      <c r="Q15" s="87"/>
    </row>
    <row r="16" spans="1:17" ht="15">
      <c r="A16" s="114" t="s">
        <v>187</v>
      </c>
      <c r="B16" s="115">
        <v>600</v>
      </c>
      <c r="C16" s="113" t="s">
        <v>188</v>
      </c>
      <c r="F16" s="116"/>
      <c r="G16" s="116"/>
      <c r="H16" s="116"/>
      <c r="I16" s="116"/>
      <c r="J16" s="116"/>
      <c r="K16" s="116"/>
      <c r="L16" s="116"/>
      <c r="M16" s="116"/>
      <c r="N16" s="87"/>
      <c r="O16" s="87"/>
      <c r="P16" s="87"/>
      <c r="Q16" s="87"/>
    </row>
    <row r="17" spans="6:17" ht="15">
      <c r="F17" s="116"/>
      <c r="G17" s="116"/>
      <c r="H17" s="116"/>
      <c r="I17" s="116"/>
      <c r="J17" s="116"/>
      <c r="K17" s="116"/>
      <c r="L17" s="116"/>
      <c r="M17" s="116"/>
      <c r="N17" s="87"/>
      <c r="O17" s="87"/>
      <c r="P17" s="87"/>
      <c r="Q17" s="87"/>
    </row>
    <row r="18" spans="1:17" ht="15">
      <c r="A18" s="95"/>
      <c r="B18" s="95"/>
      <c r="C18" s="95">
        <v>1</v>
      </c>
      <c r="D18" s="95">
        <v>2</v>
      </c>
      <c r="E18" s="95">
        <v>3</v>
      </c>
      <c r="F18" s="95">
        <v>4</v>
      </c>
      <c r="G18" s="95">
        <v>5</v>
      </c>
      <c r="H18" s="95">
        <v>6</v>
      </c>
      <c r="I18" s="95">
        <v>7</v>
      </c>
      <c r="J18" s="95">
        <v>8</v>
      </c>
      <c r="K18" s="95">
        <v>9</v>
      </c>
      <c r="L18" s="95">
        <v>10</v>
      </c>
      <c r="N18" s="87"/>
      <c r="O18" s="87"/>
      <c r="P18" s="87"/>
      <c r="Q18" s="87"/>
    </row>
    <row r="19" spans="1:17" ht="15">
      <c r="A19" s="117" t="s">
        <v>176</v>
      </c>
      <c r="B19" s="62">
        <v>2018</v>
      </c>
      <c r="C19" s="62">
        <v>2019</v>
      </c>
      <c r="D19" s="62">
        <v>2020</v>
      </c>
      <c r="E19" s="62">
        <v>2021</v>
      </c>
      <c r="F19" s="62">
        <v>2022</v>
      </c>
      <c r="G19" s="62">
        <v>2023</v>
      </c>
      <c r="H19" s="62">
        <v>2024</v>
      </c>
      <c r="I19" s="62">
        <v>2025</v>
      </c>
      <c r="J19" s="62">
        <v>2026</v>
      </c>
      <c r="K19" s="62">
        <v>2027</v>
      </c>
      <c r="L19" s="62">
        <v>2028</v>
      </c>
      <c r="N19" s="87"/>
      <c r="O19" s="87"/>
      <c r="P19" s="87"/>
      <c r="Q19" s="87"/>
    </row>
    <row r="20" spans="1:17" ht="30.75" customHeight="1">
      <c r="A20" s="43" t="s">
        <v>189</v>
      </c>
      <c r="B20" s="118"/>
      <c r="C20" s="118">
        <f>D8*$B$13</f>
        <v>64240.359749999996</v>
      </c>
      <c r="D20" s="118">
        <f aca="true" t="shared" si="3" ref="D20:L20">E8*$B$13</f>
        <v>62313.14895749999</v>
      </c>
      <c r="E20" s="118">
        <f t="shared" si="3"/>
        <v>60443.754488775</v>
      </c>
      <c r="F20" s="118">
        <f t="shared" si="3"/>
        <v>58630.44185411174</v>
      </c>
      <c r="G20" s="118">
        <f t="shared" si="3"/>
        <v>56871.52859848838</v>
      </c>
      <c r="H20" s="118">
        <f t="shared" si="3"/>
        <v>55165.382740533736</v>
      </c>
      <c r="I20" s="118">
        <f t="shared" si="3"/>
        <v>53510.42125831772</v>
      </c>
      <c r="J20" s="118">
        <f t="shared" si="3"/>
        <v>51905.108620568186</v>
      </c>
      <c r="K20" s="118">
        <f t="shared" si="3"/>
        <v>50347.95536195114</v>
      </c>
      <c r="L20" s="118">
        <f t="shared" si="3"/>
        <v>48837.51670109261</v>
      </c>
      <c r="N20" s="87"/>
      <c r="O20" s="87"/>
      <c r="P20" s="87"/>
      <c r="Q20" s="87"/>
    </row>
    <row r="21" spans="1:17" ht="33" customHeight="1">
      <c r="A21" s="43" t="s">
        <v>190</v>
      </c>
      <c r="B21" s="118"/>
      <c r="C21" s="118">
        <f>D8*$B$15</f>
        <v>14582.561663249997</v>
      </c>
      <c r="D21" s="118">
        <f aca="true" t="shared" si="4" ref="D21:L21">E8*$B$15</f>
        <v>14145.084813352496</v>
      </c>
      <c r="E21" s="118">
        <f t="shared" si="4"/>
        <v>13720.732268951922</v>
      </c>
      <c r="F21" s="118">
        <f t="shared" si="4"/>
        <v>13309.110300883365</v>
      </c>
      <c r="G21" s="118">
        <f t="shared" si="4"/>
        <v>12909.836991856862</v>
      </c>
      <c r="H21" s="118">
        <f t="shared" si="4"/>
        <v>12522.541882101157</v>
      </c>
      <c r="I21" s="118">
        <f t="shared" si="4"/>
        <v>12146.865625638122</v>
      </c>
      <c r="J21" s="118">
        <f t="shared" si="4"/>
        <v>11782.459656868978</v>
      </c>
      <c r="K21" s="118">
        <f t="shared" si="4"/>
        <v>11428.985867162908</v>
      </c>
      <c r="L21" s="118">
        <f t="shared" si="4"/>
        <v>11086.116291148022</v>
      </c>
      <c r="N21" s="87"/>
      <c r="O21" s="87"/>
      <c r="P21" s="87"/>
      <c r="Q21" s="87"/>
    </row>
    <row r="22" spans="1:17" ht="33.75" customHeight="1">
      <c r="A22" s="43" t="s">
        <v>191</v>
      </c>
      <c r="B22" s="118"/>
      <c r="C22" s="118">
        <f>D8*$B$16</f>
        <v>1284807.1949999998</v>
      </c>
      <c r="D22" s="118">
        <f aca="true" t="shared" si="5" ref="D22:L22">E8*$B$16</f>
        <v>1246262.9791499998</v>
      </c>
      <c r="E22" s="118">
        <f t="shared" si="5"/>
        <v>1208875.0897755</v>
      </c>
      <c r="F22" s="118">
        <f t="shared" si="5"/>
        <v>1172608.837082235</v>
      </c>
      <c r="G22" s="118">
        <f t="shared" si="5"/>
        <v>1137430.5719697676</v>
      </c>
      <c r="H22" s="118">
        <f t="shared" si="5"/>
        <v>1103307.6548106747</v>
      </c>
      <c r="I22" s="118">
        <f t="shared" si="5"/>
        <v>1070208.4251663545</v>
      </c>
      <c r="J22" s="118">
        <f t="shared" si="5"/>
        <v>1038102.1724113637</v>
      </c>
      <c r="K22" s="118">
        <f t="shared" si="5"/>
        <v>1006959.1072390229</v>
      </c>
      <c r="L22" s="118">
        <f t="shared" si="5"/>
        <v>976750.3340218521</v>
      </c>
      <c r="N22" s="87"/>
      <c r="O22" s="87"/>
      <c r="P22" s="87"/>
      <c r="Q22" s="87"/>
    </row>
    <row r="23" spans="1:17" ht="15">
      <c r="A23" s="43" t="s">
        <v>192</v>
      </c>
      <c r="B23" s="119"/>
      <c r="C23" s="205">
        <f>SUM(C20:C22)</f>
        <v>1363630.1164132499</v>
      </c>
      <c r="D23" s="205">
        <f aca="true" t="shared" si="6" ref="D23:L23">SUM(D20:D22)</f>
        <v>1322721.2129208522</v>
      </c>
      <c r="E23" s="205">
        <f t="shared" si="6"/>
        <v>1283039.5765332268</v>
      </c>
      <c r="F23" s="205">
        <f t="shared" si="6"/>
        <v>1244548.38923723</v>
      </c>
      <c r="G23" s="205">
        <f t="shared" si="6"/>
        <v>1207211.937560113</v>
      </c>
      <c r="H23" s="205">
        <f t="shared" si="6"/>
        <v>1170995.5794333096</v>
      </c>
      <c r="I23" s="205">
        <f t="shared" si="6"/>
        <v>1135865.7120503103</v>
      </c>
      <c r="J23" s="205">
        <f t="shared" si="6"/>
        <v>1101789.7406888008</v>
      </c>
      <c r="K23" s="205">
        <f t="shared" si="6"/>
        <v>1068736.048468137</v>
      </c>
      <c r="L23" s="205">
        <f t="shared" si="6"/>
        <v>1036673.9670140927</v>
      </c>
      <c r="M23" s="302"/>
      <c r="N23" s="120"/>
      <c r="O23" s="87"/>
      <c r="P23" s="87"/>
      <c r="Q23" s="87"/>
    </row>
    <row r="24" spans="1:17" ht="37.5" customHeight="1">
      <c r="A24" s="43" t="s">
        <v>193</v>
      </c>
      <c r="B24" s="119">
        <f>COMPONENTES!H19</f>
        <v>4050951.1118991417</v>
      </c>
      <c r="C24" s="121"/>
      <c r="D24" s="121"/>
      <c r="E24" s="121"/>
      <c r="F24" s="121"/>
      <c r="G24" s="122"/>
      <c r="H24" s="121"/>
      <c r="I24" s="121"/>
      <c r="J24" s="121"/>
      <c r="K24" s="121"/>
      <c r="L24" s="121"/>
      <c r="N24" s="87"/>
      <c r="O24" s="87"/>
      <c r="P24" s="87"/>
      <c r="Q24" s="87"/>
    </row>
    <row r="25" spans="1:17" ht="47.25" customHeight="1">
      <c r="A25" s="43" t="s">
        <v>194</v>
      </c>
      <c r="B25" s="118"/>
      <c r="C25" s="121">
        <f>'O&amp;M CP'!$I$23</f>
        <v>421627.89352</v>
      </c>
      <c r="D25" s="121">
        <f>'O&amp;M CP'!$I$23</f>
        <v>421627.89352</v>
      </c>
      <c r="E25" s="121">
        <f>'O&amp;M CP'!$I$23</f>
        <v>421627.89352</v>
      </c>
      <c r="F25" s="121">
        <f>'O&amp;M CP'!$I$23</f>
        <v>421627.89352</v>
      </c>
      <c r="G25" s="121">
        <f>'O&amp;M CP'!$I$23</f>
        <v>421627.89352</v>
      </c>
      <c r="H25" s="121">
        <f>'O&amp;M CP'!$I$23</f>
        <v>421627.89352</v>
      </c>
      <c r="I25" s="121">
        <f>'O&amp;M CP'!$I$23</f>
        <v>421627.89352</v>
      </c>
      <c r="J25" s="121">
        <f>'O&amp;M CP'!$I$23</f>
        <v>421627.89352</v>
      </c>
      <c r="K25" s="121">
        <f>'O&amp;M CP'!$I$23</f>
        <v>421627.89352</v>
      </c>
      <c r="L25" s="121">
        <f>'O&amp;M CP'!$I$23</f>
        <v>421627.89352</v>
      </c>
      <c r="M25" s="371"/>
      <c r="N25" s="87"/>
      <c r="O25" s="87"/>
      <c r="P25" s="87"/>
      <c r="Q25" s="87"/>
    </row>
    <row r="26" spans="1:17" ht="15">
      <c r="A26" s="43" t="s">
        <v>214</v>
      </c>
      <c r="B26" s="123"/>
      <c r="C26" s="206"/>
      <c r="D26" s="206"/>
      <c r="E26" s="206"/>
      <c r="F26" s="206"/>
      <c r="G26" s="206">
        <f>'O&amp;M CP'!I44</f>
        <v>292065.55532</v>
      </c>
      <c r="H26" s="206"/>
      <c r="I26" s="206"/>
      <c r="J26" s="206"/>
      <c r="K26" s="206"/>
      <c r="L26" s="206"/>
      <c r="M26" s="87"/>
      <c r="N26" s="87"/>
      <c r="O26" s="87"/>
      <c r="P26" s="87"/>
      <c r="Q26" s="87"/>
    </row>
    <row r="27" spans="1:17" ht="15">
      <c r="A27" s="28" t="s">
        <v>195</v>
      </c>
      <c r="B27" s="123">
        <f>B23-B24-B25-B26</f>
        <v>-4050951.1118991417</v>
      </c>
      <c r="C27" s="123">
        <f>C23-(C24+C25+C26)</f>
        <v>942002.22289325</v>
      </c>
      <c r="D27" s="123">
        <f aca="true" t="shared" si="7" ref="D27:L27">D23-(D24+D25+D26)</f>
        <v>901093.3194008523</v>
      </c>
      <c r="E27" s="123">
        <f t="shared" si="7"/>
        <v>861411.6830132268</v>
      </c>
      <c r="F27" s="123">
        <f t="shared" si="7"/>
        <v>822920.49571723</v>
      </c>
      <c r="G27" s="123">
        <f t="shared" si="7"/>
        <v>493518.48872011295</v>
      </c>
      <c r="H27" s="123">
        <f t="shared" si="7"/>
        <v>749367.6859133097</v>
      </c>
      <c r="I27" s="123">
        <f t="shared" si="7"/>
        <v>714237.8185303104</v>
      </c>
      <c r="J27" s="123">
        <f t="shared" si="7"/>
        <v>680161.8471688009</v>
      </c>
      <c r="K27" s="123">
        <f t="shared" si="7"/>
        <v>647108.154948137</v>
      </c>
      <c r="L27" s="123">
        <f t="shared" si="7"/>
        <v>615046.0734940928</v>
      </c>
      <c r="N27" s="87"/>
      <c r="O27" s="87"/>
      <c r="P27" s="87"/>
      <c r="Q27" s="87"/>
    </row>
    <row r="28" spans="1:17" ht="15">
      <c r="A28" s="28" t="s">
        <v>196</v>
      </c>
      <c r="B28" s="124">
        <f>NPV(8%,C27:L27)+B27</f>
        <v>1083433.8072165023</v>
      </c>
      <c r="C28" s="447"/>
      <c r="D28" s="447"/>
      <c r="E28" s="447"/>
      <c r="F28" s="447"/>
      <c r="G28" s="447"/>
      <c r="H28" s="447"/>
      <c r="I28" s="447"/>
      <c r="J28" s="447"/>
      <c r="K28" s="447"/>
      <c r="L28" s="447"/>
      <c r="M28" s="87"/>
      <c r="N28" s="87"/>
      <c r="O28" s="87"/>
      <c r="P28" s="87"/>
      <c r="Q28" s="87"/>
    </row>
    <row r="29" spans="1:17" ht="15">
      <c r="A29" s="28" t="s">
        <v>197</v>
      </c>
      <c r="B29" s="125">
        <f>IRR(B27:L27)</f>
        <v>0.1416489585284546</v>
      </c>
      <c r="C29" s="447"/>
      <c r="D29" s="447"/>
      <c r="E29" s="447"/>
      <c r="F29" s="447"/>
      <c r="G29" s="447"/>
      <c r="H29" s="447"/>
      <c r="I29" s="447"/>
      <c r="J29" s="447"/>
      <c r="K29" s="447"/>
      <c r="L29" s="447"/>
      <c r="M29" s="87"/>
      <c r="N29" s="87"/>
      <c r="O29" s="87"/>
      <c r="P29" s="87"/>
      <c r="Q29" s="87"/>
    </row>
    <row r="30" spans="1:17" ht="15">
      <c r="A30" s="28" t="s">
        <v>198</v>
      </c>
      <c r="B30" s="126">
        <f>'A. SENSIBILIDAD'!M17</f>
        <v>2.695673565120129</v>
      </c>
      <c r="C30" s="447"/>
      <c r="D30" s="447"/>
      <c r="E30" s="447"/>
      <c r="F30" s="447"/>
      <c r="G30" s="447"/>
      <c r="H30" s="447"/>
      <c r="I30" s="447"/>
      <c r="J30" s="447"/>
      <c r="K30" s="447"/>
      <c r="L30" s="447"/>
      <c r="M30" s="87"/>
      <c r="N30" s="87"/>
      <c r="O30" s="87"/>
      <c r="P30" s="87"/>
      <c r="Q30" s="87"/>
    </row>
    <row r="31" spans="1:17" ht="15">
      <c r="A31" s="87"/>
      <c r="B31" s="87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87"/>
      <c r="N31" s="87"/>
      <c r="O31" s="87"/>
      <c r="P31" s="87"/>
      <c r="Q31" s="87"/>
    </row>
    <row r="32" spans="1:17" ht="15">
      <c r="A32" s="127"/>
      <c r="B32" s="95"/>
      <c r="C32" s="370"/>
      <c r="D32" s="128"/>
      <c r="E32" s="305"/>
      <c r="F32" s="95"/>
      <c r="G32" s="95"/>
      <c r="H32" s="95"/>
      <c r="I32" s="95"/>
      <c r="J32" s="95"/>
      <c r="K32" s="95"/>
      <c r="L32" s="95"/>
      <c r="M32" s="95"/>
      <c r="N32" s="87"/>
      <c r="O32" s="87"/>
      <c r="P32" s="87"/>
      <c r="Q32" s="87"/>
    </row>
    <row r="33" spans="1:17" ht="15">
      <c r="A33" s="95"/>
      <c r="B33" s="95"/>
      <c r="C33" s="305"/>
      <c r="D33" s="305"/>
      <c r="E33" s="305"/>
      <c r="F33" s="305"/>
      <c r="G33" s="305"/>
      <c r="H33" s="305"/>
      <c r="I33" s="305"/>
      <c r="J33" s="305"/>
      <c r="K33" s="305"/>
      <c r="L33" s="305"/>
      <c r="M33" s="372"/>
      <c r="N33" s="87"/>
      <c r="O33" s="87"/>
      <c r="P33" s="87"/>
      <c r="Q33" s="87"/>
    </row>
    <row r="34" ht="15">
      <c r="N34" s="373"/>
    </row>
  </sheetData>
  <sheetProtection/>
  <mergeCells count="2">
    <mergeCell ref="A2:M2"/>
    <mergeCell ref="C28:L30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8"/>
  </sheetPr>
  <dimension ref="A1:O20"/>
  <sheetViews>
    <sheetView zoomScalePageLayoutView="0" workbookViewId="0" topLeftCell="A1">
      <selection activeCell="D10" sqref="D10"/>
    </sheetView>
  </sheetViews>
  <sheetFormatPr defaultColWidth="11.421875" defaultRowHeight="15"/>
  <cols>
    <col min="1" max="1" width="12.7109375" style="1" bestFit="1" customWidth="1"/>
    <col min="2" max="2" width="16.421875" style="1" bestFit="1" customWidth="1"/>
    <col min="3" max="12" width="13.7109375" style="1" customWidth="1"/>
    <col min="13" max="16384" width="11.421875" style="1" customWidth="1"/>
  </cols>
  <sheetData>
    <row r="1" spans="1:15" ht="15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pans="1:15" ht="15">
      <c r="A2" s="129" t="str">
        <f>'[3]PROYECCION DE POBLACIÓN'!A15</f>
        <v>Proyecciones</v>
      </c>
      <c r="B2" s="129">
        <v>2018</v>
      </c>
      <c r="C2" s="129">
        <v>2019</v>
      </c>
      <c r="D2" s="129">
        <v>2020</v>
      </c>
      <c r="E2" s="129">
        <v>2021</v>
      </c>
      <c r="F2" s="129">
        <v>2022</v>
      </c>
      <c r="G2" s="129">
        <v>2023</v>
      </c>
      <c r="H2" s="129">
        <v>2024</v>
      </c>
      <c r="I2" s="129">
        <v>2025</v>
      </c>
      <c r="J2" s="129">
        <v>2026</v>
      </c>
      <c r="K2" s="129">
        <v>2027</v>
      </c>
      <c r="L2" s="129">
        <v>2028</v>
      </c>
      <c r="M2" s="87"/>
      <c r="N2" s="87"/>
      <c r="O2" s="87"/>
    </row>
    <row r="3" spans="1:15" ht="15">
      <c r="A3" s="130" t="s">
        <v>199</v>
      </c>
      <c r="B3" s="131">
        <f>'ANALISIS DE DEMANDA'!B3</f>
        <v>18021</v>
      </c>
      <c r="C3" s="131">
        <f>'ANALISIS DE DEMANDA'!C3</f>
        <v>18164</v>
      </c>
      <c r="D3" s="131">
        <f>'ANALISIS DE DEMANDA'!D3</f>
        <v>18308</v>
      </c>
      <c r="E3" s="131">
        <f>'ANALISIS DE DEMANDA'!E3</f>
        <v>18453</v>
      </c>
      <c r="F3" s="131">
        <f>'ANALISIS DE DEMANDA'!F3</f>
        <v>18599</v>
      </c>
      <c r="G3" s="131">
        <f>'ANALISIS DE DEMANDA'!G3</f>
        <v>18746</v>
      </c>
      <c r="H3" s="131">
        <f>'ANALISIS DE DEMANDA'!H3</f>
        <v>18894</v>
      </c>
      <c r="I3" s="131">
        <f>'ANALISIS DE DEMANDA'!I3</f>
        <v>19044</v>
      </c>
      <c r="J3" s="131">
        <f>'ANALISIS DE DEMANDA'!J3</f>
        <v>19195</v>
      </c>
      <c r="K3" s="131">
        <f>'ANALISIS DE DEMANDA'!K3</f>
        <v>19346</v>
      </c>
      <c r="L3" s="131">
        <f>'ANALISIS DE DEMANDA'!L3</f>
        <v>19500</v>
      </c>
      <c r="M3" s="132"/>
      <c r="N3" s="87"/>
      <c r="O3" s="87"/>
    </row>
    <row r="4" spans="1:15" ht="30">
      <c r="A4" s="130" t="s">
        <v>200</v>
      </c>
      <c r="B4" s="133">
        <f>'ANALISIS DE OFERTA '!C3</f>
        <v>4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2"/>
      <c r="N4" s="87"/>
      <c r="O4" s="87"/>
    </row>
    <row r="5" spans="1:15" ht="15">
      <c r="A5" s="129" t="s">
        <v>201</v>
      </c>
      <c r="B5" s="135">
        <f>ROUND(B3/$B$4,0)</f>
        <v>4505</v>
      </c>
      <c r="C5" s="135">
        <f aca="true" t="shared" si="0" ref="C5:L5">ROUND(C3/$B$4,0)</f>
        <v>4541</v>
      </c>
      <c r="D5" s="135">
        <f t="shared" si="0"/>
        <v>4577</v>
      </c>
      <c r="E5" s="135">
        <f t="shared" si="0"/>
        <v>4613</v>
      </c>
      <c r="F5" s="135">
        <f t="shared" si="0"/>
        <v>4650</v>
      </c>
      <c r="G5" s="135">
        <f t="shared" si="0"/>
        <v>4687</v>
      </c>
      <c r="H5" s="135">
        <f t="shared" si="0"/>
        <v>4724</v>
      </c>
      <c r="I5" s="135">
        <f t="shared" si="0"/>
        <v>4761</v>
      </c>
      <c r="J5" s="135">
        <f t="shared" si="0"/>
        <v>4799</v>
      </c>
      <c r="K5" s="135">
        <f t="shared" si="0"/>
        <v>4837</v>
      </c>
      <c r="L5" s="135">
        <f t="shared" si="0"/>
        <v>4875</v>
      </c>
      <c r="M5" s="87"/>
      <c r="N5" s="87"/>
      <c r="O5" s="87"/>
    </row>
    <row r="6" spans="1:15" ht="15">
      <c r="A6" s="136"/>
      <c r="B6" s="137"/>
      <c r="C6" s="137"/>
      <c r="D6" s="138"/>
      <c r="E6" s="137"/>
      <c r="F6" s="137"/>
      <c r="G6" s="137"/>
      <c r="H6" s="137"/>
      <c r="I6" s="137"/>
      <c r="J6" s="137"/>
      <c r="K6" s="137"/>
      <c r="L6" s="137"/>
      <c r="M6" s="87"/>
      <c r="N6" s="87"/>
      <c r="O6" s="87"/>
    </row>
    <row r="7" spans="1:15" ht="15">
      <c r="A7" s="129" t="s">
        <v>202</v>
      </c>
      <c r="B7" s="139">
        <v>122.97550203978855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</row>
    <row r="8" spans="1:15" ht="15">
      <c r="A8" s="129" t="s">
        <v>124</v>
      </c>
      <c r="B8" s="129">
        <v>2019</v>
      </c>
      <c r="C8" s="129">
        <v>2020</v>
      </c>
      <c r="D8" s="129">
        <v>2021</v>
      </c>
      <c r="E8" s="129">
        <v>2022</v>
      </c>
      <c r="F8" s="129">
        <v>2023</v>
      </c>
      <c r="G8" s="129">
        <v>2024</v>
      </c>
      <c r="H8" s="129">
        <v>2025</v>
      </c>
      <c r="I8" s="129">
        <v>2026</v>
      </c>
      <c r="J8" s="129">
        <v>2027</v>
      </c>
      <c r="K8" s="129">
        <v>2028</v>
      </c>
      <c r="L8" s="87"/>
      <c r="M8" s="87"/>
      <c r="N8" s="87"/>
      <c r="O8" s="87"/>
    </row>
    <row r="9" spans="1:15" ht="15">
      <c r="A9" s="129" t="s">
        <v>203</v>
      </c>
      <c r="B9" s="155">
        <f>C5*$B$7</f>
        <v>558431.7547626798</v>
      </c>
      <c r="C9" s="155">
        <f>D5*$B$7</f>
        <v>562858.8728361122</v>
      </c>
      <c r="D9" s="155">
        <f aca="true" t="shared" si="1" ref="D9:K9">E5*$B$7</f>
        <v>567285.9909095446</v>
      </c>
      <c r="E9" s="155">
        <f t="shared" si="1"/>
        <v>571836.0844850168</v>
      </c>
      <c r="F9" s="155">
        <f t="shared" si="1"/>
        <v>576386.1780604889</v>
      </c>
      <c r="G9" s="155">
        <f t="shared" si="1"/>
        <v>580936.2716359611</v>
      </c>
      <c r="H9" s="155">
        <f t="shared" si="1"/>
        <v>585486.3652114333</v>
      </c>
      <c r="I9" s="155">
        <f t="shared" si="1"/>
        <v>590159.4342889453</v>
      </c>
      <c r="J9" s="155">
        <f t="shared" si="1"/>
        <v>594832.5033664572</v>
      </c>
      <c r="K9" s="155">
        <f t="shared" si="1"/>
        <v>599505.5724439692</v>
      </c>
      <c r="L9" s="87"/>
      <c r="M9" s="87"/>
      <c r="N9" s="87"/>
      <c r="O9" s="87"/>
    </row>
    <row r="10" spans="1:15" ht="60">
      <c r="A10" s="130" t="s">
        <v>204</v>
      </c>
      <c r="B10" s="140">
        <f>'O&amp;M CP'!$G$23</f>
        <v>533730.1599999999</v>
      </c>
      <c r="C10" s="140">
        <f>'O&amp;M CP'!$G$23</f>
        <v>533730.1599999999</v>
      </c>
      <c r="D10" s="140">
        <f>'O&amp;M CP'!$G$23</f>
        <v>533730.1599999999</v>
      </c>
      <c r="E10" s="140">
        <f>'O&amp;M CP'!$G$23</f>
        <v>533730.1599999999</v>
      </c>
      <c r="F10" s="140">
        <f>'O&amp;M CP'!$G$23</f>
        <v>533730.1599999999</v>
      </c>
      <c r="G10" s="140">
        <f>'O&amp;M CP'!$G$23</f>
        <v>533730.1599999999</v>
      </c>
      <c r="H10" s="140">
        <f>'O&amp;M CP'!$G$23</f>
        <v>533730.1599999999</v>
      </c>
      <c r="I10" s="140">
        <f>'O&amp;M CP'!$G$23</f>
        <v>533730.1599999999</v>
      </c>
      <c r="J10" s="140">
        <f>'O&amp;M CP'!$G$23</f>
        <v>533730.1599999999</v>
      </c>
      <c r="K10" s="140">
        <f>'O&amp;M CP'!$G$23</f>
        <v>533730.1599999999</v>
      </c>
      <c r="L10" s="87"/>
      <c r="M10" s="87"/>
      <c r="N10" s="87"/>
      <c r="O10" s="87"/>
    </row>
    <row r="11" spans="1:15" ht="15">
      <c r="A11" s="129" t="s">
        <v>205</v>
      </c>
      <c r="B11" s="141">
        <f>B9-B10</f>
        <v>24701.594762679888</v>
      </c>
      <c r="C11" s="141">
        <f aca="true" t="shared" si="2" ref="C11:K11">C9-C10</f>
        <v>29128.712836112245</v>
      </c>
      <c r="D11" s="141">
        <f t="shared" si="2"/>
        <v>33555.83090954472</v>
      </c>
      <c r="E11" s="141">
        <f t="shared" si="2"/>
        <v>38105.92448501685</v>
      </c>
      <c r="F11" s="141">
        <f t="shared" si="2"/>
        <v>42656.018060488976</v>
      </c>
      <c r="G11" s="141">
        <f t="shared" si="2"/>
        <v>47206.11163596122</v>
      </c>
      <c r="H11" s="141">
        <f t="shared" si="2"/>
        <v>51756.20521143335</v>
      </c>
      <c r="I11" s="141">
        <f t="shared" si="2"/>
        <v>56429.274288945366</v>
      </c>
      <c r="J11" s="141">
        <f t="shared" si="2"/>
        <v>61102.343366457266</v>
      </c>
      <c r="K11" s="141">
        <f t="shared" si="2"/>
        <v>65775.41244396928</v>
      </c>
      <c r="L11" s="87"/>
      <c r="M11" s="87"/>
      <c r="N11" s="87"/>
      <c r="O11" s="87"/>
    </row>
    <row r="12" spans="1:15" ht="15">
      <c r="A12" s="129" t="s">
        <v>206</v>
      </c>
      <c r="B12" s="142">
        <f>NPV(8%,B11:K11)</f>
        <v>282989.8993059334</v>
      </c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</row>
    <row r="13" spans="1:15" ht="30">
      <c r="A13" s="143" t="s">
        <v>207</v>
      </c>
      <c r="B13" s="144">
        <f>ROUNDUP(B7,0)</f>
        <v>123</v>
      </c>
      <c r="C13" s="145" t="s">
        <v>208</v>
      </c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</row>
    <row r="14" spans="1:15" ht="30">
      <c r="A14" s="143" t="s">
        <v>207</v>
      </c>
      <c r="B14" s="144">
        <f>B13/12</f>
        <v>10.25</v>
      </c>
      <c r="C14" s="145" t="s">
        <v>209</v>
      </c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</row>
    <row r="15" spans="1:15" ht="15">
      <c r="A15" s="87"/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</row>
    <row r="16" spans="1:15" ht="15">
      <c r="A16" s="87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</row>
    <row r="17" spans="1:15" ht="15">
      <c r="A17" s="87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</row>
    <row r="18" spans="1:15" ht="15">
      <c r="A18" s="87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</row>
    <row r="19" spans="1:15" ht="15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</row>
    <row r="20" spans="1:15" ht="15">
      <c r="A20" s="87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8"/>
  </sheetPr>
  <dimension ref="A1:P340"/>
  <sheetViews>
    <sheetView zoomScalePageLayoutView="0" workbookViewId="0" topLeftCell="I16">
      <selection activeCell="L36" sqref="L36"/>
    </sheetView>
  </sheetViews>
  <sheetFormatPr defaultColWidth="11.421875" defaultRowHeight="15"/>
  <cols>
    <col min="1" max="1" width="11.421875" style="87" customWidth="1"/>
    <col min="2" max="2" width="12.57421875" style="87" bestFit="1" customWidth="1"/>
    <col min="3" max="3" width="13.8515625" style="87" bestFit="1" customWidth="1"/>
    <col min="4" max="4" width="13.57421875" style="87" bestFit="1" customWidth="1"/>
    <col min="5" max="5" width="14.140625" style="87" bestFit="1" customWidth="1"/>
    <col min="6" max="7" width="14.7109375" style="87" bestFit="1" customWidth="1"/>
    <col min="8" max="8" width="13.8515625" style="87" bestFit="1" customWidth="1"/>
    <col min="9" max="9" width="14.8515625" style="87" bestFit="1" customWidth="1"/>
    <col min="10" max="10" width="13.8515625" style="87" bestFit="1" customWidth="1"/>
    <col min="11" max="11" width="14.8515625" style="87" bestFit="1" customWidth="1"/>
    <col min="12" max="12" width="15.28125" style="87" bestFit="1" customWidth="1"/>
    <col min="13" max="13" width="15.8515625" style="87" bestFit="1" customWidth="1"/>
    <col min="14" max="14" width="11.421875" style="87" customWidth="1"/>
    <col min="15" max="15" width="16.7109375" style="87" customWidth="1"/>
    <col min="16" max="16" width="14.7109375" style="87" bestFit="1" customWidth="1"/>
    <col min="17" max="17" width="12.57421875" style="87" bestFit="1" customWidth="1"/>
    <col min="18" max="16384" width="11.421875" style="87" customWidth="1"/>
  </cols>
  <sheetData>
    <row r="1" ht="15">
      <c r="M1" s="146"/>
    </row>
    <row r="2" spans="4:13" ht="51">
      <c r="D2" s="29" t="s">
        <v>210</v>
      </c>
      <c r="E2" s="45" t="s">
        <v>211</v>
      </c>
      <c r="F2" s="29" t="s">
        <v>212</v>
      </c>
      <c r="G2" s="45" t="s">
        <v>213</v>
      </c>
      <c r="H2" s="45" t="s">
        <v>214</v>
      </c>
      <c r="I2" s="45" t="s">
        <v>215</v>
      </c>
      <c r="J2" s="45" t="s">
        <v>216</v>
      </c>
      <c r="K2" s="45" t="s">
        <v>215</v>
      </c>
      <c r="L2" s="45" t="s">
        <v>217</v>
      </c>
      <c r="M2" s="45" t="s">
        <v>218</v>
      </c>
    </row>
    <row r="3" spans="4:13" ht="15">
      <c r="D3" s="147">
        <v>0</v>
      </c>
      <c r="E3" s="148">
        <f>'EVALUACION ECONOMICA SOCIAL'!B24</f>
        <v>4050951.1118991417</v>
      </c>
      <c r="F3" s="148"/>
      <c r="G3" s="148"/>
      <c r="H3" s="148"/>
      <c r="I3" s="148">
        <f>F3-(E3+G3+H3)</f>
        <v>-4050951.1118991417</v>
      </c>
      <c r="J3" s="149">
        <v>1</v>
      </c>
      <c r="K3" s="150">
        <f>I3*J3</f>
        <v>-4050951.1118991417</v>
      </c>
      <c r="L3" s="147"/>
      <c r="M3" s="151"/>
    </row>
    <row r="4" spans="2:13" ht="15">
      <c r="B4" s="152"/>
      <c r="D4" s="147">
        <v>1</v>
      </c>
      <c r="E4" s="148"/>
      <c r="F4" s="153">
        <f>'EVALUACION ECONOMICA SOCIAL'!C23</f>
        <v>1363630.1164132499</v>
      </c>
      <c r="G4" s="148">
        <f>'O&amp;M CP'!$I$23</f>
        <v>421627.89352</v>
      </c>
      <c r="H4" s="148"/>
      <c r="I4" s="148">
        <f aca="true" t="shared" si="0" ref="I4:I13">F4-(E4+G4+H4)</f>
        <v>942002.22289325</v>
      </c>
      <c r="J4" s="149">
        <f>J3/(1+0.08)</f>
        <v>0.9259259259259258</v>
      </c>
      <c r="K4" s="150">
        <f>I4*J4</f>
        <v>872224.2804567128</v>
      </c>
      <c r="L4" s="148">
        <f>F4*J4</f>
        <v>1262620.4781604165</v>
      </c>
      <c r="M4" s="148">
        <f>(G4+H4)*J4</f>
        <v>390396.19770370366</v>
      </c>
    </row>
    <row r="5" spans="2:13" ht="15">
      <c r="B5" s="152"/>
      <c r="D5" s="147">
        <v>2</v>
      </c>
      <c r="E5" s="148"/>
      <c r="F5" s="153">
        <f>'EVALUACION ECONOMICA SOCIAL'!D23</f>
        <v>1322721.2129208522</v>
      </c>
      <c r="G5" s="148">
        <f>'O&amp;M CP'!$I$23</f>
        <v>421627.89352</v>
      </c>
      <c r="H5" s="148"/>
      <c r="I5" s="148">
        <f t="shared" si="0"/>
        <v>901093.3194008523</v>
      </c>
      <c r="J5" s="149">
        <f aca="true" t="shared" si="1" ref="J5:J13">J4/(1+0.08)</f>
        <v>0.8573388203017831</v>
      </c>
      <c r="K5" s="150">
        <f aca="true" t="shared" si="2" ref="K5:K13">I5*J5</f>
        <v>772542.2834369446</v>
      </c>
      <c r="L5" s="148">
        <f aca="true" t="shared" si="3" ref="L5:L13">F5*J5</f>
        <v>1134020.244273707</v>
      </c>
      <c r="M5" s="148">
        <f aca="true" t="shared" si="4" ref="M5:M13">(G5+H5)*J5</f>
        <v>361477.9608367626</v>
      </c>
    </row>
    <row r="6" spans="2:13" ht="15">
      <c r="B6" s="152"/>
      <c r="D6" s="147">
        <v>3</v>
      </c>
      <c r="E6" s="148"/>
      <c r="F6" s="153">
        <f>'EVALUACION ECONOMICA SOCIAL'!E23</f>
        <v>1283039.5765332268</v>
      </c>
      <c r="G6" s="148">
        <f>'O&amp;M CP'!$I$23</f>
        <v>421627.89352</v>
      </c>
      <c r="H6" s="148"/>
      <c r="I6" s="148">
        <f t="shared" si="0"/>
        <v>861411.6830132268</v>
      </c>
      <c r="J6" s="149">
        <f t="shared" si="1"/>
        <v>0.7938322410201695</v>
      </c>
      <c r="K6" s="150">
        <f t="shared" si="2"/>
        <v>683816.3667673457</v>
      </c>
      <c r="L6" s="148">
        <f t="shared" si="3"/>
        <v>1018518.1823569407</v>
      </c>
      <c r="M6" s="148">
        <f t="shared" si="4"/>
        <v>334701.815589595</v>
      </c>
    </row>
    <row r="7" spans="2:13" ht="15">
      <c r="B7" s="152"/>
      <c r="D7" s="147">
        <v>4</v>
      </c>
      <c r="E7" s="148"/>
      <c r="F7" s="153">
        <f>'EVALUACION ECONOMICA SOCIAL'!F23</f>
        <v>1244548.38923723</v>
      </c>
      <c r="G7" s="148">
        <f>'O&amp;M CP'!$I$23</f>
        <v>421627.89352</v>
      </c>
      <c r="H7" s="148"/>
      <c r="I7" s="148">
        <f t="shared" si="0"/>
        <v>822920.49571723</v>
      </c>
      <c r="J7" s="149">
        <f t="shared" si="1"/>
        <v>0.7350298527964532</v>
      </c>
      <c r="K7" s="150">
        <f t="shared" si="2"/>
        <v>604871.1308302198</v>
      </c>
      <c r="L7" s="148">
        <f t="shared" si="3"/>
        <v>914780.219339104</v>
      </c>
      <c r="M7" s="148">
        <f t="shared" si="4"/>
        <v>309909.0885088842</v>
      </c>
    </row>
    <row r="8" spans="2:16" ht="15">
      <c r="B8" s="152"/>
      <c r="D8" s="147">
        <v>5</v>
      </c>
      <c r="E8" s="148"/>
      <c r="F8" s="153">
        <f>'EVALUACION ECONOMICA SOCIAL'!G23</f>
        <v>1207211.937560113</v>
      </c>
      <c r="G8" s="148">
        <f>'O&amp;M CP'!$I$23</f>
        <v>421627.89352</v>
      </c>
      <c r="H8" s="148">
        <f>'EVALUACION ECONOMICA SOCIAL'!G26</f>
        <v>292065.55532</v>
      </c>
      <c r="I8" s="148">
        <f t="shared" si="0"/>
        <v>493518.48872011295</v>
      </c>
      <c r="J8" s="149">
        <f t="shared" si="1"/>
        <v>0.6805831970337529</v>
      </c>
      <c r="K8" s="150">
        <f t="shared" si="2"/>
        <v>335880.3908484006</v>
      </c>
      <c r="L8" s="148">
        <f t="shared" si="3"/>
        <v>821608.159961973</v>
      </c>
      <c r="M8" s="148">
        <f t="shared" si="4"/>
        <v>485727.7691135724</v>
      </c>
      <c r="O8" s="154" t="s">
        <v>219</v>
      </c>
      <c r="P8" s="155">
        <f>L14</f>
        <v>8162317.314082181</v>
      </c>
    </row>
    <row r="9" spans="2:16" ht="15">
      <c r="B9" s="152"/>
      <c r="D9" s="147">
        <v>6</v>
      </c>
      <c r="E9" s="148"/>
      <c r="F9" s="153">
        <f>'EVALUACION ECONOMICA SOCIAL'!H23</f>
        <v>1170995.5794333096</v>
      </c>
      <c r="G9" s="148">
        <f>'O&amp;M CP'!$I$23</f>
        <v>421627.89352</v>
      </c>
      <c r="H9" s="148"/>
      <c r="I9" s="148">
        <f t="shared" si="0"/>
        <v>749367.6859133097</v>
      </c>
      <c r="J9" s="149">
        <f t="shared" si="1"/>
        <v>0.6301696268831045</v>
      </c>
      <c r="K9" s="150">
        <f t="shared" si="2"/>
        <v>472228.7550302458</v>
      </c>
      <c r="L9" s="148">
        <f t="shared" si="3"/>
        <v>737925.8473732535</v>
      </c>
      <c r="M9" s="148">
        <f t="shared" si="4"/>
        <v>265697.09234300774</v>
      </c>
      <c r="O9" s="154" t="s">
        <v>220</v>
      </c>
      <c r="P9" s="155">
        <f>M14</f>
        <v>3027932.394966539</v>
      </c>
    </row>
    <row r="10" spans="2:16" ht="15">
      <c r="B10" s="152"/>
      <c r="D10" s="147">
        <v>7</v>
      </c>
      <c r="E10" s="148"/>
      <c r="F10" s="153">
        <f>'EVALUACION ECONOMICA SOCIAL'!I23</f>
        <v>1135865.7120503103</v>
      </c>
      <c r="G10" s="148">
        <f>'O&amp;M CP'!$I$23</f>
        <v>421627.89352</v>
      </c>
      <c r="H10" s="148"/>
      <c r="I10" s="148">
        <f t="shared" si="0"/>
        <v>714237.8185303104</v>
      </c>
      <c r="J10" s="149">
        <f t="shared" si="1"/>
        <v>0.5834903952621338</v>
      </c>
      <c r="K10" s="150">
        <f t="shared" si="2"/>
        <v>416750.90704541496</v>
      </c>
      <c r="L10" s="148">
        <f t="shared" si="3"/>
        <v>662766.7332889406</v>
      </c>
      <c r="M10" s="148">
        <f t="shared" si="4"/>
        <v>246015.82624352563</v>
      </c>
      <c r="O10" s="132"/>
      <c r="P10" s="156">
        <f>P8/P9</f>
        <v>2.695673565120129</v>
      </c>
    </row>
    <row r="11" spans="2:13" ht="15">
      <c r="B11" s="152"/>
      <c r="D11" s="147">
        <v>8</v>
      </c>
      <c r="E11" s="148"/>
      <c r="F11" s="153">
        <f>'EVALUACION ECONOMICA SOCIAL'!J23</f>
        <v>1101789.7406888008</v>
      </c>
      <c r="G11" s="148">
        <f>'O&amp;M CP'!$I$23</f>
        <v>421627.89352</v>
      </c>
      <c r="H11" s="148"/>
      <c r="I11" s="148">
        <f t="shared" si="0"/>
        <v>680161.8471688009</v>
      </c>
      <c r="J11" s="149">
        <f t="shared" si="1"/>
        <v>0.5402688845019756</v>
      </c>
      <c r="K11" s="150">
        <f t="shared" si="2"/>
        <v>367470.2824506913</v>
      </c>
      <c r="L11" s="148">
        <f t="shared" si="3"/>
        <v>595262.7141576594</v>
      </c>
      <c r="M11" s="148">
        <f t="shared" si="4"/>
        <v>227792.43170696814</v>
      </c>
    </row>
    <row r="12" spans="2:13" ht="15">
      <c r="B12" s="152"/>
      <c r="D12" s="147">
        <v>9</v>
      </c>
      <c r="E12" s="148"/>
      <c r="F12" s="153">
        <f>'EVALUACION ECONOMICA SOCIAL'!K23</f>
        <v>1068736.048468137</v>
      </c>
      <c r="G12" s="148">
        <f>'O&amp;M CP'!$I$23</f>
        <v>421627.89352</v>
      </c>
      <c r="H12" s="148"/>
      <c r="I12" s="148">
        <f t="shared" si="0"/>
        <v>647108.154948137</v>
      </c>
      <c r="J12" s="149">
        <f t="shared" si="1"/>
        <v>0.5002489671314588</v>
      </c>
      <c r="K12" s="150">
        <f t="shared" si="2"/>
        <v>323715.18613514956</v>
      </c>
      <c r="L12" s="148">
        <f t="shared" si="3"/>
        <v>534634.1043823422</v>
      </c>
      <c r="M12" s="148">
        <f t="shared" si="4"/>
        <v>210918.9182471927</v>
      </c>
    </row>
    <row r="13" spans="2:13" ht="15.75" thickBot="1">
      <c r="B13" s="152"/>
      <c r="D13" s="147">
        <v>10</v>
      </c>
      <c r="E13" s="148"/>
      <c r="F13" s="153">
        <f>'EVALUACION ECONOMICA SOCIAL'!L23</f>
        <v>1036673.9670140927</v>
      </c>
      <c r="G13" s="148">
        <f>'O&amp;M CP'!$I$23</f>
        <v>421627.89352</v>
      </c>
      <c r="H13" s="148"/>
      <c r="I13" s="148">
        <f t="shared" si="0"/>
        <v>615046.0734940928</v>
      </c>
      <c r="J13" s="149">
        <f t="shared" si="1"/>
        <v>0.4631934880846841</v>
      </c>
      <c r="K13" s="150">
        <f t="shared" si="2"/>
        <v>284885.3361145178</v>
      </c>
      <c r="L13" s="148">
        <f t="shared" si="3"/>
        <v>480180.6307878443</v>
      </c>
      <c r="M13" s="148">
        <f t="shared" si="4"/>
        <v>195295.29467332657</v>
      </c>
    </row>
    <row r="14" spans="4:16" ht="15.75" thickBot="1">
      <c r="D14" s="448" t="s">
        <v>221</v>
      </c>
      <c r="E14" s="449"/>
      <c r="F14" s="449"/>
      <c r="G14" s="449"/>
      <c r="H14" s="449"/>
      <c r="I14" s="449"/>
      <c r="J14" s="449"/>
      <c r="K14" s="450"/>
      <c r="L14" s="157">
        <f>SUM(L4:L13)</f>
        <v>8162317.314082181</v>
      </c>
      <c r="M14" s="157">
        <f>SUM(M4:M13)</f>
        <v>3027932.394966539</v>
      </c>
      <c r="O14" s="158" t="s">
        <v>222</v>
      </c>
      <c r="P14" s="159" t="s">
        <v>223</v>
      </c>
    </row>
    <row r="15" spans="4:16" ht="15.75" thickBot="1">
      <c r="D15" s="160"/>
      <c r="E15" s="160"/>
      <c r="F15" s="303"/>
      <c r="G15" s="303"/>
      <c r="H15" s="160"/>
      <c r="I15" s="160"/>
      <c r="K15" s="451" t="s">
        <v>224</v>
      </c>
      <c r="L15" s="451" t="s">
        <v>225</v>
      </c>
      <c r="M15" s="451" t="s">
        <v>198</v>
      </c>
      <c r="O15" s="162" t="s">
        <v>224</v>
      </c>
      <c r="P15" s="163">
        <f>K17</f>
        <v>1083433.8072165013</v>
      </c>
    </row>
    <row r="16" spans="4:16" ht="15.75" thickBot="1">
      <c r="D16" s="160"/>
      <c r="E16" s="160"/>
      <c r="F16" s="160"/>
      <c r="G16" s="160"/>
      <c r="H16" s="160"/>
      <c r="I16" s="304"/>
      <c r="K16" s="451"/>
      <c r="L16" s="451"/>
      <c r="M16" s="451"/>
      <c r="O16" s="162" t="s">
        <v>225</v>
      </c>
      <c r="P16" s="164">
        <f>L17</f>
        <v>0.1416489585284546</v>
      </c>
    </row>
    <row r="17" spans="4:16" ht="15.75" thickBot="1">
      <c r="D17" s="160"/>
      <c r="E17" s="160"/>
      <c r="F17" s="160"/>
      <c r="G17" s="160"/>
      <c r="H17" s="160"/>
      <c r="I17" s="160"/>
      <c r="K17" s="165">
        <f>SUM(K3:K13)</f>
        <v>1083433.8072165013</v>
      </c>
      <c r="L17" s="166">
        <f>IRR(I3:I13)</f>
        <v>0.1416489585284546</v>
      </c>
      <c r="M17" s="167">
        <f>L14/M14</f>
        <v>2.695673565120129</v>
      </c>
      <c r="O17" s="162" t="s">
        <v>198</v>
      </c>
      <c r="P17" s="168">
        <f>M17</f>
        <v>2.695673565120129</v>
      </c>
    </row>
    <row r="18" spans="4:10" ht="15">
      <c r="D18" s="30"/>
      <c r="E18" s="30"/>
      <c r="F18" s="30"/>
      <c r="G18" s="30"/>
      <c r="H18" s="30"/>
      <c r="I18" s="30"/>
      <c r="J18" s="30"/>
    </row>
    <row r="19" spans="4:10" ht="15">
      <c r="D19" s="30"/>
      <c r="E19" s="30"/>
      <c r="F19" s="30"/>
      <c r="G19" s="30"/>
      <c r="H19" s="30"/>
      <c r="I19" s="30"/>
      <c r="J19" s="30"/>
    </row>
    <row r="20" spans="4:10" ht="15">
      <c r="D20" s="30"/>
      <c r="E20" s="30"/>
      <c r="F20" s="30"/>
      <c r="G20" s="30"/>
      <c r="H20" s="30"/>
      <c r="I20" s="30"/>
      <c r="J20" s="30"/>
    </row>
    <row r="21" spans="4:8" ht="15" customHeight="1">
      <c r="D21" s="452" t="s">
        <v>226</v>
      </c>
      <c r="E21" s="98" t="s">
        <v>227</v>
      </c>
      <c r="F21" s="98" t="s">
        <v>224</v>
      </c>
      <c r="G21" s="98" t="s">
        <v>225</v>
      </c>
      <c r="H21" s="98" t="s">
        <v>198</v>
      </c>
    </row>
    <row r="22" spans="4:8" ht="15">
      <c r="D22" s="453"/>
      <c r="E22" s="169">
        <v>0</v>
      </c>
      <c r="F22" s="170">
        <f>K17</f>
        <v>1083433.8072165013</v>
      </c>
      <c r="G22" s="171">
        <f>L17</f>
        <v>0.1416489585284546</v>
      </c>
      <c r="H22" s="170">
        <f>M17</f>
        <v>2.695673565120129</v>
      </c>
    </row>
    <row r="23" spans="4:8" ht="15">
      <c r="D23" s="453"/>
      <c r="E23" s="169">
        <v>0.1</v>
      </c>
      <c r="F23" s="172">
        <f>I62</f>
        <v>678338.6960265869</v>
      </c>
      <c r="G23" s="173">
        <f>J62</f>
        <v>0.11570343631442803</v>
      </c>
      <c r="H23" s="172">
        <f>K62</f>
        <v>2.695673565120129</v>
      </c>
    </row>
    <row r="24" spans="4:8" ht="15">
      <c r="D24" s="453"/>
      <c r="E24" s="169">
        <v>0.2</v>
      </c>
      <c r="F24" s="172">
        <f>I80</f>
        <v>273243.5848366729</v>
      </c>
      <c r="G24" s="173">
        <f>J80</f>
        <v>0.09339953806426338</v>
      </c>
      <c r="H24" s="172">
        <f>K80</f>
        <v>2.695673565120129</v>
      </c>
    </row>
    <row r="25" spans="4:8" ht="15">
      <c r="D25" s="453"/>
      <c r="E25" s="169">
        <v>0.3</v>
      </c>
      <c r="F25" s="172">
        <f>I97</f>
        <v>-131851.526353241</v>
      </c>
      <c r="G25" s="173">
        <f>J97</f>
        <v>0.07393958648105081</v>
      </c>
      <c r="H25" s="172">
        <f>K97</f>
        <v>2.695673565120129</v>
      </c>
    </row>
    <row r="26" spans="4:8" ht="15">
      <c r="D26" s="453"/>
      <c r="E26" s="169">
        <v>0.4</v>
      </c>
      <c r="F26" s="172">
        <f>I115</f>
        <v>-536946.6375431549</v>
      </c>
      <c r="G26" s="173">
        <f>J115</f>
        <v>0.05675035899008796</v>
      </c>
      <c r="H26" s="172">
        <f>K115</f>
        <v>2.695673565120129</v>
      </c>
    </row>
    <row r="27" spans="4:8" ht="15">
      <c r="D27" s="453"/>
      <c r="E27" s="169">
        <v>0.5</v>
      </c>
      <c r="F27" s="172">
        <f>I132</f>
        <v>-942041.7487330695</v>
      </c>
      <c r="G27" s="173">
        <f>J132</f>
        <v>0.04140833810583078</v>
      </c>
      <c r="H27" s="172">
        <f>K132</f>
        <v>2.695673565120129</v>
      </c>
    </row>
    <row r="28" spans="4:8" ht="15">
      <c r="D28" s="453"/>
      <c r="E28" s="169">
        <v>0.6</v>
      </c>
      <c r="F28" s="172">
        <f>I151</f>
        <v>-1347136.8599229832</v>
      </c>
      <c r="G28" s="173">
        <f>J151</f>
        <v>0.02759313436484323</v>
      </c>
      <c r="H28" s="172">
        <f>K151</f>
        <v>2.695673565120129</v>
      </c>
    </row>
    <row r="30" spans="4:8" ht="15" customHeight="1">
      <c r="D30" s="454" t="s">
        <v>228</v>
      </c>
      <c r="E30" s="98" t="s">
        <v>227</v>
      </c>
      <c r="F30" s="98" t="s">
        <v>224</v>
      </c>
      <c r="G30" s="98" t="s">
        <v>225</v>
      </c>
      <c r="H30" s="98" t="s">
        <v>198</v>
      </c>
    </row>
    <row r="31" spans="4:8" ht="15">
      <c r="D31" s="454"/>
      <c r="E31" s="169">
        <v>0</v>
      </c>
      <c r="F31" s="170">
        <f>F22</f>
        <v>1083433.8072165013</v>
      </c>
      <c r="G31" s="171">
        <f>G22</f>
        <v>0.1416489585284546</v>
      </c>
      <c r="H31" s="170">
        <f>H22</f>
        <v>2.695673565120129</v>
      </c>
    </row>
    <row r="32" spans="4:8" ht="15">
      <c r="D32" s="454"/>
      <c r="E32" s="174">
        <v>-0.04</v>
      </c>
      <c r="F32" s="172">
        <f>I172</f>
        <v>756941.114653214</v>
      </c>
      <c r="G32" s="173">
        <f>J172</f>
        <v>0.12369421533660274</v>
      </c>
      <c r="H32" s="172">
        <f>K172</f>
        <v>2.5878466225153236</v>
      </c>
    </row>
    <row r="33" spans="4:8" ht="15">
      <c r="D33" s="454"/>
      <c r="E33" s="174">
        <v>-0.08</v>
      </c>
      <c r="F33" s="172">
        <f>I190</f>
        <v>480953.2412163435</v>
      </c>
      <c r="G33" s="173">
        <f>J190</f>
        <v>0.10840620717374683</v>
      </c>
      <c r="H33" s="172">
        <f>K190</f>
        <v>2.4800196799105185</v>
      </c>
    </row>
    <row r="34" spans="4:8" ht="15">
      <c r="D34" s="454"/>
      <c r="E34" s="174">
        <v>-0.11</v>
      </c>
      <c r="F34" s="172">
        <f>I207</f>
        <v>185578.90266746125</v>
      </c>
      <c r="G34" s="173">
        <f>J207</f>
        <v>0.091019740084467</v>
      </c>
      <c r="H34" s="172">
        <f>K207</f>
        <v>2.399149472956915</v>
      </c>
    </row>
    <row r="35" spans="4:8" ht="15">
      <c r="D35" s="454"/>
      <c r="E35" s="174">
        <v>-0.15</v>
      </c>
      <c r="F35" s="172">
        <f>I225</f>
        <v>-140913.7898958266</v>
      </c>
      <c r="G35" s="173">
        <f>J225</f>
        <v>0.0714779151644227</v>
      </c>
      <c r="H35" s="172">
        <f>K225</f>
        <v>2.2913225303521094</v>
      </c>
    </row>
    <row r="37" spans="4:8" ht="15" customHeight="1">
      <c r="D37" s="455" t="s">
        <v>229</v>
      </c>
      <c r="E37" s="98" t="s">
        <v>227</v>
      </c>
      <c r="F37" s="98" t="s">
        <v>224</v>
      </c>
      <c r="G37" s="98" t="s">
        <v>225</v>
      </c>
      <c r="H37" s="98" t="s">
        <v>198</v>
      </c>
    </row>
    <row r="38" spans="4:8" ht="15">
      <c r="D38" s="456"/>
      <c r="E38" s="169">
        <v>0</v>
      </c>
      <c r="F38" s="170">
        <f>F31</f>
        <v>1083433.8072165013</v>
      </c>
      <c r="G38" s="171">
        <f>G31</f>
        <v>0.1416489585284546</v>
      </c>
      <c r="H38" s="170">
        <f>H31</f>
        <v>2.695673565120129</v>
      </c>
    </row>
    <row r="39" spans="4:8" ht="15">
      <c r="D39" s="456"/>
      <c r="E39" s="174">
        <v>0.05</v>
      </c>
      <c r="F39" s="172">
        <f>I244</f>
        <v>941975.9329373302</v>
      </c>
      <c r="G39" s="173">
        <f>J244</f>
        <v>0.13401508209638258</v>
      </c>
      <c r="H39" s="172">
        <f>K244</f>
        <v>2.5753588610672264</v>
      </c>
    </row>
    <row r="40" spans="4:8" ht="15">
      <c r="D40" s="456"/>
      <c r="E40" s="174">
        <v>0.1</v>
      </c>
      <c r="F40" s="172">
        <f>I263</f>
        <v>800518.0586581592</v>
      </c>
      <c r="G40" s="173">
        <f>J263</f>
        <v>0.12627246797595437</v>
      </c>
      <c r="H40" s="172">
        <f>K263</f>
        <v>2.465325185646299</v>
      </c>
    </row>
    <row r="41" spans="4:8" ht="15">
      <c r="D41" s="456"/>
      <c r="E41" s="174">
        <v>0.15</v>
      </c>
      <c r="F41" s="172">
        <f>I283</f>
        <v>659060.1843789886</v>
      </c>
      <c r="G41" s="173">
        <f>J283</f>
        <v>0.1184136334809387</v>
      </c>
      <c r="H41" s="172">
        <f>K283</f>
        <v>2.364308746671908</v>
      </c>
    </row>
    <row r="42" spans="4:8" ht="15">
      <c r="D42" s="456"/>
      <c r="E42" s="174">
        <v>0.2</v>
      </c>
      <c r="F42" s="172">
        <f>I304</f>
        <v>517602.31009981816</v>
      </c>
      <c r="G42" s="173">
        <f>J304</f>
        <v>0.11043033006196468</v>
      </c>
      <c r="H42" s="172">
        <f>K304</f>
        <v>2.271244733707499</v>
      </c>
    </row>
    <row r="43" spans="4:8" ht="15">
      <c r="D43" s="456"/>
      <c r="E43" s="174">
        <v>0.25</v>
      </c>
      <c r="F43" s="172">
        <f>I322</f>
        <v>376144.4358206468</v>
      </c>
      <c r="G43" s="173">
        <f>J322</f>
        <v>0.10231343375903657</v>
      </c>
      <c r="H43" s="172">
        <f>K322</f>
        <v>2.1852296395325377</v>
      </c>
    </row>
    <row r="44" spans="4:8" ht="15">
      <c r="D44" s="456"/>
      <c r="E44" s="174">
        <v>0.3</v>
      </c>
      <c r="F44" s="172">
        <f>I340</f>
        <v>234686.56154147626</v>
      </c>
      <c r="G44" s="173">
        <f>J340</f>
        <v>0.09405281504978702</v>
      </c>
      <c r="H44" s="172">
        <f>K340</f>
        <v>2.1054918308213297</v>
      </c>
    </row>
    <row r="46" spans="1:11" ht="21">
      <c r="A46" s="457">
        <f>E23</f>
        <v>0.1</v>
      </c>
      <c r="B46" s="459" t="s">
        <v>230</v>
      </c>
      <c r="C46" s="459"/>
      <c r="D46" s="459"/>
      <c r="E46" s="459"/>
      <c r="F46" s="459"/>
      <c r="G46" s="459"/>
      <c r="H46" s="459"/>
      <c r="I46" s="459"/>
      <c r="J46" s="459"/>
      <c r="K46" s="459"/>
    </row>
    <row r="47" spans="1:11" ht="51">
      <c r="A47" s="458"/>
      <c r="B47" s="46" t="s">
        <v>210</v>
      </c>
      <c r="C47" s="175" t="s">
        <v>211</v>
      </c>
      <c r="D47" s="46" t="s">
        <v>212</v>
      </c>
      <c r="E47" s="175" t="s">
        <v>213</v>
      </c>
      <c r="F47" s="175" t="s">
        <v>214</v>
      </c>
      <c r="G47" s="175" t="s">
        <v>215</v>
      </c>
      <c r="H47" s="175" t="s">
        <v>216</v>
      </c>
      <c r="I47" s="175" t="s">
        <v>215</v>
      </c>
      <c r="J47" s="175" t="s">
        <v>217</v>
      </c>
      <c r="K47" s="175" t="s">
        <v>218</v>
      </c>
    </row>
    <row r="48" spans="1:11" ht="15">
      <c r="A48" s="458"/>
      <c r="B48" s="147">
        <v>0</v>
      </c>
      <c r="C48" s="148">
        <f>E3*(1+A46)</f>
        <v>4456046.223089056</v>
      </c>
      <c r="D48" s="148"/>
      <c r="E48" s="148"/>
      <c r="F48" s="148"/>
      <c r="G48" s="148">
        <f>D48-C48-E48-F48</f>
        <v>-4456046.223089056</v>
      </c>
      <c r="H48" s="149">
        <v>1</v>
      </c>
      <c r="I48" s="150">
        <f>G48*H48</f>
        <v>-4456046.223089056</v>
      </c>
      <c r="J48" s="147"/>
      <c r="K48" s="151"/>
    </row>
    <row r="49" spans="1:11" ht="15">
      <c r="A49" s="458"/>
      <c r="B49" s="147">
        <v>1</v>
      </c>
      <c r="C49" s="148"/>
      <c r="D49" s="153">
        <f aca="true" t="shared" si="5" ref="D49:E58">F4</f>
        <v>1363630.1164132499</v>
      </c>
      <c r="E49" s="148">
        <f t="shared" si="5"/>
        <v>421627.89352</v>
      </c>
      <c r="F49" s="148"/>
      <c r="G49" s="148">
        <f aca="true" t="shared" si="6" ref="G49:G58">D49-C49-E49-F49</f>
        <v>942002.22289325</v>
      </c>
      <c r="H49" s="149">
        <f>H48/(1+0.08)</f>
        <v>0.9259259259259258</v>
      </c>
      <c r="I49" s="150">
        <f aca="true" t="shared" si="7" ref="I49:I58">G49*H49</f>
        <v>872224.2804567128</v>
      </c>
      <c r="J49" s="148">
        <f aca="true" t="shared" si="8" ref="J49:J58">D49*H49</f>
        <v>1262620.4781604165</v>
      </c>
      <c r="K49" s="148">
        <f>(E49+F49)*H49</f>
        <v>390396.19770370366</v>
      </c>
    </row>
    <row r="50" spans="1:11" ht="15">
      <c r="A50" s="458"/>
      <c r="B50" s="147">
        <v>2</v>
      </c>
      <c r="C50" s="148"/>
      <c r="D50" s="153">
        <f t="shared" si="5"/>
        <v>1322721.2129208522</v>
      </c>
      <c r="E50" s="148">
        <f t="shared" si="5"/>
        <v>421627.89352</v>
      </c>
      <c r="F50" s="148"/>
      <c r="G50" s="148">
        <f t="shared" si="6"/>
        <v>901093.3194008523</v>
      </c>
      <c r="H50" s="149">
        <f aca="true" t="shared" si="9" ref="H50:H58">H49/(1+0.08)</f>
        <v>0.8573388203017831</v>
      </c>
      <c r="I50" s="150">
        <f t="shared" si="7"/>
        <v>772542.2834369446</v>
      </c>
      <c r="J50" s="148">
        <f t="shared" si="8"/>
        <v>1134020.244273707</v>
      </c>
      <c r="K50" s="148">
        <f aca="true" t="shared" si="10" ref="K50:K58">(E50+F50)*H50</f>
        <v>361477.9608367626</v>
      </c>
    </row>
    <row r="51" spans="1:11" ht="15">
      <c r="A51" s="458"/>
      <c r="B51" s="147">
        <v>3</v>
      </c>
      <c r="C51" s="148"/>
      <c r="D51" s="153">
        <f t="shared" si="5"/>
        <v>1283039.5765332268</v>
      </c>
      <c r="E51" s="148">
        <f t="shared" si="5"/>
        <v>421627.89352</v>
      </c>
      <c r="F51" s="148"/>
      <c r="G51" s="148">
        <f t="shared" si="6"/>
        <v>861411.6830132268</v>
      </c>
      <c r="H51" s="149">
        <f t="shared" si="9"/>
        <v>0.7938322410201695</v>
      </c>
      <c r="I51" s="150">
        <f t="shared" si="7"/>
        <v>683816.3667673457</v>
      </c>
      <c r="J51" s="148">
        <f t="shared" si="8"/>
        <v>1018518.1823569407</v>
      </c>
      <c r="K51" s="148">
        <f t="shared" si="10"/>
        <v>334701.815589595</v>
      </c>
    </row>
    <row r="52" spans="1:11" ht="15">
      <c r="A52" s="458"/>
      <c r="B52" s="147">
        <v>4</v>
      </c>
      <c r="C52" s="148"/>
      <c r="D52" s="153">
        <f t="shared" si="5"/>
        <v>1244548.38923723</v>
      </c>
      <c r="E52" s="148">
        <f t="shared" si="5"/>
        <v>421627.89352</v>
      </c>
      <c r="F52" s="148"/>
      <c r="G52" s="148">
        <f t="shared" si="6"/>
        <v>822920.49571723</v>
      </c>
      <c r="H52" s="149">
        <f t="shared" si="9"/>
        <v>0.7350298527964532</v>
      </c>
      <c r="I52" s="150">
        <f t="shared" si="7"/>
        <v>604871.1308302198</v>
      </c>
      <c r="J52" s="148">
        <f t="shared" si="8"/>
        <v>914780.219339104</v>
      </c>
      <c r="K52" s="148">
        <f t="shared" si="10"/>
        <v>309909.0885088842</v>
      </c>
    </row>
    <row r="53" spans="1:11" ht="15">
      <c r="A53" s="458"/>
      <c r="B53" s="147">
        <v>5</v>
      </c>
      <c r="C53" s="148"/>
      <c r="D53" s="153">
        <f t="shared" si="5"/>
        <v>1207211.937560113</v>
      </c>
      <c r="E53" s="148">
        <f t="shared" si="5"/>
        <v>421627.89352</v>
      </c>
      <c r="F53" s="148">
        <f>H8</f>
        <v>292065.55532</v>
      </c>
      <c r="G53" s="148">
        <f t="shared" si="6"/>
        <v>493518.488720113</v>
      </c>
      <c r="H53" s="149">
        <f t="shared" si="9"/>
        <v>0.6805831970337529</v>
      </c>
      <c r="I53" s="150">
        <f t="shared" si="7"/>
        <v>335880.39084840065</v>
      </c>
      <c r="J53" s="148">
        <f t="shared" si="8"/>
        <v>821608.159961973</v>
      </c>
      <c r="K53" s="148">
        <f t="shared" si="10"/>
        <v>485727.7691135724</v>
      </c>
    </row>
    <row r="54" spans="1:11" ht="15">
      <c r="A54" s="458"/>
      <c r="B54" s="147">
        <v>6</v>
      </c>
      <c r="C54" s="148"/>
      <c r="D54" s="153">
        <f t="shared" si="5"/>
        <v>1170995.5794333096</v>
      </c>
      <c r="E54" s="148">
        <f t="shared" si="5"/>
        <v>421627.89352</v>
      </c>
      <c r="F54" s="148"/>
      <c r="G54" s="148">
        <f t="shared" si="6"/>
        <v>749367.6859133097</v>
      </c>
      <c r="H54" s="149">
        <f t="shared" si="9"/>
        <v>0.6301696268831045</v>
      </c>
      <c r="I54" s="150">
        <f t="shared" si="7"/>
        <v>472228.7550302458</v>
      </c>
      <c r="J54" s="148">
        <f t="shared" si="8"/>
        <v>737925.8473732535</v>
      </c>
      <c r="K54" s="148">
        <f t="shared" si="10"/>
        <v>265697.09234300774</v>
      </c>
    </row>
    <row r="55" spans="1:11" ht="15">
      <c r="A55" s="458"/>
      <c r="B55" s="147">
        <v>7</v>
      </c>
      <c r="C55" s="148"/>
      <c r="D55" s="153">
        <f t="shared" si="5"/>
        <v>1135865.7120503103</v>
      </c>
      <c r="E55" s="148">
        <f t="shared" si="5"/>
        <v>421627.89352</v>
      </c>
      <c r="F55" s="148"/>
      <c r="G55" s="148">
        <f t="shared" si="6"/>
        <v>714237.8185303104</v>
      </c>
      <c r="H55" s="149">
        <f t="shared" si="9"/>
        <v>0.5834903952621338</v>
      </c>
      <c r="I55" s="150">
        <f t="shared" si="7"/>
        <v>416750.90704541496</v>
      </c>
      <c r="J55" s="148">
        <f t="shared" si="8"/>
        <v>662766.7332889406</v>
      </c>
      <c r="K55" s="148">
        <f t="shared" si="10"/>
        <v>246015.82624352563</v>
      </c>
    </row>
    <row r="56" spans="1:11" ht="15">
      <c r="A56" s="458"/>
      <c r="B56" s="147">
        <v>8</v>
      </c>
      <c r="C56" s="148"/>
      <c r="D56" s="153">
        <f t="shared" si="5"/>
        <v>1101789.7406888008</v>
      </c>
      <c r="E56" s="148">
        <f t="shared" si="5"/>
        <v>421627.89352</v>
      </c>
      <c r="F56" s="148"/>
      <c r="G56" s="148">
        <f t="shared" si="6"/>
        <v>680161.8471688009</v>
      </c>
      <c r="H56" s="149">
        <f t="shared" si="9"/>
        <v>0.5402688845019756</v>
      </c>
      <c r="I56" s="150">
        <f t="shared" si="7"/>
        <v>367470.2824506913</v>
      </c>
      <c r="J56" s="148">
        <f t="shared" si="8"/>
        <v>595262.7141576594</v>
      </c>
      <c r="K56" s="148">
        <f t="shared" si="10"/>
        <v>227792.43170696814</v>
      </c>
    </row>
    <row r="57" spans="1:11" ht="15">
      <c r="A57" s="458"/>
      <c r="B57" s="147">
        <v>9</v>
      </c>
      <c r="C57" s="148"/>
      <c r="D57" s="153">
        <f t="shared" si="5"/>
        <v>1068736.048468137</v>
      </c>
      <c r="E57" s="148">
        <f t="shared" si="5"/>
        <v>421627.89352</v>
      </c>
      <c r="F57" s="148"/>
      <c r="G57" s="148">
        <f t="shared" si="6"/>
        <v>647108.154948137</v>
      </c>
      <c r="H57" s="149">
        <f t="shared" si="9"/>
        <v>0.5002489671314588</v>
      </c>
      <c r="I57" s="150">
        <f t="shared" si="7"/>
        <v>323715.18613514956</v>
      </c>
      <c r="J57" s="148">
        <f t="shared" si="8"/>
        <v>534634.1043823422</v>
      </c>
      <c r="K57" s="148">
        <f t="shared" si="10"/>
        <v>210918.9182471927</v>
      </c>
    </row>
    <row r="58" spans="1:11" ht="15">
      <c r="A58" s="458"/>
      <c r="B58" s="147">
        <v>10</v>
      </c>
      <c r="C58" s="148"/>
      <c r="D58" s="153">
        <f t="shared" si="5"/>
        <v>1036673.9670140927</v>
      </c>
      <c r="E58" s="148">
        <f t="shared" si="5"/>
        <v>421627.89352</v>
      </c>
      <c r="F58" s="148"/>
      <c r="G58" s="148">
        <f t="shared" si="6"/>
        <v>615046.0734940928</v>
      </c>
      <c r="H58" s="149">
        <f t="shared" si="9"/>
        <v>0.4631934880846841</v>
      </c>
      <c r="I58" s="150">
        <f t="shared" si="7"/>
        <v>284885.3361145178</v>
      </c>
      <c r="J58" s="148">
        <f t="shared" si="8"/>
        <v>480180.6307878443</v>
      </c>
      <c r="K58" s="148">
        <f t="shared" si="10"/>
        <v>195295.29467332657</v>
      </c>
    </row>
    <row r="59" spans="1:11" ht="15">
      <c r="A59" s="458"/>
      <c r="B59" s="460" t="s">
        <v>221</v>
      </c>
      <c r="C59" s="461"/>
      <c r="D59" s="461"/>
      <c r="E59" s="461"/>
      <c r="F59" s="461"/>
      <c r="G59" s="461"/>
      <c r="H59" s="461"/>
      <c r="I59" s="462"/>
      <c r="J59" s="150">
        <f>SUM(J49:J58)</f>
        <v>8162317.314082181</v>
      </c>
      <c r="K59" s="150">
        <f>SUM(K49:K58)</f>
        <v>3027932.394966539</v>
      </c>
    </row>
    <row r="60" spans="2:11" ht="15">
      <c r="B60" s="30"/>
      <c r="C60" s="30"/>
      <c r="D60" s="30"/>
      <c r="H60" s="30"/>
      <c r="I60" s="463" t="s">
        <v>224</v>
      </c>
      <c r="J60" s="464" t="s">
        <v>225</v>
      </c>
      <c r="K60" s="464" t="s">
        <v>198</v>
      </c>
    </row>
    <row r="61" spans="2:11" ht="15">
      <c r="B61" s="30"/>
      <c r="C61" s="30"/>
      <c r="D61" s="30"/>
      <c r="H61" s="30"/>
      <c r="I61" s="463"/>
      <c r="J61" s="464"/>
      <c r="K61" s="464"/>
    </row>
    <row r="62" spans="2:11" ht="15">
      <c r="B62" s="30"/>
      <c r="C62" s="30"/>
      <c r="D62" s="30"/>
      <c r="H62" s="30"/>
      <c r="I62" s="176">
        <f>SUM(I48:I58)</f>
        <v>678338.6960265869</v>
      </c>
      <c r="J62" s="177">
        <f>IRR(G48:G58)</f>
        <v>0.11570343631442803</v>
      </c>
      <c r="K62" s="178">
        <f>J59/K59</f>
        <v>2.695673565120129</v>
      </c>
    </row>
    <row r="65" spans="1:11" ht="51">
      <c r="A65" s="457">
        <f>E24</f>
        <v>0.2</v>
      </c>
      <c r="B65" s="46" t="s">
        <v>210</v>
      </c>
      <c r="C65" s="175" t="s">
        <v>211</v>
      </c>
      <c r="D65" s="46" t="s">
        <v>212</v>
      </c>
      <c r="E65" s="175" t="s">
        <v>213</v>
      </c>
      <c r="F65" s="175" t="s">
        <v>214</v>
      </c>
      <c r="G65" s="175" t="s">
        <v>215</v>
      </c>
      <c r="H65" s="175" t="s">
        <v>216</v>
      </c>
      <c r="I65" s="175" t="s">
        <v>215</v>
      </c>
      <c r="J65" s="175" t="s">
        <v>217</v>
      </c>
      <c r="K65" s="175" t="s">
        <v>218</v>
      </c>
    </row>
    <row r="66" spans="1:11" ht="15">
      <c r="A66" s="458"/>
      <c r="B66" s="147">
        <v>0</v>
      </c>
      <c r="C66" s="148">
        <f>E3*(1+A65)</f>
        <v>4861141.33427897</v>
      </c>
      <c r="D66" s="148"/>
      <c r="E66" s="148"/>
      <c r="F66" s="148"/>
      <c r="G66" s="148">
        <f aca="true" t="shared" si="11" ref="G66:G76">D66-C66-E66-F66</f>
        <v>-4861141.33427897</v>
      </c>
      <c r="H66" s="149">
        <v>1</v>
      </c>
      <c r="I66" s="150">
        <f>G66*H66</f>
        <v>-4861141.33427897</v>
      </c>
      <c r="J66" s="147"/>
      <c r="K66" s="151"/>
    </row>
    <row r="67" spans="1:11" ht="15">
      <c r="A67" s="458"/>
      <c r="B67" s="147">
        <v>1</v>
      </c>
      <c r="C67" s="148"/>
      <c r="D67" s="153">
        <f>D49</f>
        <v>1363630.1164132499</v>
      </c>
      <c r="E67" s="153">
        <f>E49</f>
        <v>421627.89352</v>
      </c>
      <c r="F67" s="153">
        <f>F49</f>
        <v>0</v>
      </c>
      <c r="G67" s="153">
        <f>G49</f>
        <v>942002.22289325</v>
      </c>
      <c r="H67" s="149">
        <f>H66/(1+0.08)</f>
        <v>0.9259259259259258</v>
      </c>
      <c r="I67" s="150">
        <f aca="true" t="shared" si="12" ref="I67:I76">G67*H67</f>
        <v>872224.2804567128</v>
      </c>
      <c r="J67" s="148">
        <f aca="true" t="shared" si="13" ref="J67:J76">D67*H67</f>
        <v>1262620.4781604165</v>
      </c>
      <c r="K67" s="148">
        <f>(E67+F67)*H67</f>
        <v>390396.19770370366</v>
      </c>
    </row>
    <row r="68" spans="1:11" ht="15">
      <c r="A68" s="458"/>
      <c r="B68" s="147">
        <v>2</v>
      </c>
      <c r="C68" s="148"/>
      <c r="D68" s="153">
        <f aca="true" t="shared" si="14" ref="D68:F76">D50</f>
        <v>1322721.2129208522</v>
      </c>
      <c r="E68" s="153">
        <f t="shared" si="14"/>
        <v>421627.89352</v>
      </c>
      <c r="F68" s="153">
        <f t="shared" si="14"/>
        <v>0</v>
      </c>
      <c r="G68" s="148">
        <f t="shared" si="11"/>
        <v>901093.3194008523</v>
      </c>
      <c r="H68" s="149">
        <f aca="true" t="shared" si="15" ref="H68:H76">H67/(1+0.08)</f>
        <v>0.8573388203017831</v>
      </c>
      <c r="I68" s="150">
        <f t="shared" si="12"/>
        <v>772542.2834369446</v>
      </c>
      <c r="J68" s="148">
        <f t="shared" si="13"/>
        <v>1134020.244273707</v>
      </c>
      <c r="K68" s="148">
        <f aca="true" t="shared" si="16" ref="K68:K76">(E68+F68)*H68</f>
        <v>361477.9608367626</v>
      </c>
    </row>
    <row r="69" spans="1:11" ht="15">
      <c r="A69" s="458"/>
      <c r="B69" s="147">
        <v>3</v>
      </c>
      <c r="C69" s="148"/>
      <c r="D69" s="153">
        <f t="shared" si="14"/>
        <v>1283039.5765332268</v>
      </c>
      <c r="E69" s="153">
        <f t="shared" si="14"/>
        <v>421627.89352</v>
      </c>
      <c r="F69" s="153">
        <f t="shared" si="14"/>
        <v>0</v>
      </c>
      <c r="G69" s="148">
        <f t="shared" si="11"/>
        <v>861411.6830132268</v>
      </c>
      <c r="H69" s="149">
        <f t="shared" si="15"/>
        <v>0.7938322410201695</v>
      </c>
      <c r="I69" s="150">
        <f t="shared" si="12"/>
        <v>683816.3667673457</v>
      </c>
      <c r="J69" s="148">
        <f t="shared" si="13"/>
        <v>1018518.1823569407</v>
      </c>
      <c r="K69" s="148">
        <f t="shared" si="16"/>
        <v>334701.815589595</v>
      </c>
    </row>
    <row r="70" spans="1:11" ht="15">
      <c r="A70" s="458"/>
      <c r="B70" s="147">
        <v>4</v>
      </c>
      <c r="C70" s="148"/>
      <c r="D70" s="153">
        <f t="shared" si="14"/>
        <v>1244548.38923723</v>
      </c>
      <c r="E70" s="153">
        <f t="shared" si="14"/>
        <v>421627.89352</v>
      </c>
      <c r="F70" s="153">
        <f t="shared" si="14"/>
        <v>0</v>
      </c>
      <c r="G70" s="148">
        <f t="shared" si="11"/>
        <v>822920.49571723</v>
      </c>
      <c r="H70" s="149">
        <f t="shared" si="15"/>
        <v>0.7350298527964532</v>
      </c>
      <c r="I70" s="150">
        <f t="shared" si="12"/>
        <v>604871.1308302198</v>
      </c>
      <c r="J70" s="148">
        <f t="shared" si="13"/>
        <v>914780.219339104</v>
      </c>
      <c r="K70" s="148">
        <f t="shared" si="16"/>
        <v>309909.0885088842</v>
      </c>
    </row>
    <row r="71" spans="1:11" ht="15">
      <c r="A71" s="458"/>
      <c r="B71" s="147">
        <v>5</v>
      </c>
      <c r="C71" s="148"/>
      <c r="D71" s="153">
        <f t="shared" si="14"/>
        <v>1207211.937560113</v>
      </c>
      <c r="E71" s="153">
        <f t="shared" si="14"/>
        <v>421627.89352</v>
      </c>
      <c r="F71" s="153">
        <f t="shared" si="14"/>
        <v>292065.55532</v>
      </c>
      <c r="G71" s="148">
        <f t="shared" si="11"/>
        <v>493518.488720113</v>
      </c>
      <c r="H71" s="149">
        <f t="shared" si="15"/>
        <v>0.6805831970337529</v>
      </c>
      <c r="I71" s="150">
        <f t="shared" si="12"/>
        <v>335880.39084840065</v>
      </c>
      <c r="J71" s="148">
        <f t="shared" si="13"/>
        <v>821608.159961973</v>
      </c>
      <c r="K71" s="148">
        <f t="shared" si="16"/>
        <v>485727.7691135724</v>
      </c>
    </row>
    <row r="72" spans="1:11" ht="15">
      <c r="A72" s="458"/>
      <c r="B72" s="147">
        <v>6</v>
      </c>
      <c r="C72" s="148"/>
      <c r="D72" s="153">
        <f t="shared" si="14"/>
        <v>1170995.5794333096</v>
      </c>
      <c r="E72" s="153">
        <f t="shared" si="14"/>
        <v>421627.89352</v>
      </c>
      <c r="F72" s="153">
        <f t="shared" si="14"/>
        <v>0</v>
      </c>
      <c r="G72" s="148">
        <f t="shared" si="11"/>
        <v>749367.6859133097</v>
      </c>
      <c r="H72" s="149">
        <f t="shared" si="15"/>
        <v>0.6301696268831045</v>
      </c>
      <c r="I72" s="150">
        <f t="shared" si="12"/>
        <v>472228.7550302458</v>
      </c>
      <c r="J72" s="148">
        <f t="shared" si="13"/>
        <v>737925.8473732535</v>
      </c>
      <c r="K72" s="148">
        <f t="shared" si="16"/>
        <v>265697.09234300774</v>
      </c>
    </row>
    <row r="73" spans="1:11" ht="15">
      <c r="A73" s="458"/>
      <c r="B73" s="147">
        <v>7</v>
      </c>
      <c r="C73" s="148"/>
      <c r="D73" s="153">
        <f t="shared" si="14"/>
        <v>1135865.7120503103</v>
      </c>
      <c r="E73" s="153">
        <f t="shared" si="14"/>
        <v>421627.89352</v>
      </c>
      <c r="F73" s="153">
        <f t="shared" si="14"/>
        <v>0</v>
      </c>
      <c r="G73" s="148">
        <f t="shared" si="11"/>
        <v>714237.8185303104</v>
      </c>
      <c r="H73" s="149">
        <f t="shared" si="15"/>
        <v>0.5834903952621338</v>
      </c>
      <c r="I73" s="150">
        <f t="shared" si="12"/>
        <v>416750.90704541496</v>
      </c>
      <c r="J73" s="148">
        <f t="shared" si="13"/>
        <v>662766.7332889406</v>
      </c>
      <c r="K73" s="148">
        <f t="shared" si="16"/>
        <v>246015.82624352563</v>
      </c>
    </row>
    <row r="74" spans="1:11" ht="15">
      <c r="A74" s="458"/>
      <c r="B74" s="147">
        <v>8</v>
      </c>
      <c r="C74" s="148"/>
      <c r="D74" s="153">
        <f t="shared" si="14"/>
        <v>1101789.7406888008</v>
      </c>
      <c r="E74" s="153">
        <f t="shared" si="14"/>
        <v>421627.89352</v>
      </c>
      <c r="F74" s="153">
        <f t="shared" si="14"/>
        <v>0</v>
      </c>
      <c r="G74" s="148">
        <f t="shared" si="11"/>
        <v>680161.8471688009</v>
      </c>
      <c r="H74" s="149">
        <f t="shared" si="15"/>
        <v>0.5402688845019756</v>
      </c>
      <c r="I74" s="150">
        <f t="shared" si="12"/>
        <v>367470.2824506913</v>
      </c>
      <c r="J74" s="148">
        <f t="shared" si="13"/>
        <v>595262.7141576594</v>
      </c>
      <c r="K74" s="148">
        <f t="shared" si="16"/>
        <v>227792.43170696814</v>
      </c>
    </row>
    <row r="75" spans="1:11" ht="15">
      <c r="A75" s="458"/>
      <c r="B75" s="147">
        <v>9</v>
      </c>
      <c r="C75" s="148"/>
      <c r="D75" s="153">
        <f t="shared" si="14"/>
        <v>1068736.048468137</v>
      </c>
      <c r="E75" s="153">
        <f t="shared" si="14"/>
        <v>421627.89352</v>
      </c>
      <c r="F75" s="153">
        <f t="shared" si="14"/>
        <v>0</v>
      </c>
      <c r="G75" s="148">
        <f t="shared" si="11"/>
        <v>647108.154948137</v>
      </c>
      <c r="H75" s="149">
        <f t="shared" si="15"/>
        <v>0.5002489671314588</v>
      </c>
      <c r="I75" s="150">
        <f t="shared" si="12"/>
        <v>323715.18613514956</v>
      </c>
      <c r="J75" s="148">
        <f t="shared" si="13"/>
        <v>534634.1043823422</v>
      </c>
      <c r="K75" s="148">
        <f t="shared" si="16"/>
        <v>210918.9182471927</v>
      </c>
    </row>
    <row r="76" spans="1:11" ht="15">
      <c r="A76" s="458"/>
      <c r="B76" s="147">
        <v>10</v>
      </c>
      <c r="C76" s="148"/>
      <c r="D76" s="153">
        <f t="shared" si="14"/>
        <v>1036673.9670140927</v>
      </c>
      <c r="E76" s="153">
        <f t="shared" si="14"/>
        <v>421627.89352</v>
      </c>
      <c r="F76" s="153">
        <f t="shared" si="14"/>
        <v>0</v>
      </c>
      <c r="G76" s="148">
        <f t="shared" si="11"/>
        <v>615046.0734940928</v>
      </c>
      <c r="H76" s="149">
        <f t="shared" si="15"/>
        <v>0.4631934880846841</v>
      </c>
      <c r="I76" s="150">
        <f t="shared" si="12"/>
        <v>284885.3361145178</v>
      </c>
      <c r="J76" s="148">
        <f t="shared" si="13"/>
        <v>480180.6307878443</v>
      </c>
      <c r="K76" s="148">
        <f t="shared" si="16"/>
        <v>195295.29467332657</v>
      </c>
    </row>
    <row r="77" spans="1:11" ht="15">
      <c r="A77" s="458"/>
      <c r="B77" s="460" t="s">
        <v>221</v>
      </c>
      <c r="C77" s="461"/>
      <c r="D77" s="461"/>
      <c r="E77" s="461"/>
      <c r="F77" s="461"/>
      <c r="G77" s="461"/>
      <c r="H77" s="461"/>
      <c r="I77" s="462"/>
      <c r="J77" s="150">
        <f>SUM(J67:J76)</f>
        <v>8162317.314082181</v>
      </c>
      <c r="K77" s="150">
        <f>SUM(K67:K76)</f>
        <v>3027932.394966539</v>
      </c>
    </row>
    <row r="78" spans="1:11" ht="15">
      <c r="A78" s="458"/>
      <c r="B78" s="30"/>
      <c r="C78" s="30"/>
      <c r="D78" s="30"/>
      <c r="E78" s="30"/>
      <c r="F78" s="30"/>
      <c r="G78" s="30"/>
      <c r="H78" s="30"/>
      <c r="I78" s="463" t="s">
        <v>224</v>
      </c>
      <c r="J78" s="464" t="s">
        <v>225</v>
      </c>
      <c r="K78" s="464" t="s">
        <v>198</v>
      </c>
    </row>
    <row r="79" spans="2:11" ht="15">
      <c r="B79" s="30"/>
      <c r="C79" s="30"/>
      <c r="D79" s="30"/>
      <c r="E79" s="30"/>
      <c r="F79" s="30"/>
      <c r="G79" s="30"/>
      <c r="H79" s="30"/>
      <c r="I79" s="463"/>
      <c r="J79" s="464"/>
      <c r="K79" s="464"/>
    </row>
    <row r="80" spans="2:11" ht="15">
      <c r="B80" s="30"/>
      <c r="C80" s="30"/>
      <c r="D80" s="30"/>
      <c r="E80" s="30"/>
      <c r="F80" s="30"/>
      <c r="G80" s="30"/>
      <c r="H80" s="30"/>
      <c r="I80" s="176">
        <f>SUM(I66:I76)</f>
        <v>273243.5848366729</v>
      </c>
      <c r="J80" s="177">
        <f>IRR(G66:G76)</f>
        <v>0.09339953806426338</v>
      </c>
      <c r="K80" s="178">
        <f>J77/K77</f>
        <v>2.695673565120129</v>
      </c>
    </row>
    <row r="82" spans="1:11" ht="51">
      <c r="A82" s="457">
        <f>E25</f>
        <v>0.3</v>
      </c>
      <c r="B82" s="46" t="s">
        <v>210</v>
      </c>
      <c r="C82" s="175" t="s">
        <v>211</v>
      </c>
      <c r="D82" s="46" t="s">
        <v>212</v>
      </c>
      <c r="E82" s="175" t="s">
        <v>213</v>
      </c>
      <c r="F82" s="175" t="s">
        <v>214</v>
      </c>
      <c r="G82" s="175" t="s">
        <v>215</v>
      </c>
      <c r="H82" s="175" t="s">
        <v>216</v>
      </c>
      <c r="I82" s="175" t="s">
        <v>215</v>
      </c>
      <c r="J82" s="175" t="s">
        <v>217</v>
      </c>
      <c r="K82" s="175" t="s">
        <v>218</v>
      </c>
    </row>
    <row r="83" spans="1:11" ht="15">
      <c r="A83" s="458"/>
      <c r="B83" s="147">
        <v>0</v>
      </c>
      <c r="C83" s="148">
        <f>E3*(1+A82)</f>
        <v>5266236.445468884</v>
      </c>
      <c r="D83" s="148">
        <f>D66</f>
        <v>0</v>
      </c>
      <c r="E83" s="148">
        <f>E66</f>
        <v>0</v>
      </c>
      <c r="F83" s="148">
        <f>F66</f>
        <v>0</v>
      </c>
      <c r="G83" s="148">
        <f aca="true" t="shared" si="17" ref="G83:G93">D83-C83-E83-F83</f>
        <v>-5266236.445468884</v>
      </c>
      <c r="H83" s="149">
        <v>1</v>
      </c>
      <c r="I83" s="150">
        <f>G83*H83</f>
        <v>-5266236.445468884</v>
      </c>
      <c r="J83" s="147"/>
      <c r="K83" s="151"/>
    </row>
    <row r="84" spans="1:11" ht="15">
      <c r="A84" s="458"/>
      <c r="B84" s="147">
        <v>1</v>
      </c>
      <c r="C84" s="148">
        <f aca="true" t="shared" si="18" ref="C84:F93">C67</f>
        <v>0</v>
      </c>
      <c r="D84" s="148">
        <f t="shared" si="18"/>
        <v>1363630.1164132499</v>
      </c>
      <c r="E84" s="148">
        <f t="shared" si="18"/>
        <v>421627.89352</v>
      </c>
      <c r="F84" s="148">
        <f t="shared" si="18"/>
        <v>0</v>
      </c>
      <c r="G84" s="148">
        <f t="shared" si="17"/>
        <v>942002.22289325</v>
      </c>
      <c r="H84" s="149">
        <f>H83/(1+0.08)</f>
        <v>0.9259259259259258</v>
      </c>
      <c r="I84" s="150">
        <f aca="true" t="shared" si="19" ref="I84:I93">G84*H84</f>
        <v>872224.2804567128</v>
      </c>
      <c r="J84" s="148">
        <f aca="true" t="shared" si="20" ref="J84:J93">D84*H84</f>
        <v>1262620.4781604165</v>
      </c>
      <c r="K84" s="148">
        <f>(E84+F84)*H84</f>
        <v>390396.19770370366</v>
      </c>
    </row>
    <row r="85" spans="1:11" ht="15">
      <c r="A85" s="458"/>
      <c r="B85" s="147">
        <v>2</v>
      </c>
      <c r="C85" s="148">
        <f t="shared" si="18"/>
        <v>0</v>
      </c>
      <c r="D85" s="148">
        <f t="shared" si="18"/>
        <v>1322721.2129208522</v>
      </c>
      <c r="E85" s="148">
        <f t="shared" si="18"/>
        <v>421627.89352</v>
      </c>
      <c r="F85" s="148">
        <f t="shared" si="18"/>
        <v>0</v>
      </c>
      <c r="G85" s="148">
        <f t="shared" si="17"/>
        <v>901093.3194008523</v>
      </c>
      <c r="H85" s="149">
        <f aca="true" t="shared" si="21" ref="H85:H93">H84/(1+0.08)</f>
        <v>0.8573388203017831</v>
      </c>
      <c r="I85" s="150">
        <f t="shared" si="19"/>
        <v>772542.2834369446</v>
      </c>
      <c r="J85" s="148">
        <f t="shared" si="20"/>
        <v>1134020.244273707</v>
      </c>
      <c r="K85" s="148">
        <f aca="true" t="shared" si="22" ref="K85:K93">(E85+F85)*H85</f>
        <v>361477.9608367626</v>
      </c>
    </row>
    <row r="86" spans="1:11" ht="15">
      <c r="A86" s="458"/>
      <c r="B86" s="147">
        <v>3</v>
      </c>
      <c r="C86" s="148">
        <f t="shared" si="18"/>
        <v>0</v>
      </c>
      <c r="D86" s="148">
        <f t="shared" si="18"/>
        <v>1283039.5765332268</v>
      </c>
      <c r="E86" s="148">
        <f t="shared" si="18"/>
        <v>421627.89352</v>
      </c>
      <c r="F86" s="148">
        <f t="shared" si="18"/>
        <v>0</v>
      </c>
      <c r="G86" s="148">
        <f t="shared" si="17"/>
        <v>861411.6830132268</v>
      </c>
      <c r="H86" s="149">
        <f t="shared" si="21"/>
        <v>0.7938322410201695</v>
      </c>
      <c r="I86" s="150">
        <f t="shared" si="19"/>
        <v>683816.3667673457</v>
      </c>
      <c r="J86" s="148">
        <f t="shared" si="20"/>
        <v>1018518.1823569407</v>
      </c>
      <c r="K86" s="148">
        <f t="shared" si="22"/>
        <v>334701.815589595</v>
      </c>
    </row>
    <row r="87" spans="1:11" ht="15">
      <c r="A87" s="458"/>
      <c r="B87" s="147">
        <v>4</v>
      </c>
      <c r="C87" s="148">
        <f t="shared" si="18"/>
        <v>0</v>
      </c>
      <c r="D87" s="148">
        <f t="shared" si="18"/>
        <v>1244548.38923723</v>
      </c>
      <c r="E87" s="148">
        <f t="shared" si="18"/>
        <v>421627.89352</v>
      </c>
      <c r="F87" s="148">
        <f t="shared" si="18"/>
        <v>0</v>
      </c>
      <c r="G87" s="148">
        <f t="shared" si="17"/>
        <v>822920.49571723</v>
      </c>
      <c r="H87" s="149">
        <f t="shared" si="21"/>
        <v>0.7350298527964532</v>
      </c>
      <c r="I87" s="150">
        <f t="shared" si="19"/>
        <v>604871.1308302198</v>
      </c>
      <c r="J87" s="148">
        <f t="shared" si="20"/>
        <v>914780.219339104</v>
      </c>
      <c r="K87" s="148">
        <f t="shared" si="22"/>
        <v>309909.0885088842</v>
      </c>
    </row>
    <row r="88" spans="1:11" ht="15">
      <c r="A88" s="458"/>
      <c r="B88" s="147">
        <v>5</v>
      </c>
      <c r="C88" s="148">
        <f t="shared" si="18"/>
        <v>0</v>
      </c>
      <c r="D88" s="148">
        <f t="shared" si="18"/>
        <v>1207211.937560113</v>
      </c>
      <c r="E88" s="148">
        <f t="shared" si="18"/>
        <v>421627.89352</v>
      </c>
      <c r="F88" s="148">
        <f t="shared" si="18"/>
        <v>292065.55532</v>
      </c>
      <c r="G88" s="148">
        <f t="shared" si="17"/>
        <v>493518.488720113</v>
      </c>
      <c r="H88" s="149">
        <f t="shared" si="21"/>
        <v>0.6805831970337529</v>
      </c>
      <c r="I88" s="150">
        <f t="shared" si="19"/>
        <v>335880.39084840065</v>
      </c>
      <c r="J88" s="148">
        <f t="shared" si="20"/>
        <v>821608.159961973</v>
      </c>
      <c r="K88" s="148">
        <f t="shared" si="22"/>
        <v>485727.7691135724</v>
      </c>
    </row>
    <row r="89" spans="1:11" ht="15">
      <c r="A89" s="458"/>
      <c r="B89" s="147">
        <v>6</v>
      </c>
      <c r="C89" s="148">
        <f t="shared" si="18"/>
        <v>0</v>
      </c>
      <c r="D89" s="148">
        <f t="shared" si="18"/>
        <v>1170995.5794333096</v>
      </c>
      <c r="E89" s="148">
        <f t="shared" si="18"/>
        <v>421627.89352</v>
      </c>
      <c r="F89" s="148">
        <f t="shared" si="18"/>
        <v>0</v>
      </c>
      <c r="G89" s="148">
        <f t="shared" si="17"/>
        <v>749367.6859133097</v>
      </c>
      <c r="H89" s="149">
        <f t="shared" si="21"/>
        <v>0.6301696268831045</v>
      </c>
      <c r="I89" s="150">
        <f t="shared" si="19"/>
        <v>472228.7550302458</v>
      </c>
      <c r="J89" s="148">
        <f t="shared" si="20"/>
        <v>737925.8473732535</v>
      </c>
      <c r="K89" s="148">
        <f t="shared" si="22"/>
        <v>265697.09234300774</v>
      </c>
    </row>
    <row r="90" spans="1:11" ht="15">
      <c r="A90" s="458"/>
      <c r="B90" s="147">
        <v>7</v>
      </c>
      <c r="C90" s="148">
        <f t="shared" si="18"/>
        <v>0</v>
      </c>
      <c r="D90" s="148">
        <f t="shared" si="18"/>
        <v>1135865.7120503103</v>
      </c>
      <c r="E90" s="148">
        <f t="shared" si="18"/>
        <v>421627.89352</v>
      </c>
      <c r="F90" s="148">
        <f t="shared" si="18"/>
        <v>0</v>
      </c>
      <c r="G90" s="148">
        <f t="shared" si="17"/>
        <v>714237.8185303104</v>
      </c>
      <c r="H90" s="149">
        <f t="shared" si="21"/>
        <v>0.5834903952621338</v>
      </c>
      <c r="I90" s="150">
        <f t="shared" si="19"/>
        <v>416750.90704541496</v>
      </c>
      <c r="J90" s="148">
        <f t="shared" si="20"/>
        <v>662766.7332889406</v>
      </c>
      <c r="K90" s="148">
        <f t="shared" si="22"/>
        <v>246015.82624352563</v>
      </c>
    </row>
    <row r="91" spans="1:11" ht="15">
      <c r="A91" s="458"/>
      <c r="B91" s="147">
        <v>8</v>
      </c>
      <c r="C91" s="148">
        <f t="shared" si="18"/>
        <v>0</v>
      </c>
      <c r="D91" s="148">
        <f t="shared" si="18"/>
        <v>1101789.7406888008</v>
      </c>
      <c r="E91" s="148">
        <f t="shared" si="18"/>
        <v>421627.89352</v>
      </c>
      <c r="F91" s="148">
        <f t="shared" si="18"/>
        <v>0</v>
      </c>
      <c r="G91" s="148">
        <f t="shared" si="17"/>
        <v>680161.8471688009</v>
      </c>
      <c r="H91" s="149">
        <f t="shared" si="21"/>
        <v>0.5402688845019756</v>
      </c>
      <c r="I91" s="150">
        <f t="shared" si="19"/>
        <v>367470.2824506913</v>
      </c>
      <c r="J91" s="148">
        <f t="shared" si="20"/>
        <v>595262.7141576594</v>
      </c>
      <c r="K91" s="148">
        <f t="shared" si="22"/>
        <v>227792.43170696814</v>
      </c>
    </row>
    <row r="92" spans="1:11" ht="15">
      <c r="A92" s="458"/>
      <c r="B92" s="147">
        <v>9</v>
      </c>
      <c r="C92" s="148">
        <f t="shared" si="18"/>
        <v>0</v>
      </c>
      <c r="D92" s="148">
        <f t="shared" si="18"/>
        <v>1068736.048468137</v>
      </c>
      <c r="E92" s="148">
        <f t="shared" si="18"/>
        <v>421627.89352</v>
      </c>
      <c r="F92" s="148">
        <f t="shared" si="18"/>
        <v>0</v>
      </c>
      <c r="G92" s="148">
        <f t="shared" si="17"/>
        <v>647108.154948137</v>
      </c>
      <c r="H92" s="149">
        <f t="shared" si="21"/>
        <v>0.5002489671314588</v>
      </c>
      <c r="I92" s="150">
        <f t="shared" si="19"/>
        <v>323715.18613514956</v>
      </c>
      <c r="J92" s="148">
        <f t="shared" si="20"/>
        <v>534634.1043823422</v>
      </c>
      <c r="K92" s="148">
        <f t="shared" si="22"/>
        <v>210918.9182471927</v>
      </c>
    </row>
    <row r="93" spans="1:11" ht="15">
      <c r="A93" s="458"/>
      <c r="B93" s="147">
        <v>10</v>
      </c>
      <c r="C93" s="148">
        <f t="shared" si="18"/>
        <v>0</v>
      </c>
      <c r="D93" s="148">
        <f t="shared" si="18"/>
        <v>1036673.9670140927</v>
      </c>
      <c r="E93" s="148">
        <f t="shared" si="18"/>
        <v>421627.89352</v>
      </c>
      <c r="F93" s="148">
        <f t="shared" si="18"/>
        <v>0</v>
      </c>
      <c r="G93" s="148">
        <f t="shared" si="17"/>
        <v>615046.0734940928</v>
      </c>
      <c r="H93" s="149">
        <f t="shared" si="21"/>
        <v>0.4631934880846841</v>
      </c>
      <c r="I93" s="150">
        <f t="shared" si="19"/>
        <v>284885.3361145178</v>
      </c>
      <c r="J93" s="148">
        <f t="shared" si="20"/>
        <v>480180.6307878443</v>
      </c>
      <c r="K93" s="148">
        <f t="shared" si="22"/>
        <v>195295.29467332657</v>
      </c>
    </row>
    <row r="94" spans="1:11" ht="15">
      <c r="A94" s="458"/>
      <c r="B94" s="460" t="s">
        <v>221</v>
      </c>
      <c r="C94" s="461"/>
      <c r="D94" s="461"/>
      <c r="E94" s="461"/>
      <c r="F94" s="461"/>
      <c r="G94" s="461"/>
      <c r="H94" s="461"/>
      <c r="I94" s="462"/>
      <c r="J94" s="150">
        <f>SUM(J84:J93)</f>
        <v>8162317.314082181</v>
      </c>
      <c r="K94" s="150">
        <f>SUM(K84:K93)</f>
        <v>3027932.394966539</v>
      </c>
    </row>
    <row r="95" spans="1:11" ht="15">
      <c r="A95" s="458"/>
      <c r="B95" s="30"/>
      <c r="C95" s="30"/>
      <c r="D95" s="30"/>
      <c r="E95" s="30"/>
      <c r="F95" s="30"/>
      <c r="G95" s="30"/>
      <c r="H95" s="30"/>
      <c r="I95" s="463" t="s">
        <v>224</v>
      </c>
      <c r="J95" s="464" t="s">
        <v>225</v>
      </c>
      <c r="K95" s="464" t="s">
        <v>198</v>
      </c>
    </row>
    <row r="96" spans="2:11" ht="15">
      <c r="B96" s="30"/>
      <c r="C96" s="30"/>
      <c r="D96" s="30"/>
      <c r="E96" s="30"/>
      <c r="F96" s="30"/>
      <c r="G96" s="30"/>
      <c r="H96" s="30"/>
      <c r="I96" s="463"/>
      <c r="J96" s="464"/>
      <c r="K96" s="464"/>
    </row>
    <row r="97" spans="2:11" ht="15">
      <c r="B97" s="30"/>
      <c r="C97" s="30"/>
      <c r="D97" s="30"/>
      <c r="E97" s="30"/>
      <c r="F97" s="30"/>
      <c r="G97" s="30"/>
      <c r="H97" s="30"/>
      <c r="I97" s="176">
        <f>SUM(I83:I93)</f>
        <v>-131851.526353241</v>
      </c>
      <c r="J97" s="177">
        <f>IRR(G83:G93)</f>
        <v>0.07393958648105081</v>
      </c>
      <c r="K97" s="178">
        <f>J94/K94</f>
        <v>2.695673565120129</v>
      </c>
    </row>
    <row r="100" spans="1:11" ht="51">
      <c r="A100" s="465">
        <f>E26</f>
        <v>0.4</v>
      </c>
      <c r="B100" s="46" t="s">
        <v>210</v>
      </c>
      <c r="C100" s="175" t="s">
        <v>211</v>
      </c>
      <c r="D100" s="46" t="s">
        <v>212</v>
      </c>
      <c r="E100" s="175" t="s">
        <v>213</v>
      </c>
      <c r="F100" s="175" t="s">
        <v>214</v>
      </c>
      <c r="G100" s="175" t="s">
        <v>215</v>
      </c>
      <c r="H100" s="175" t="s">
        <v>216</v>
      </c>
      <c r="I100" s="175" t="s">
        <v>215</v>
      </c>
      <c r="J100" s="175" t="s">
        <v>217</v>
      </c>
      <c r="K100" s="175" t="s">
        <v>218</v>
      </c>
    </row>
    <row r="101" spans="1:11" ht="15">
      <c r="A101" s="466"/>
      <c r="B101" s="147">
        <v>0</v>
      </c>
      <c r="C101" s="148">
        <f>E3*(1+A100)</f>
        <v>5671331.556658798</v>
      </c>
      <c r="D101" s="148">
        <f>D83</f>
        <v>0</v>
      </c>
      <c r="E101" s="148">
        <f>E83</f>
        <v>0</v>
      </c>
      <c r="F101" s="148">
        <f>F83</f>
        <v>0</v>
      </c>
      <c r="G101" s="148">
        <f aca="true" t="shared" si="23" ref="G101:G111">D101-C101-E101-F101</f>
        <v>-5671331.556658798</v>
      </c>
      <c r="H101" s="149">
        <v>1</v>
      </c>
      <c r="I101" s="150">
        <f>G101*H101</f>
        <v>-5671331.556658798</v>
      </c>
      <c r="J101" s="147"/>
      <c r="K101" s="151"/>
    </row>
    <row r="102" spans="1:11" ht="15">
      <c r="A102" s="466"/>
      <c r="B102" s="147">
        <v>1</v>
      </c>
      <c r="C102" s="148">
        <f aca="true" t="shared" si="24" ref="C102:F111">C84</f>
        <v>0</v>
      </c>
      <c r="D102" s="148">
        <f t="shared" si="24"/>
        <v>1363630.1164132499</v>
      </c>
      <c r="E102" s="148">
        <f t="shared" si="24"/>
        <v>421627.89352</v>
      </c>
      <c r="F102" s="148">
        <f t="shared" si="24"/>
        <v>0</v>
      </c>
      <c r="G102" s="148">
        <f t="shared" si="23"/>
        <v>942002.22289325</v>
      </c>
      <c r="H102" s="149">
        <f>H101/(1+0.08)</f>
        <v>0.9259259259259258</v>
      </c>
      <c r="I102" s="150">
        <f aca="true" t="shared" si="25" ref="I102:I111">G102*H102</f>
        <v>872224.2804567128</v>
      </c>
      <c r="J102" s="148">
        <f aca="true" t="shared" si="26" ref="J102:J111">D102*H102</f>
        <v>1262620.4781604165</v>
      </c>
      <c r="K102" s="148">
        <f>(E102+F102)*H102</f>
        <v>390396.19770370366</v>
      </c>
    </row>
    <row r="103" spans="1:11" ht="15">
      <c r="A103" s="466"/>
      <c r="B103" s="147">
        <v>2</v>
      </c>
      <c r="C103" s="148">
        <f t="shared" si="24"/>
        <v>0</v>
      </c>
      <c r="D103" s="148">
        <f t="shared" si="24"/>
        <v>1322721.2129208522</v>
      </c>
      <c r="E103" s="148">
        <f t="shared" si="24"/>
        <v>421627.89352</v>
      </c>
      <c r="F103" s="148">
        <f t="shared" si="24"/>
        <v>0</v>
      </c>
      <c r="G103" s="148">
        <f t="shared" si="23"/>
        <v>901093.3194008523</v>
      </c>
      <c r="H103" s="149">
        <f aca="true" t="shared" si="27" ref="H103:H111">H102/(1+0.08)</f>
        <v>0.8573388203017831</v>
      </c>
      <c r="I103" s="150">
        <f t="shared" si="25"/>
        <v>772542.2834369446</v>
      </c>
      <c r="J103" s="148">
        <f t="shared" si="26"/>
        <v>1134020.244273707</v>
      </c>
      <c r="K103" s="148">
        <f aca="true" t="shared" si="28" ref="K103:K111">(E103+F103)*H103</f>
        <v>361477.9608367626</v>
      </c>
    </row>
    <row r="104" spans="1:11" ht="15">
      <c r="A104" s="466"/>
      <c r="B104" s="147">
        <v>3</v>
      </c>
      <c r="C104" s="148">
        <f t="shared" si="24"/>
        <v>0</v>
      </c>
      <c r="D104" s="148">
        <f t="shared" si="24"/>
        <v>1283039.5765332268</v>
      </c>
      <c r="E104" s="148">
        <f t="shared" si="24"/>
        <v>421627.89352</v>
      </c>
      <c r="F104" s="148">
        <f t="shared" si="24"/>
        <v>0</v>
      </c>
      <c r="G104" s="148">
        <f t="shared" si="23"/>
        <v>861411.6830132268</v>
      </c>
      <c r="H104" s="149">
        <f t="shared" si="27"/>
        <v>0.7938322410201695</v>
      </c>
      <c r="I104" s="150">
        <f t="shared" si="25"/>
        <v>683816.3667673457</v>
      </c>
      <c r="J104" s="148">
        <f t="shared" si="26"/>
        <v>1018518.1823569407</v>
      </c>
      <c r="K104" s="148">
        <f t="shared" si="28"/>
        <v>334701.815589595</v>
      </c>
    </row>
    <row r="105" spans="1:11" ht="15">
      <c r="A105" s="466"/>
      <c r="B105" s="147">
        <v>4</v>
      </c>
      <c r="C105" s="148">
        <f t="shared" si="24"/>
        <v>0</v>
      </c>
      <c r="D105" s="148">
        <f t="shared" si="24"/>
        <v>1244548.38923723</v>
      </c>
      <c r="E105" s="148">
        <f t="shared" si="24"/>
        <v>421627.89352</v>
      </c>
      <c r="F105" s="148">
        <f t="shared" si="24"/>
        <v>0</v>
      </c>
      <c r="G105" s="148">
        <f t="shared" si="23"/>
        <v>822920.49571723</v>
      </c>
      <c r="H105" s="149">
        <f t="shared" si="27"/>
        <v>0.7350298527964532</v>
      </c>
      <c r="I105" s="150">
        <f t="shared" si="25"/>
        <v>604871.1308302198</v>
      </c>
      <c r="J105" s="148">
        <f t="shared" si="26"/>
        <v>914780.219339104</v>
      </c>
      <c r="K105" s="148">
        <f t="shared" si="28"/>
        <v>309909.0885088842</v>
      </c>
    </row>
    <row r="106" spans="1:11" ht="15">
      <c r="A106" s="466"/>
      <c r="B106" s="147">
        <v>5</v>
      </c>
      <c r="C106" s="148">
        <f t="shared" si="24"/>
        <v>0</v>
      </c>
      <c r="D106" s="148">
        <f t="shared" si="24"/>
        <v>1207211.937560113</v>
      </c>
      <c r="E106" s="148">
        <f t="shared" si="24"/>
        <v>421627.89352</v>
      </c>
      <c r="F106" s="148">
        <f t="shared" si="24"/>
        <v>292065.55532</v>
      </c>
      <c r="G106" s="148">
        <f t="shared" si="23"/>
        <v>493518.488720113</v>
      </c>
      <c r="H106" s="149">
        <f t="shared" si="27"/>
        <v>0.6805831970337529</v>
      </c>
      <c r="I106" s="150">
        <f t="shared" si="25"/>
        <v>335880.39084840065</v>
      </c>
      <c r="J106" s="148">
        <f t="shared" si="26"/>
        <v>821608.159961973</v>
      </c>
      <c r="K106" s="148">
        <f t="shared" si="28"/>
        <v>485727.7691135724</v>
      </c>
    </row>
    <row r="107" spans="1:11" ht="15">
      <c r="A107" s="466"/>
      <c r="B107" s="147">
        <v>6</v>
      </c>
      <c r="C107" s="148">
        <f t="shared" si="24"/>
        <v>0</v>
      </c>
      <c r="D107" s="148">
        <f t="shared" si="24"/>
        <v>1170995.5794333096</v>
      </c>
      <c r="E107" s="148">
        <f t="shared" si="24"/>
        <v>421627.89352</v>
      </c>
      <c r="F107" s="148">
        <f t="shared" si="24"/>
        <v>0</v>
      </c>
      <c r="G107" s="148">
        <f t="shared" si="23"/>
        <v>749367.6859133097</v>
      </c>
      <c r="H107" s="149">
        <f t="shared" si="27"/>
        <v>0.6301696268831045</v>
      </c>
      <c r="I107" s="150">
        <f t="shared" si="25"/>
        <v>472228.7550302458</v>
      </c>
      <c r="J107" s="148">
        <f t="shared" si="26"/>
        <v>737925.8473732535</v>
      </c>
      <c r="K107" s="148">
        <f t="shared" si="28"/>
        <v>265697.09234300774</v>
      </c>
    </row>
    <row r="108" spans="1:11" ht="15">
      <c r="A108" s="466"/>
      <c r="B108" s="147">
        <v>7</v>
      </c>
      <c r="C108" s="148">
        <f t="shared" si="24"/>
        <v>0</v>
      </c>
      <c r="D108" s="148">
        <f t="shared" si="24"/>
        <v>1135865.7120503103</v>
      </c>
      <c r="E108" s="148">
        <f t="shared" si="24"/>
        <v>421627.89352</v>
      </c>
      <c r="F108" s="148">
        <f t="shared" si="24"/>
        <v>0</v>
      </c>
      <c r="G108" s="148">
        <f t="shared" si="23"/>
        <v>714237.8185303104</v>
      </c>
      <c r="H108" s="149">
        <f t="shared" si="27"/>
        <v>0.5834903952621338</v>
      </c>
      <c r="I108" s="150">
        <f t="shared" si="25"/>
        <v>416750.90704541496</v>
      </c>
      <c r="J108" s="148">
        <f t="shared" si="26"/>
        <v>662766.7332889406</v>
      </c>
      <c r="K108" s="148">
        <f t="shared" si="28"/>
        <v>246015.82624352563</v>
      </c>
    </row>
    <row r="109" spans="1:11" ht="15">
      <c r="A109" s="466"/>
      <c r="B109" s="147">
        <v>8</v>
      </c>
      <c r="C109" s="148">
        <f t="shared" si="24"/>
        <v>0</v>
      </c>
      <c r="D109" s="148">
        <f t="shared" si="24"/>
        <v>1101789.7406888008</v>
      </c>
      <c r="E109" s="148">
        <f t="shared" si="24"/>
        <v>421627.89352</v>
      </c>
      <c r="F109" s="148">
        <f t="shared" si="24"/>
        <v>0</v>
      </c>
      <c r="G109" s="148">
        <f t="shared" si="23"/>
        <v>680161.8471688009</v>
      </c>
      <c r="H109" s="149">
        <f t="shared" si="27"/>
        <v>0.5402688845019756</v>
      </c>
      <c r="I109" s="150">
        <f t="shared" si="25"/>
        <v>367470.2824506913</v>
      </c>
      <c r="J109" s="148">
        <f t="shared" si="26"/>
        <v>595262.7141576594</v>
      </c>
      <c r="K109" s="148">
        <f t="shared" si="28"/>
        <v>227792.43170696814</v>
      </c>
    </row>
    <row r="110" spans="1:11" ht="15">
      <c r="A110" s="466"/>
      <c r="B110" s="147">
        <v>9</v>
      </c>
      <c r="C110" s="148">
        <f t="shared" si="24"/>
        <v>0</v>
      </c>
      <c r="D110" s="148">
        <f t="shared" si="24"/>
        <v>1068736.048468137</v>
      </c>
      <c r="E110" s="148">
        <f t="shared" si="24"/>
        <v>421627.89352</v>
      </c>
      <c r="F110" s="148">
        <f t="shared" si="24"/>
        <v>0</v>
      </c>
      <c r="G110" s="148">
        <f t="shared" si="23"/>
        <v>647108.154948137</v>
      </c>
      <c r="H110" s="149">
        <f t="shared" si="27"/>
        <v>0.5002489671314588</v>
      </c>
      <c r="I110" s="150">
        <f t="shared" si="25"/>
        <v>323715.18613514956</v>
      </c>
      <c r="J110" s="148">
        <f t="shared" si="26"/>
        <v>534634.1043823422</v>
      </c>
      <c r="K110" s="148">
        <f t="shared" si="28"/>
        <v>210918.9182471927</v>
      </c>
    </row>
    <row r="111" spans="1:11" ht="15">
      <c r="A111" s="466"/>
      <c r="B111" s="147">
        <v>10</v>
      </c>
      <c r="C111" s="148">
        <f t="shared" si="24"/>
        <v>0</v>
      </c>
      <c r="D111" s="148">
        <f t="shared" si="24"/>
        <v>1036673.9670140927</v>
      </c>
      <c r="E111" s="148">
        <f t="shared" si="24"/>
        <v>421627.89352</v>
      </c>
      <c r="F111" s="148">
        <f t="shared" si="24"/>
        <v>0</v>
      </c>
      <c r="G111" s="148">
        <f t="shared" si="23"/>
        <v>615046.0734940928</v>
      </c>
      <c r="H111" s="149">
        <f t="shared" si="27"/>
        <v>0.4631934880846841</v>
      </c>
      <c r="I111" s="150">
        <f t="shared" si="25"/>
        <v>284885.3361145178</v>
      </c>
      <c r="J111" s="148">
        <f t="shared" si="26"/>
        <v>480180.6307878443</v>
      </c>
      <c r="K111" s="148">
        <f t="shared" si="28"/>
        <v>195295.29467332657</v>
      </c>
    </row>
    <row r="112" spans="1:11" ht="15">
      <c r="A112" s="466"/>
      <c r="B112" s="460" t="s">
        <v>221</v>
      </c>
      <c r="C112" s="461"/>
      <c r="D112" s="461"/>
      <c r="E112" s="461"/>
      <c r="F112" s="461"/>
      <c r="G112" s="461"/>
      <c r="H112" s="461"/>
      <c r="I112" s="462"/>
      <c r="J112" s="150">
        <f>SUM(J102:J111)</f>
        <v>8162317.314082181</v>
      </c>
      <c r="K112" s="150">
        <f>SUM(K102:K111)</f>
        <v>3027932.394966539</v>
      </c>
    </row>
    <row r="113" spans="2:11" ht="15">
      <c r="B113" s="30"/>
      <c r="C113" s="30"/>
      <c r="D113" s="30"/>
      <c r="E113" s="30"/>
      <c r="F113" s="30"/>
      <c r="G113" s="30"/>
      <c r="H113" s="30"/>
      <c r="I113" s="463" t="s">
        <v>224</v>
      </c>
      <c r="J113" s="464" t="s">
        <v>225</v>
      </c>
      <c r="K113" s="464" t="s">
        <v>198</v>
      </c>
    </row>
    <row r="114" spans="2:11" ht="15">
      <c r="B114" s="30"/>
      <c r="C114" s="30"/>
      <c r="D114" s="30"/>
      <c r="E114" s="30"/>
      <c r="F114" s="30"/>
      <c r="G114" s="30"/>
      <c r="H114" s="30"/>
      <c r="I114" s="463"/>
      <c r="J114" s="464"/>
      <c r="K114" s="464"/>
    </row>
    <row r="115" spans="2:11" ht="15">
      <c r="B115" s="30"/>
      <c r="C115" s="30"/>
      <c r="D115" s="30"/>
      <c r="E115" s="30"/>
      <c r="F115" s="30"/>
      <c r="G115" s="30"/>
      <c r="H115" s="30"/>
      <c r="I115" s="176">
        <f>SUM(I101:I111)</f>
        <v>-536946.6375431549</v>
      </c>
      <c r="J115" s="177">
        <f>IRR(G101:G111)</f>
        <v>0.05675035899008796</v>
      </c>
      <c r="K115" s="178">
        <f>J112/K112</f>
        <v>2.695673565120129</v>
      </c>
    </row>
    <row r="117" spans="1:11" ht="51">
      <c r="A117" s="457">
        <f>E27</f>
        <v>0.5</v>
      </c>
      <c r="B117" s="46" t="s">
        <v>210</v>
      </c>
      <c r="C117" s="175" t="s">
        <v>211</v>
      </c>
      <c r="D117" s="46" t="s">
        <v>212</v>
      </c>
      <c r="E117" s="175" t="s">
        <v>213</v>
      </c>
      <c r="F117" s="175" t="s">
        <v>214</v>
      </c>
      <c r="G117" s="175" t="s">
        <v>215</v>
      </c>
      <c r="H117" s="175" t="s">
        <v>216</v>
      </c>
      <c r="I117" s="175" t="s">
        <v>215</v>
      </c>
      <c r="J117" s="175" t="s">
        <v>217</v>
      </c>
      <c r="K117" s="175" t="s">
        <v>218</v>
      </c>
    </row>
    <row r="118" spans="1:11" ht="15">
      <c r="A118" s="458"/>
      <c r="B118" s="147">
        <v>0</v>
      </c>
      <c r="C118" s="148">
        <f>E3*(1+A117)</f>
        <v>6076426.667848713</v>
      </c>
      <c r="D118" s="148">
        <f>D101</f>
        <v>0</v>
      </c>
      <c r="E118" s="148">
        <f>E101</f>
        <v>0</v>
      </c>
      <c r="F118" s="148">
        <f>F101</f>
        <v>0</v>
      </c>
      <c r="G118" s="148">
        <f aca="true" t="shared" si="29" ref="G118:G128">D118-C118-E118-F118</f>
        <v>-6076426.667848713</v>
      </c>
      <c r="H118" s="149">
        <v>1</v>
      </c>
      <c r="I118" s="150">
        <f>G118*H118</f>
        <v>-6076426.667848713</v>
      </c>
      <c r="J118" s="147"/>
      <c r="K118" s="151"/>
    </row>
    <row r="119" spans="1:11" ht="15">
      <c r="A119" s="458"/>
      <c r="B119" s="147">
        <v>1</v>
      </c>
      <c r="C119" s="148">
        <f aca="true" t="shared" si="30" ref="C119:F128">C102</f>
        <v>0</v>
      </c>
      <c r="D119" s="148">
        <f t="shared" si="30"/>
        <v>1363630.1164132499</v>
      </c>
      <c r="E119" s="148">
        <f t="shared" si="30"/>
        <v>421627.89352</v>
      </c>
      <c r="F119" s="148">
        <f t="shared" si="30"/>
        <v>0</v>
      </c>
      <c r="G119" s="148">
        <f t="shared" si="29"/>
        <v>942002.22289325</v>
      </c>
      <c r="H119" s="149">
        <f>H118/(1+0.08)</f>
        <v>0.9259259259259258</v>
      </c>
      <c r="I119" s="150">
        <f aca="true" t="shared" si="31" ref="I119:I128">G119*H119</f>
        <v>872224.2804567128</v>
      </c>
      <c r="J119" s="148">
        <f aca="true" t="shared" si="32" ref="J119:J128">D119*H119</f>
        <v>1262620.4781604165</v>
      </c>
      <c r="K119" s="148">
        <f>(E119+F119)*H119</f>
        <v>390396.19770370366</v>
      </c>
    </row>
    <row r="120" spans="1:11" ht="15">
      <c r="A120" s="458"/>
      <c r="B120" s="147">
        <v>2</v>
      </c>
      <c r="C120" s="148">
        <f t="shared" si="30"/>
        <v>0</v>
      </c>
      <c r="D120" s="148">
        <f t="shared" si="30"/>
        <v>1322721.2129208522</v>
      </c>
      <c r="E120" s="148">
        <f t="shared" si="30"/>
        <v>421627.89352</v>
      </c>
      <c r="F120" s="148">
        <f t="shared" si="30"/>
        <v>0</v>
      </c>
      <c r="G120" s="148">
        <f t="shared" si="29"/>
        <v>901093.3194008523</v>
      </c>
      <c r="H120" s="149">
        <f aca="true" t="shared" si="33" ref="H120:H128">H119/(1+0.08)</f>
        <v>0.8573388203017831</v>
      </c>
      <c r="I120" s="150">
        <f t="shared" si="31"/>
        <v>772542.2834369446</v>
      </c>
      <c r="J120" s="148">
        <f t="shared" si="32"/>
        <v>1134020.244273707</v>
      </c>
      <c r="K120" s="148">
        <f aca="true" t="shared" si="34" ref="K120:K128">(E120+F120)*H120</f>
        <v>361477.9608367626</v>
      </c>
    </row>
    <row r="121" spans="1:11" ht="15">
      <c r="A121" s="458"/>
      <c r="B121" s="147">
        <v>3</v>
      </c>
      <c r="C121" s="148">
        <f t="shared" si="30"/>
        <v>0</v>
      </c>
      <c r="D121" s="148">
        <f t="shared" si="30"/>
        <v>1283039.5765332268</v>
      </c>
      <c r="E121" s="148">
        <f t="shared" si="30"/>
        <v>421627.89352</v>
      </c>
      <c r="F121" s="148">
        <f t="shared" si="30"/>
        <v>0</v>
      </c>
      <c r="G121" s="148">
        <f t="shared" si="29"/>
        <v>861411.6830132268</v>
      </c>
      <c r="H121" s="149">
        <f t="shared" si="33"/>
        <v>0.7938322410201695</v>
      </c>
      <c r="I121" s="150">
        <f t="shared" si="31"/>
        <v>683816.3667673457</v>
      </c>
      <c r="J121" s="148">
        <f t="shared" si="32"/>
        <v>1018518.1823569407</v>
      </c>
      <c r="K121" s="148">
        <f t="shared" si="34"/>
        <v>334701.815589595</v>
      </c>
    </row>
    <row r="122" spans="1:11" ht="15">
      <c r="A122" s="458"/>
      <c r="B122" s="147">
        <v>4</v>
      </c>
      <c r="C122" s="148">
        <f t="shared" si="30"/>
        <v>0</v>
      </c>
      <c r="D122" s="148">
        <f t="shared" si="30"/>
        <v>1244548.38923723</v>
      </c>
      <c r="E122" s="148">
        <f t="shared" si="30"/>
        <v>421627.89352</v>
      </c>
      <c r="F122" s="148">
        <f t="shared" si="30"/>
        <v>0</v>
      </c>
      <c r="G122" s="148">
        <f t="shared" si="29"/>
        <v>822920.49571723</v>
      </c>
      <c r="H122" s="149">
        <f t="shared" si="33"/>
        <v>0.7350298527964532</v>
      </c>
      <c r="I122" s="150">
        <f t="shared" si="31"/>
        <v>604871.1308302198</v>
      </c>
      <c r="J122" s="148">
        <f t="shared" si="32"/>
        <v>914780.219339104</v>
      </c>
      <c r="K122" s="148">
        <f t="shared" si="34"/>
        <v>309909.0885088842</v>
      </c>
    </row>
    <row r="123" spans="1:11" ht="15">
      <c r="A123" s="458"/>
      <c r="B123" s="147">
        <v>5</v>
      </c>
      <c r="C123" s="148">
        <f t="shared" si="30"/>
        <v>0</v>
      </c>
      <c r="D123" s="148">
        <f t="shared" si="30"/>
        <v>1207211.937560113</v>
      </c>
      <c r="E123" s="148">
        <f t="shared" si="30"/>
        <v>421627.89352</v>
      </c>
      <c r="F123" s="148">
        <f t="shared" si="30"/>
        <v>292065.55532</v>
      </c>
      <c r="G123" s="148">
        <f t="shared" si="29"/>
        <v>493518.488720113</v>
      </c>
      <c r="H123" s="149">
        <f t="shared" si="33"/>
        <v>0.6805831970337529</v>
      </c>
      <c r="I123" s="150">
        <f t="shared" si="31"/>
        <v>335880.39084840065</v>
      </c>
      <c r="J123" s="148">
        <f t="shared" si="32"/>
        <v>821608.159961973</v>
      </c>
      <c r="K123" s="148">
        <f t="shared" si="34"/>
        <v>485727.7691135724</v>
      </c>
    </row>
    <row r="124" spans="1:11" ht="15">
      <c r="A124" s="458"/>
      <c r="B124" s="147">
        <v>6</v>
      </c>
      <c r="C124" s="148">
        <f t="shared" si="30"/>
        <v>0</v>
      </c>
      <c r="D124" s="148">
        <f t="shared" si="30"/>
        <v>1170995.5794333096</v>
      </c>
      <c r="E124" s="148">
        <f t="shared" si="30"/>
        <v>421627.89352</v>
      </c>
      <c r="F124" s="148">
        <f t="shared" si="30"/>
        <v>0</v>
      </c>
      <c r="G124" s="148">
        <f t="shared" si="29"/>
        <v>749367.6859133097</v>
      </c>
      <c r="H124" s="149">
        <f t="shared" si="33"/>
        <v>0.6301696268831045</v>
      </c>
      <c r="I124" s="150">
        <f t="shared" si="31"/>
        <v>472228.7550302458</v>
      </c>
      <c r="J124" s="148">
        <f t="shared" si="32"/>
        <v>737925.8473732535</v>
      </c>
      <c r="K124" s="148">
        <f t="shared" si="34"/>
        <v>265697.09234300774</v>
      </c>
    </row>
    <row r="125" spans="1:11" ht="15">
      <c r="A125" s="458"/>
      <c r="B125" s="147">
        <v>7</v>
      </c>
      <c r="C125" s="148">
        <f t="shared" si="30"/>
        <v>0</v>
      </c>
      <c r="D125" s="148">
        <f t="shared" si="30"/>
        <v>1135865.7120503103</v>
      </c>
      <c r="E125" s="148">
        <f t="shared" si="30"/>
        <v>421627.89352</v>
      </c>
      <c r="F125" s="148">
        <f t="shared" si="30"/>
        <v>0</v>
      </c>
      <c r="G125" s="148">
        <f t="shared" si="29"/>
        <v>714237.8185303104</v>
      </c>
      <c r="H125" s="149">
        <f t="shared" si="33"/>
        <v>0.5834903952621338</v>
      </c>
      <c r="I125" s="150">
        <f t="shared" si="31"/>
        <v>416750.90704541496</v>
      </c>
      <c r="J125" s="148">
        <f t="shared" si="32"/>
        <v>662766.7332889406</v>
      </c>
      <c r="K125" s="148">
        <f t="shared" si="34"/>
        <v>246015.82624352563</v>
      </c>
    </row>
    <row r="126" spans="1:11" ht="15">
      <c r="A126" s="458"/>
      <c r="B126" s="147">
        <v>8</v>
      </c>
      <c r="C126" s="148">
        <f t="shared" si="30"/>
        <v>0</v>
      </c>
      <c r="D126" s="148">
        <f t="shared" si="30"/>
        <v>1101789.7406888008</v>
      </c>
      <c r="E126" s="148">
        <f t="shared" si="30"/>
        <v>421627.89352</v>
      </c>
      <c r="F126" s="148">
        <f t="shared" si="30"/>
        <v>0</v>
      </c>
      <c r="G126" s="148">
        <f t="shared" si="29"/>
        <v>680161.8471688009</v>
      </c>
      <c r="H126" s="149">
        <f t="shared" si="33"/>
        <v>0.5402688845019756</v>
      </c>
      <c r="I126" s="150">
        <f t="shared" si="31"/>
        <v>367470.2824506913</v>
      </c>
      <c r="J126" s="148">
        <f t="shared" si="32"/>
        <v>595262.7141576594</v>
      </c>
      <c r="K126" s="148">
        <f t="shared" si="34"/>
        <v>227792.43170696814</v>
      </c>
    </row>
    <row r="127" spans="1:11" ht="15">
      <c r="A127" s="458"/>
      <c r="B127" s="147">
        <v>9</v>
      </c>
      <c r="C127" s="148">
        <f t="shared" si="30"/>
        <v>0</v>
      </c>
      <c r="D127" s="148">
        <f t="shared" si="30"/>
        <v>1068736.048468137</v>
      </c>
      <c r="E127" s="148">
        <f t="shared" si="30"/>
        <v>421627.89352</v>
      </c>
      <c r="F127" s="148">
        <f t="shared" si="30"/>
        <v>0</v>
      </c>
      <c r="G127" s="148">
        <f t="shared" si="29"/>
        <v>647108.154948137</v>
      </c>
      <c r="H127" s="149">
        <f t="shared" si="33"/>
        <v>0.5002489671314588</v>
      </c>
      <c r="I127" s="150">
        <f t="shared" si="31"/>
        <v>323715.18613514956</v>
      </c>
      <c r="J127" s="148">
        <f t="shared" si="32"/>
        <v>534634.1043823422</v>
      </c>
      <c r="K127" s="148">
        <f t="shared" si="34"/>
        <v>210918.9182471927</v>
      </c>
    </row>
    <row r="128" spans="1:11" ht="15">
      <c r="A128" s="458"/>
      <c r="B128" s="147">
        <v>10</v>
      </c>
      <c r="C128" s="148">
        <f t="shared" si="30"/>
        <v>0</v>
      </c>
      <c r="D128" s="148">
        <f t="shared" si="30"/>
        <v>1036673.9670140927</v>
      </c>
      <c r="E128" s="148">
        <f t="shared" si="30"/>
        <v>421627.89352</v>
      </c>
      <c r="F128" s="148">
        <f t="shared" si="30"/>
        <v>0</v>
      </c>
      <c r="G128" s="148">
        <f t="shared" si="29"/>
        <v>615046.0734940928</v>
      </c>
      <c r="H128" s="149">
        <f t="shared" si="33"/>
        <v>0.4631934880846841</v>
      </c>
      <c r="I128" s="150">
        <f t="shared" si="31"/>
        <v>284885.3361145178</v>
      </c>
      <c r="J128" s="148">
        <f t="shared" si="32"/>
        <v>480180.6307878443</v>
      </c>
      <c r="K128" s="148">
        <f t="shared" si="34"/>
        <v>195295.29467332657</v>
      </c>
    </row>
    <row r="129" spans="1:11" ht="15">
      <c r="A129" s="458"/>
      <c r="B129" s="460" t="s">
        <v>221</v>
      </c>
      <c r="C129" s="461"/>
      <c r="D129" s="461"/>
      <c r="E129" s="461"/>
      <c r="F129" s="461"/>
      <c r="G129" s="461"/>
      <c r="H129" s="461"/>
      <c r="I129" s="462"/>
      <c r="J129" s="150">
        <f>SUM(J119:J128)</f>
        <v>8162317.314082181</v>
      </c>
      <c r="K129" s="150">
        <f>SUM(K119:K128)</f>
        <v>3027932.394966539</v>
      </c>
    </row>
    <row r="130" spans="2:11" ht="15">
      <c r="B130" s="30"/>
      <c r="C130" s="30"/>
      <c r="D130" s="30"/>
      <c r="E130" s="30"/>
      <c r="F130" s="30"/>
      <c r="G130" s="30"/>
      <c r="H130" s="30"/>
      <c r="I130" s="463" t="s">
        <v>224</v>
      </c>
      <c r="J130" s="464" t="s">
        <v>225</v>
      </c>
      <c r="K130" s="464" t="s">
        <v>198</v>
      </c>
    </row>
    <row r="131" spans="2:11" ht="15">
      <c r="B131" s="30"/>
      <c r="C131" s="30"/>
      <c r="D131" s="30"/>
      <c r="E131" s="30"/>
      <c r="F131" s="30"/>
      <c r="G131" s="30"/>
      <c r="H131" s="30"/>
      <c r="I131" s="463"/>
      <c r="J131" s="464"/>
      <c r="K131" s="464"/>
    </row>
    <row r="132" spans="2:11" ht="15">
      <c r="B132" s="30"/>
      <c r="C132" s="30"/>
      <c r="D132" s="30"/>
      <c r="E132" s="30"/>
      <c r="F132" s="30"/>
      <c r="G132" s="30"/>
      <c r="H132" s="30"/>
      <c r="I132" s="176">
        <f>SUM(I118:I128)</f>
        <v>-942041.7487330695</v>
      </c>
      <c r="J132" s="177">
        <f>IRR(G118:G128)</f>
        <v>0.04140833810583078</v>
      </c>
      <c r="K132" s="178">
        <f>J129/K129</f>
        <v>2.695673565120129</v>
      </c>
    </row>
    <row r="136" spans="1:11" ht="51">
      <c r="A136" s="457">
        <f>E28</f>
        <v>0.6</v>
      </c>
      <c r="B136" s="46" t="s">
        <v>210</v>
      </c>
      <c r="C136" s="175" t="s">
        <v>211</v>
      </c>
      <c r="D136" s="46" t="s">
        <v>212</v>
      </c>
      <c r="E136" s="175" t="s">
        <v>213</v>
      </c>
      <c r="F136" s="175" t="s">
        <v>214</v>
      </c>
      <c r="G136" s="175" t="s">
        <v>215</v>
      </c>
      <c r="H136" s="175" t="s">
        <v>216</v>
      </c>
      <c r="I136" s="175" t="s">
        <v>215</v>
      </c>
      <c r="J136" s="175" t="s">
        <v>217</v>
      </c>
      <c r="K136" s="175" t="s">
        <v>218</v>
      </c>
    </row>
    <row r="137" spans="1:11" ht="15">
      <c r="A137" s="458"/>
      <c r="B137" s="147">
        <v>0</v>
      </c>
      <c r="C137" s="148">
        <f>E3*(1+A136)</f>
        <v>6481521.779038627</v>
      </c>
      <c r="D137" s="148">
        <f>D118</f>
        <v>0</v>
      </c>
      <c r="E137" s="148">
        <f>E118</f>
        <v>0</v>
      </c>
      <c r="F137" s="148">
        <f>F118</f>
        <v>0</v>
      </c>
      <c r="G137" s="148">
        <f aca="true" t="shared" si="35" ref="G137:G147">D137-C137-E137-F137</f>
        <v>-6481521.779038627</v>
      </c>
      <c r="H137" s="149">
        <v>1</v>
      </c>
      <c r="I137" s="150">
        <f>G137*H137</f>
        <v>-6481521.779038627</v>
      </c>
      <c r="J137" s="147"/>
      <c r="K137" s="151"/>
    </row>
    <row r="138" spans="1:11" ht="15">
      <c r="A138" s="458"/>
      <c r="B138" s="147">
        <v>1</v>
      </c>
      <c r="C138" s="148">
        <f aca="true" t="shared" si="36" ref="C138:F147">C119</f>
        <v>0</v>
      </c>
      <c r="D138" s="148">
        <f t="shared" si="36"/>
        <v>1363630.1164132499</v>
      </c>
      <c r="E138" s="148">
        <f t="shared" si="36"/>
        <v>421627.89352</v>
      </c>
      <c r="F138" s="148">
        <f t="shared" si="36"/>
        <v>0</v>
      </c>
      <c r="G138" s="148">
        <f t="shared" si="35"/>
        <v>942002.22289325</v>
      </c>
      <c r="H138" s="149">
        <f>H137/(1+0.08)</f>
        <v>0.9259259259259258</v>
      </c>
      <c r="I138" s="150">
        <f aca="true" t="shared" si="37" ref="I138:I147">G138*H138</f>
        <v>872224.2804567128</v>
      </c>
      <c r="J138" s="148">
        <f aca="true" t="shared" si="38" ref="J138:J147">D138*H138</f>
        <v>1262620.4781604165</v>
      </c>
      <c r="K138" s="148">
        <f>(E138+F138)*H138</f>
        <v>390396.19770370366</v>
      </c>
    </row>
    <row r="139" spans="1:11" ht="15">
      <c r="A139" s="458"/>
      <c r="B139" s="147">
        <v>2</v>
      </c>
      <c r="C139" s="148">
        <f t="shared" si="36"/>
        <v>0</v>
      </c>
      <c r="D139" s="148">
        <f t="shared" si="36"/>
        <v>1322721.2129208522</v>
      </c>
      <c r="E139" s="148">
        <f t="shared" si="36"/>
        <v>421627.89352</v>
      </c>
      <c r="F139" s="148">
        <f t="shared" si="36"/>
        <v>0</v>
      </c>
      <c r="G139" s="148">
        <f t="shared" si="35"/>
        <v>901093.3194008523</v>
      </c>
      <c r="H139" s="149">
        <f aca="true" t="shared" si="39" ref="H139:H147">H138/(1+0.08)</f>
        <v>0.8573388203017831</v>
      </c>
      <c r="I139" s="150">
        <f t="shared" si="37"/>
        <v>772542.2834369446</v>
      </c>
      <c r="J139" s="148">
        <f t="shared" si="38"/>
        <v>1134020.244273707</v>
      </c>
      <c r="K139" s="148">
        <f aca="true" t="shared" si="40" ref="K139:K147">(E139+F139)*H139</f>
        <v>361477.9608367626</v>
      </c>
    </row>
    <row r="140" spans="1:11" ht="15">
      <c r="A140" s="458"/>
      <c r="B140" s="147">
        <v>3</v>
      </c>
      <c r="C140" s="148">
        <f t="shared" si="36"/>
        <v>0</v>
      </c>
      <c r="D140" s="148">
        <f t="shared" si="36"/>
        <v>1283039.5765332268</v>
      </c>
      <c r="E140" s="148">
        <f t="shared" si="36"/>
        <v>421627.89352</v>
      </c>
      <c r="F140" s="148">
        <f t="shared" si="36"/>
        <v>0</v>
      </c>
      <c r="G140" s="148">
        <f t="shared" si="35"/>
        <v>861411.6830132268</v>
      </c>
      <c r="H140" s="149">
        <f t="shared" si="39"/>
        <v>0.7938322410201695</v>
      </c>
      <c r="I140" s="150">
        <f t="shared" si="37"/>
        <v>683816.3667673457</v>
      </c>
      <c r="J140" s="148">
        <f t="shared" si="38"/>
        <v>1018518.1823569407</v>
      </c>
      <c r="K140" s="148">
        <f t="shared" si="40"/>
        <v>334701.815589595</v>
      </c>
    </row>
    <row r="141" spans="1:11" ht="15">
      <c r="A141" s="458"/>
      <c r="B141" s="147">
        <v>4</v>
      </c>
      <c r="C141" s="148">
        <f t="shared" si="36"/>
        <v>0</v>
      </c>
      <c r="D141" s="148">
        <f t="shared" si="36"/>
        <v>1244548.38923723</v>
      </c>
      <c r="E141" s="148">
        <f t="shared" si="36"/>
        <v>421627.89352</v>
      </c>
      <c r="F141" s="148">
        <f t="shared" si="36"/>
        <v>0</v>
      </c>
      <c r="G141" s="148">
        <f t="shared" si="35"/>
        <v>822920.49571723</v>
      </c>
      <c r="H141" s="149">
        <f t="shared" si="39"/>
        <v>0.7350298527964532</v>
      </c>
      <c r="I141" s="150">
        <f t="shared" si="37"/>
        <v>604871.1308302198</v>
      </c>
      <c r="J141" s="148">
        <f t="shared" si="38"/>
        <v>914780.219339104</v>
      </c>
      <c r="K141" s="148">
        <f t="shared" si="40"/>
        <v>309909.0885088842</v>
      </c>
    </row>
    <row r="142" spans="1:11" ht="15">
      <c r="A142" s="458"/>
      <c r="B142" s="147">
        <v>5</v>
      </c>
      <c r="C142" s="148">
        <f t="shared" si="36"/>
        <v>0</v>
      </c>
      <c r="D142" s="148">
        <f t="shared" si="36"/>
        <v>1207211.937560113</v>
      </c>
      <c r="E142" s="148">
        <f t="shared" si="36"/>
        <v>421627.89352</v>
      </c>
      <c r="F142" s="148">
        <f t="shared" si="36"/>
        <v>292065.55532</v>
      </c>
      <c r="G142" s="148">
        <f t="shared" si="35"/>
        <v>493518.488720113</v>
      </c>
      <c r="H142" s="149">
        <f t="shared" si="39"/>
        <v>0.6805831970337529</v>
      </c>
      <c r="I142" s="150">
        <f t="shared" si="37"/>
        <v>335880.39084840065</v>
      </c>
      <c r="J142" s="148">
        <f t="shared" si="38"/>
        <v>821608.159961973</v>
      </c>
      <c r="K142" s="148">
        <f t="shared" si="40"/>
        <v>485727.7691135724</v>
      </c>
    </row>
    <row r="143" spans="1:11" ht="15">
      <c r="A143" s="458"/>
      <c r="B143" s="147">
        <v>6</v>
      </c>
      <c r="C143" s="148">
        <f t="shared" si="36"/>
        <v>0</v>
      </c>
      <c r="D143" s="148">
        <f t="shared" si="36"/>
        <v>1170995.5794333096</v>
      </c>
      <c r="E143" s="148">
        <f t="shared" si="36"/>
        <v>421627.89352</v>
      </c>
      <c r="F143" s="148">
        <f t="shared" si="36"/>
        <v>0</v>
      </c>
      <c r="G143" s="148">
        <f t="shared" si="35"/>
        <v>749367.6859133097</v>
      </c>
      <c r="H143" s="149">
        <f t="shared" si="39"/>
        <v>0.6301696268831045</v>
      </c>
      <c r="I143" s="150">
        <f t="shared" si="37"/>
        <v>472228.7550302458</v>
      </c>
      <c r="J143" s="148">
        <f t="shared" si="38"/>
        <v>737925.8473732535</v>
      </c>
      <c r="K143" s="148">
        <f t="shared" si="40"/>
        <v>265697.09234300774</v>
      </c>
    </row>
    <row r="144" spans="1:11" ht="15">
      <c r="A144" s="458"/>
      <c r="B144" s="147">
        <v>7</v>
      </c>
      <c r="C144" s="148">
        <f t="shared" si="36"/>
        <v>0</v>
      </c>
      <c r="D144" s="148">
        <f t="shared" si="36"/>
        <v>1135865.7120503103</v>
      </c>
      <c r="E144" s="148">
        <f t="shared" si="36"/>
        <v>421627.89352</v>
      </c>
      <c r="F144" s="148">
        <f t="shared" si="36"/>
        <v>0</v>
      </c>
      <c r="G144" s="148">
        <f t="shared" si="35"/>
        <v>714237.8185303104</v>
      </c>
      <c r="H144" s="149">
        <f t="shared" si="39"/>
        <v>0.5834903952621338</v>
      </c>
      <c r="I144" s="150">
        <f t="shared" si="37"/>
        <v>416750.90704541496</v>
      </c>
      <c r="J144" s="148">
        <f t="shared" si="38"/>
        <v>662766.7332889406</v>
      </c>
      <c r="K144" s="148">
        <f t="shared" si="40"/>
        <v>246015.82624352563</v>
      </c>
    </row>
    <row r="145" spans="1:11" ht="15">
      <c r="A145" s="458"/>
      <c r="B145" s="147">
        <v>8</v>
      </c>
      <c r="C145" s="148">
        <f t="shared" si="36"/>
        <v>0</v>
      </c>
      <c r="D145" s="148">
        <f t="shared" si="36"/>
        <v>1101789.7406888008</v>
      </c>
      <c r="E145" s="148">
        <f t="shared" si="36"/>
        <v>421627.89352</v>
      </c>
      <c r="F145" s="148">
        <f t="shared" si="36"/>
        <v>0</v>
      </c>
      <c r="G145" s="148">
        <f t="shared" si="35"/>
        <v>680161.8471688009</v>
      </c>
      <c r="H145" s="149">
        <f t="shared" si="39"/>
        <v>0.5402688845019756</v>
      </c>
      <c r="I145" s="150">
        <f t="shared" si="37"/>
        <v>367470.2824506913</v>
      </c>
      <c r="J145" s="148">
        <f t="shared" si="38"/>
        <v>595262.7141576594</v>
      </c>
      <c r="K145" s="148">
        <f t="shared" si="40"/>
        <v>227792.43170696814</v>
      </c>
    </row>
    <row r="146" spans="1:11" ht="15">
      <c r="A146" s="458"/>
      <c r="B146" s="147">
        <v>9</v>
      </c>
      <c r="C146" s="148">
        <f t="shared" si="36"/>
        <v>0</v>
      </c>
      <c r="D146" s="148">
        <f t="shared" si="36"/>
        <v>1068736.048468137</v>
      </c>
      <c r="E146" s="148">
        <f t="shared" si="36"/>
        <v>421627.89352</v>
      </c>
      <c r="F146" s="148">
        <f t="shared" si="36"/>
        <v>0</v>
      </c>
      <c r="G146" s="148">
        <f t="shared" si="35"/>
        <v>647108.154948137</v>
      </c>
      <c r="H146" s="149">
        <f t="shared" si="39"/>
        <v>0.5002489671314588</v>
      </c>
      <c r="I146" s="150">
        <f t="shared" si="37"/>
        <v>323715.18613514956</v>
      </c>
      <c r="J146" s="148">
        <f t="shared" si="38"/>
        <v>534634.1043823422</v>
      </c>
      <c r="K146" s="148">
        <f t="shared" si="40"/>
        <v>210918.9182471927</v>
      </c>
    </row>
    <row r="147" spans="1:11" ht="15">
      <c r="A147" s="458"/>
      <c r="B147" s="147">
        <v>10</v>
      </c>
      <c r="C147" s="148">
        <f t="shared" si="36"/>
        <v>0</v>
      </c>
      <c r="D147" s="148">
        <f t="shared" si="36"/>
        <v>1036673.9670140927</v>
      </c>
      <c r="E147" s="148">
        <f t="shared" si="36"/>
        <v>421627.89352</v>
      </c>
      <c r="F147" s="148">
        <f t="shared" si="36"/>
        <v>0</v>
      </c>
      <c r="G147" s="148">
        <f t="shared" si="35"/>
        <v>615046.0734940928</v>
      </c>
      <c r="H147" s="149">
        <f t="shared" si="39"/>
        <v>0.4631934880846841</v>
      </c>
      <c r="I147" s="150">
        <f t="shared" si="37"/>
        <v>284885.3361145178</v>
      </c>
      <c r="J147" s="148">
        <f t="shared" si="38"/>
        <v>480180.6307878443</v>
      </c>
      <c r="K147" s="148">
        <f t="shared" si="40"/>
        <v>195295.29467332657</v>
      </c>
    </row>
    <row r="148" spans="1:11" ht="15">
      <c r="A148" s="458"/>
      <c r="B148" s="460" t="s">
        <v>221</v>
      </c>
      <c r="C148" s="461"/>
      <c r="D148" s="461"/>
      <c r="E148" s="461"/>
      <c r="F148" s="461"/>
      <c r="G148" s="461"/>
      <c r="H148" s="461"/>
      <c r="I148" s="462"/>
      <c r="J148" s="150">
        <f>SUM(J138:J147)</f>
        <v>8162317.314082181</v>
      </c>
      <c r="K148" s="150">
        <f>SUM(K138:K147)</f>
        <v>3027932.394966539</v>
      </c>
    </row>
    <row r="149" spans="2:11" ht="15">
      <c r="B149" s="30"/>
      <c r="C149" s="30"/>
      <c r="D149" s="30"/>
      <c r="E149" s="30"/>
      <c r="F149" s="30"/>
      <c r="G149" s="30"/>
      <c r="H149" s="30"/>
      <c r="I149" s="463" t="s">
        <v>224</v>
      </c>
      <c r="J149" s="464" t="s">
        <v>225</v>
      </c>
      <c r="K149" s="464" t="s">
        <v>198</v>
      </c>
    </row>
    <row r="150" spans="2:11" ht="15">
      <c r="B150" s="30"/>
      <c r="C150" s="30"/>
      <c r="D150" s="30"/>
      <c r="E150" s="30"/>
      <c r="F150" s="30"/>
      <c r="G150" s="30"/>
      <c r="H150" s="30"/>
      <c r="I150" s="463"/>
      <c r="J150" s="464"/>
      <c r="K150" s="464"/>
    </row>
    <row r="151" spans="2:11" ht="15">
      <c r="B151" s="30"/>
      <c r="C151" s="30"/>
      <c r="D151" s="30"/>
      <c r="E151" s="30"/>
      <c r="F151" s="30"/>
      <c r="G151" s="30"/>
      <c r="H151" s="30"/>
      <c r="I151" s="176">
        <f>SUM(I137:I147)</f>
        <v>-1347136.8599229832</v>
      </c>
      <c r="J151" s="177">
        <f>IRR(G137:G147)</f>
        <v>0.02759313436484323</v>
      </c>
      <c r="K151" s="178">
        <f>J148/K148</f>
        <v>2.695673565120129</v>
      </c>
    </row>
    <row r="156" spans="1:11" ht="21">
      <c r="A156" s="457">
        <f>E32</f>
        <v>-0.04</v>
      </c>
      <c r="B156" s="459" t="s">
        <v>231</v>
      </c>
      <c r="C156" s="459"/>
      <c r="D156" s="459"/>
      <c r="E156" s="459"/>
      <c r="F156" s="459"/>
      <c r="G156" s="459"/>
      <c r="H156" s="459"/>
      <c r="I156" s="459"/>
      <c r="J156" s="459"/>
      <c r="K156" s="459"/>
    </row>
    <row r="157" spans="1:11" ht="51">
      <c r="A157" s="458"/>
      <c r="B157" s="46" t="s">
        <v>210</v>
      </c>
      <c r="C157" s="175" t="s">
        <v>211</v>
      </c>
      <c r="D157" s="46" t="s">
        <v>212</v>
      </c>
      <c r="E157" s="175" t="s">
        <v>213</v>
      </c>
      <c r="F157" s="175" t="s">
        <v>214</v>
      </c>
      <c r="G157" s="175" t="s">
        <v>215</v>
      </c>
      <c r="H157" s="175" t="s">
        <v>216</v>
      </c>
      <c r="I157" s="175" t="s">
        <v>215</v>
      </c>
      <c r="J157" s="175" t="s">
        <v>217</v>
      </c>
      <c r="K157" s="175" t="s">
        <v>218</v>
      </c>
    </row>
    <row r="158" spans="1:11" ht="15">
      <c r="A158" s="458"/>
      <c r="B158" s="147">
        <v>0</v>
      </c>
      <c r="C158" s="148">
        <f aca="true" t="shared" si="41" ref="C158:F168">E3</f>
        <v>4050951.1118991417</v>
      </c>
      <c r="D158" s="148">
        <f t="shared" si="41"/>
        <v>0</v>
      </c>
      <c r="E158" s="148">
        <f t="shared" si="41"/>
        <v>0</v>
      </c>
      <c r="F158" s="148">
        <f t="shared" si="41"/>
        <v>0</v>
      </c>
      <c r="G158" s="148">
        <f>D158-C158-E158-F158</f>
        <v>-4050951.1118991417</v>
      </c>
      <c r="H158" s="149">
        <v>1</v>
      </c>
      <c r="I158" s="150">
        <f>G158*H158</f>
        <v>-4050951.1118991417</v>
      </c>
      <c r="J158" s="147"/>
      <c r="K158" s="151"/>
    </row>
    <row r="159" spans="1:11" ht="15">
      <c r="A159" s="458"/>
      <c r="B159" s="147">
        <v>1</v>
      </c>
      <c r="C159" s="148">
        <f t="shared" si="41"/>
        <v>0</v>
      </c>
      <c r="D159" s="148">
        <f aca="true" t="shared" si="42" ref="D159:D168">F4*(1+$A$156)</f>
        <v>1309084.91175672</v>
      </c>
      <c r="E159" s="148">
        <f t="shared" si="41"/>
        <v>421627.89352</v>
      </c>
      <c r="F159" s="148">
        <f t="shared" si="41"/>
        <v>0</v>
      </c>
      <c r="G159" s="148">
        <f aca="true" t="shared" si="43" ref="G159:G168">D159-C159-E159-F159</f>
        <v>887457.01823672</v>
      </c>
      <c r="H159" s="149">
        <f>H158/(1+0.08)</f>
        <v>0.9259259259259258</v>
      </c>
      <c r="I159" s="150">
        <f aca="true" t="shared" si="44" ref="I159:I168">G159*H159</f>
        <v>821719.4613302962</v>
      </c>
      <c r="J159" s="148">
        <f aca="true" t="shared" si="45" ref="J159:J168">D159*H159</f>
        <v>1212115.6590339998</v>
      </c>
      <c r="K159" s="148">
        <f>(E159+F159)*H159</f>
        <v>390396.19770370366</v>
      </c>
    </row>
    <row r="160" spans="1:11" ht="15">
      <c r="A160" s="458"/>
      <c r="B160" s="147">
        <v>2</v>
      </c>
      <c r="C160" s="148">
        <f t="shared" si="41"/>
        <v>0</v>
      </c>
      <c r="D160" s="148">
        <f t="shared" si="42"/>
        <v>1269812.364404018</v>
      </c>
      <c r="E160" s="148">
        <f t="shared" si="41"/>
        <v>421627.89352</v>
      </c>
      <c r="F160" s="148">
        <f t="shared" si="41"/>
        <v>0</v>
      </c>
      <c r="G160" s="148">
        <f t="shared" si="43"/>
        <v>848184.4708840181</v>
      </c>
      <c r="H160" s="149">
        <f aca="true" t="shared" si="46" ref="H160:H168">H159/(1+0.08)</f>
        <v>0.8573388203017831</v>
      </c>
      <c r="I160" s="150">
        <f t="shared" si="44"/>
        <v>727181.4736659962</v>
      </c>
      <c r="J160" s="148">
        <f t="shared" si="45"/>
        <v>1088659.4345027588</v>
      </c>
      <c r="K160" s="148">
        <f aca="true" t="shared" si="47" ref="K160:K168">(E160+F160)*H160</f>
        <v>361477.9608367626</v>
      </c>
    </row>
    <row r="161" spans="1:11" ht="15">
      <c r="A161" s="458"/>
      <c r="B161" s="147">
        <v>3</v>
      </c>
      <c r="C161" s="148">
        <f t="shared" si="41"/>
        <v>0</v>
      </c>
      <c r="D161" s="148">
        <f t="shared" si="42"/>
        <v>1231717.9934718977</v>
      </c>
      <c r="E161" s="148">
        <f t="shared" si="41"/>
        <v>421627.89352</v>
      </c>
      <c r="F161" s="148">
        <f t="shared" si="41"/>
        <v>0</v>
      </c>
      <c r="G161" s="148">
        <f t="shared" si="43"/>
        <v>810090.0999518977</v>
      </c>
      <c r="H161" s="149">
        <f t="shared" si="46"/>
        <v>0.7938322410201695</v>
      </c>
      <c r="I161" s="150">
        <f t="shared" si="44"/>
        <v>643075.6394730681</v>
      </c>
      <c r="J161" s="148">
        <f t="shared" si="45"/>
        <v>977777.455062663</v>
      </c>
      <c r="K161" s="148">
        <f t="shared" si="47"/>
        <v>334701.815589595</v>
      </c>
    </row>
    <row r="162" spans="1:11" ht="15">
      <c r="A162" s="458"/>
      <c r="B162" s="147">
        <v>4</v>
      </c>
      <c r="C162" s="148">
        <f t="shared" si="41"/>
        <v>0</v>
      </c>
      <c r="D162" s="148">
        <f t="shared" si="42"/>
        <v>1194766.4536677408</v>
      </c>
      <c r="E162" s="148">
        <f t="shared" si="41"/>
        <v>421627.89352</v>
      </c>
      <c r="F162" s="148">
        <f t="shared" si="41"/>
        <v>0</v>
      </c>
      <c r="G162" s="148">
        <f t="shared" si="43"/>
        <v>773138.5601477409</v>
      </c>
      <c r="H162" s="149">
        <f t="shared" si="46"/>
        <v>0.7350298527964532</v>
      </c>
      <c r="I162" s="150">
        <f t="shared" si="44"/>
        <v>568279.9220566557</v>
      </c>
      <c r="J162" s="148">
        <f t="shared" si="45"/>
        <v>878189.0105655399</v>
      </c>
      <c r="K162" s="148">
        <f t="shared" si="47"/>
        <v>309909.0885088842</v>
      </c>
    </row>
    <row r="163" spans="1:11" ht="15">
      <c r="A163" s="458"/>
      <c r="B163" s="147">
        <v>5</v>
      </c>
      <c r="C163" s="148">
        <f t="shared" si="41"/>
        <v>0</v>
      </c>
      <c r="D163" s="148">
        <f t="shared" si="42"/>
        <v>1158923.4600577084</v>
      </c>
      <c r="E163" s="148">
        <f t="shared" si="41"/>
        <v>421627.89352</v>
      </c>
      <c r="F163" s="148">
        <f t="shared" si="41"/>
        <v>292065.55532</v>
      </c>
      <c r="G163" s="148">
        <f t="shared" si="43"/>
        <v>445230.0112177085</v>
      </c>
      <c r="H163" s="149">
        <f t="shared" si="46"/>
        <v>0.6805831970337529</v>
      </c>
      <c r="I163" s="150">
        <f t="shared" si="44"/>
        <v>303016.0644499217</v>
      </c>
      <c r="J163" s="148">
        <f t="shared" si="45"/>
        <v>788743.833563494</v>
      </c>
      <c r="K163" s="148">
        <f t="shared" si="47"/>
        <v>485727.7691135724</v>
      </c>
    </row>
    <row r="164" spans="1:11" ht="15">
      <c r="A164" s="458"/>
      <c r="B164" s="147">
        <v>6</v>
      </c>
      <c r="C164" s="148">
        <f t="shared" si="41"/>
        <v>0</v>
      </c>
      <c r="D164" s="148">
        <f t="shared" si="42"/>
        <v>1124155.756255977</v>
      </c>
      <c r="E164" s="148">
        <f t="shared" si="41"/>
        <v>421627.89352</v>
      </c>
      <c r="F164" s="148">
        <f t="shared" si="41"/>
        <v>0</v>
      </c>
      <c r="G164" s="148">
        <f t="shared" si="43"/>
        <v>702527.8627359772</v>
      </c>
      <c r="H164" s="149">
        <f t="shared" si="46"/>
        <v>0.6301696268831045</v>
      </c>
      <c r="I164" s="150">
        <f t="shared" si="44"/>
        <v>442711.7211353156</v>
      </c>
      <c r="J164" s="148">
        <f t="shared" si="45"/>
        <v>708408.8134783233</v>
      </c>
      <c r="K164" s="148">
        <f t="shared" si="47"/>
        <v>265697.09234300774</v>
      </c>
    </row>
    <row r="165" spans="1:11" ht="15">
      <c r="A165" s="458"/>
      <c r="B165" s="147">
        <v>7</v>
      </c>
      <c r="C165" s="148">
        <f t="shared" si="41"/>
        <v>0</v>
      </c>
      <c r="D165" s="148">
        <f t="shared" si="42"/>
        <v>1090431.0835682978</v>
      </c>
      <c r="E165" s="148">
        <f t="shared" si="41"/>
        <v>421627.89352</v>
      </c>
      <c r="F165" s="148">
        <f t="shared" si="41"/>
        <v>0</v>
      </c>
      <c r="G165" s="148">
        <f t="shared" si="43"/>
        <v>668803.1900482979</v>
      </c>
      <c r="H165" s="149">
        <f t="shared" si="46"/>
        <v>0.5834903952621338</v>
      </c>
      <c r="I165" s="150">
        <f t="shared" si="44"/>
        <v>390240.23771385726</v>
      </c>
      <c r="J165" s="148">
        <f t="shared" si="45"/>
        <v>636256.0639573829</v>
      </c>
      <c r="K165" s="148">
        <f t="shared" si="47"/>
        <v>246015.82624352563</v>
      </c>
    </row>
    <row r="166" spans="1:11" ht="15">
      <c r="A166" s="458"/>
      <c r="B166" s="147">
        <v>8</v>
      </c>
      <c r="C166" s="148">
        <f t="shared" si="41"/>
        <v>0</v>
      </c>
      <c r="D166" s="148">
        <f t="shared" si="42"/>
        <v>1057718.1510612487</v>
      </c>
      <c r="E166" s="148">
        <f t="shared" si="41"/>
        <v>421627.89352</v>
      </c>
      <c r="F166" s="148">
        <f t="shared" si="41"/>
        <v>0</v>
      </c>
      <c r="G166" s="148">
        <f t="shared" si="43"/>
        <v>636090.2575412488</v>
      </c>
      <c r="H166" s="149">
        <f t="shared" si="46"/>
        <v>0.5402688845019756</v>
      </c>
      <c r="I166" s="150">
        <f t="shared" si="44"/>
        <v>343659.7738843849</v>
      </c>
      <c r="J166" s="148">
        <f t="shared" si="45"/>
        <v>571452.205591353</v>
      </c>
      <c r="K166" s="148">
        <f t="shared" si="47"/>
        <v>227792.43170696814</v>
      </c>
    </row>
    <row r="167" spans="1:11" ht="15">
      <c r="A167" s="458"/>
      <c r="B167" s="147">
        <v>9</v>
      </c>
      <c r="C167" s="148">
        <f t="shared" si="41"/>
        <v>0</v>
      </c>
      <c r="D167" s="148">
        <f t="shared" si="42"/>
        <v>1025986.6065294114</v>
      </c>
      <c r="E167" s="148">
        <f t="shared" si="41"/>
        <v>421627.89352</v>
      </c>
      <c r="F167" s="148">
        <f t="shared" si="41"/>
        <v>0</v>
      </c>
      <c r="G167" s="148">
        <f t="shared" si="43"/>
        <v>604358.7130094115</v>
      </c>
      <c r="H167" s="149">
        <f t="shared" si="46"/>
        <v>0.5002489671314588</v>
      </c>
      <c r="I167" s="150">
        <f t="shared" si="44"/>
        <v>302329.82195985585</v>
      </c>
      <c r="J167" s="148">
        <f t="shared" si="45"/>
        <v>513248.7402070485</v>
      </c>
      <c r="K167" s="148">
        <f t="shared" si="47"/>
        <v>210918.9182471927</v>
      </c>
    </row>
    <row r="168" spans="1:11" ht="15">
      <c r="A168" s="458"/>
      <c r="B168" s="147">
        <v>10</v>
      </c>
      <c r="C168" s="148">
        <f t="shared" si="41"/>
        <v>0</v>
      </c>
      <c r="D168" s="148">
        <f t="shared" si="42"/>
        <v>995207.008333529</v>
      </c>
      <c r="E168" s="148">
        <f t="shared" si="41"/>
        <v>421627.89352</v>
      </c>
      <c r="F168" s="148">
        <f t="shared" si="41"/>
        <v>0</v>
      </c>
      <c r="G168" s="148">
        <f t="shared" si="43"/>
        <v>573579.114813529</v>
      </c>
      <c r="H168" s="149">
        <f t="shared" si="46"/>
        <v>0.4631934880846841</v>
      </c>
      <c r="I168" s="150">
        <f t="shared" si="44"/>
        <v>265678.110883004</v>
      </c>
      <c r="J168" s="148">
        <f t="shared" si="45"/>
        <v>460973.4055563306</v>
      </c>
      <c r="K168" s="148">
        <f t="shared" si="47"/>
        <v>195295.29467332657</v>
      </c>
    </row>
    <row r="169" spans="1:11" ht="15">
      <c r="A169" s="458"/>
      <c r="B169" s="460" t="s">
        <v>221</v>
      </c>
      <c r="C169" s="461"/>
      <c r="D169" s="461"/>
      <c r="E169" s="461"/>
      <c r="F169" s="461"/>
      <c r="G169" s="461"/>
      <c r="H169" s="461"/>
      <c r="I169" s="462"/>
      <c r="J169" s="150">
        <f>SUM(J159:J168)</f>
        <v>7835824.621518893</v>
      </c>
      <c r="K169" s="150">
        <f>SUM(K159:K168)</f>
        <v>3027932.394966539</v>
      </c>
    </row>
    <row r="170" spans="2:11" ht="15">
      <c r="B170" s="30"/>
      <c r="C170" s="30"/>
      <c r="D170" s="30"/>
      <c r="H170" s="30"/>
      <c r="I170" s="463" t="s">
        <v>224</v>
      </c>
      <c r="J170" s="464" t="s">
        <v>225</v>
      </c>
      <c r="K170" s="464" t="s">
        <v>198</v>
      </c>
    </row>
    <row r="171" spans="2:11" ht="15">
      <c r="B171" s="30"/>
      <c r="C171" s="30"/>
      <c r="D171" s="30"/>
      <c r="H171" s="30"/>
      <c r="I171" s="463"/>
      <c r="J171" s="464"/>
      <c r="K171" s="464"/>
    </row>
    <row r="172" spans="2:11" ht="15">
      <c r="B172" s="30"/>
      <c r="C172" s="30"/>
      <c r="D172" s="30"/>
      <c r="H172" s="30"/>
      <c r="I172" s="176">
        <f>SUM(I158:I168)</f>
        <v>756941.114653214</v>
      </c>
      <c r="J172" s="177">
        <f>IRR(G158:G168)</f>
        <v>0.12369421533660274</v>
      </c>
      <c r="K172" s="178">
        <f>J169/K169</f>
        <v>2.5878466225153236</v>
      </c>
    </row>
    <row r="175" spans="1:11" ht="51">
      <c r="A175" s="457">
        <f>E33</f>
        <v>-0.08</v>
      </c>
      <c r="B175" s="46" t="s">
        <v>210</v>
      </c>
      <c r="C175" s="175" t="s">
        <v>211</v>
      </c>
      <c r="D175" s="46" t="s">
        <v>212</v>
      </c>
      <c r="E175" s="175" t="s">
        <v>213</v>
      </c>
      <c r="F175" s="175" t="s">
        <v>214</v>
      </c>
      <c r="G175" s="175" t="s">
        <v>215</v>
      </c>
      <c r="H175" s="175" t="s">
        <v>216</v>
      </c>
      <c r="I175" s="175" t="s">
        <v>215</v>
      </c>
      <c r="J175" s="175" t="s">
        <v>217</v>
      </c>
      <c r="K175" s="175" t="s">
        <v>218</v>
      </c>
    </row>
    <row r="176" spans="1:11" ht="15">
      <c r="A176" s="457"/>
      <c r="B176" s="147">
        <v>0</v>
      </c>
      <c r="C176" s="148">
        <f aca="true" t="shared" si="48" ref="C176:F186">E3</f>
        <v>4050951.1118991417</v>
      </c>
      <c r="D176" s="148">
        <f t="shared" si="48"/>
        <v>0</v>
      </c>
      <c r="E176" s="148">
        <f t="shared" si="48"/>
        <v>0</v>
      </c>
      <c r="F176" s="148">
        <f t="shared" si="48"/>
        <v>0</v>
      </c>
      <c r="G176" s="148">
        <f>D176-C176-E176-F176</f>
        <v>-4050951.1118991417</v>
      </c>
      <c r="H176" s="149">
        <v>1</v>
      </c>
      <c r="I176" s="150">
        <f>G176*H176</f>
        <v>-4050951.1118991417</v>
      </c>
      <c r="J176" s="147"/>
      <c r="K176" s="151"/>
    </row>
    <row r="177" spans="1:11" ht="15">
      <c r="A177" s="457"/>
      <c r="B177" s="147">
        <v>1</v>
      </c>
      <c r="C177" s="148">
        <f t="shared" si="48"/>
        <v>0</v>
      </c>
      <c r="D177" s="148">
        <f aca="true" t="shared" si="49" ref="D177:D186">F4*(1+$A$175)</f>
        <v>1254539.70710019</v>
      </c>
      <c r="E177" s="148">
        <f t="shared" si="48"/>
        <v>421627.89352</v>
      </c>
      <c r="F177" s="148">
        <f t="shared" si="48"/>
        <v>0</v>
      </c>
      <c r="G177" s="153">
        <f>G159</f>
        <v>887457.01823672</v>
      </c>
      <c r="H177" s="149">
        <f>H176/(1+0.08)</f>
        <v>0.9259259259259258</v>
      </c>
      <c r="I177" s="150">
        <f aca="true" t="shared" si="50" ref="I177:I186">G177*H177</f>
        <v>821719.4613302962</v>
      </c>
      <c r="J177" s="148">
        <f aca="true" t="shared" si="51" ref="J177:J186">D177*H177</f>
        <v>1161610.839907583</v>
      </c>
      <c r="K177" s="148">
        <f>(E177+F177)*H177</f>
        <v>390396.19770370366</v>
      </c>
    </row>
    <row r="178" spans="1:11" ht="15">
      <c r="A178" s="457"/>
      <c r="B178" s="147">
        <v>2</v>
      </c>
      <c r="C178" s="148">
        <f t="shared" si="48"/>
        <v>0</v>
      </c>
      <c r="D178" s="148">
        <f t="shared" si="49"/>
        <v>1216903.515887184</v>
      </c>
      <c r="E178" s="148">
        <f t="shared" si="48"/>
        <v>421627.89352</v>
      </c>
      <c r="F178" s="148">
        <f t="shared" si="48"/>
        <v>0</v>
      </c>
      <c r="G178" s="148">
        <f aca="true" t="shared" si="52" ref="G178:G186">D178-C178-E178-F178</f>
        <v>795275.6223671841</v>
      </c>
      <c r="H178" s="149">
        <f aca="true" t="shared" si="53" ref="H178:H186">H177/(1+0.08)</f>
        <v>0.8573388203017831</v>
      </c>
      <c r="I178" s="150">
        <f t="shared" si="50"/>
        <v>681820.663895048</v>
      </c>
      <c r="J178" s="148">
        <f t="shared" si="51"/>
        <v>1043298.6247318105</v>
      </c>
      <c r="K178" s="148">
        <f aca="true" t="shared" si="54" ref="K178:K186">(E178+F178)*H178</f>
        <v>361477.9608367626</v>
      </c>
    </row>
    <row r="179" spans="1:11" ht="15">
      <c r="A179" s="457"/>
      <c r="B179" s="147">
        <v>3</v>
      </c>
      <c r="C179" s="148">
        <f t="shared" si="48"/>
        <v>0</v>
      </c>
      <c r="D179" s="148">
        <f t="shared" si="49"/>
        <v>1180396.4104105686</v>
      </c>
      <c r="E179" s="148">
        <f t="shared" si="48"/>
        <v>421627.89352</v>
      </c>
      <c r="F179" s="148">
        <f t="shared" si="48"/>
        <v>0</v>
      </c>
      <c r="G179" s="148">
        <f t="shared" si="52"/>
        <v>758768.5168905687</v>
      </c>
      <c r="H179" s="149">
        <f t="shared" si="53"/>
        <v>0.7938322410201695</v>
      </c>
      <c r="I179" s="150">
        <f t="shared" si="50"/>
        <v>602334.9121787904</v>
      </c>
      <c r="J179" s="148">
        <f t="shared" si="51"/>
        <v>937036.7277683853</v>
      </c>
      <c r="K179" s="148">
        <f t="shared" si="54"/>
        <v>334701.815589595</v>
      </c>
    </row>
    <row r="180" spans="1:11" ht="15">
      <c r="A180" s="457"/>
      <c r="B180" s="147">
        <v>4</v>
      </c>
      <c r="C180" s="148">
        <f t="shared" si="48"/>
        <v>0</v>
      </c>
      <c r="D180" s="148">
        <f t="shared" si="49"/>
        <v>1144984.5180982517</v>
      </c>
      <c r="E180" s="148">
        <f t="shared" si="48"/>
        <v>421627.89352</v>
      </c>
      <c r="F180" s="148">
        <f t="shared" si="48"/>
        <v>0</v>
      </c>
      <c r="G180" s="148">
        <f t="shared" si="52"/>
        <v>723356.6245782517</v>
      </c>
      <c r="H180" s="149">
        <f t="shared" si="53"/>
        <v>0.7350298527964532</v>
      </c>
      <c r="I180" s="150">
        <f t="shared" si="50"/>
        <v>531688.7132830917</v>
      </c>
      <c r="J180" s="148">
        <f t="shared" si="51"/>
        <v>841597.8017919757</v>
      </c>
      <c r="K180" s="148">
        <f t="shared" si="54"/>
        <v>309909.0885088842</v>
      </c>
    </row>
    <row r="181" spans="1:11" ht="15">
      <c r="A181" s="457"/>
      <c r="B181" s="147">
        <v>5</v>
      </c>
      <c r="C181" s="148">
        <f t="shared" si="48"/>
        <v>0</v>
      </c>
      <c r="D181" s="148">
        <f t="shared" si="49"/>
        <v>1110634.982555304</v>
      </c>
      <c r="E181" s="148">
        <f t="shared" si="48"/>
        <v>421627.89352</v>
      </c>
      <c r="F181" s="148">
        <f t="shared" si="48"/>
        <v>292065.55532</v>
      </c>
      <c r="G181" s="148">
        <f t="shared" si="52"/>
        <v>396941.53371530405</v>
      </c>
      <c r="H181" s="149">
        <f t="shared" si="53"/>
        <v>0.6805831970337529</v>
      </c>
      <c r="I181" s="150">
        <f t="shared" si="50"/>
        <v>270151.73805144284</v>
      </c>
      <c r="J181" s="148">
        <f t="shared" si="51"/>
        <v>755879.5071650152</v>
      </c>
      <c r="K181" s="148">
        <f t="shared" si="54"/>
        <v>485727.7691135724</v>
      </c>
    </row>
    <row r="182" spans="1:11" ht="15">
      <c r="A182" s="457"/>
      <c r="B182" s="147">
        <v>6</v>
      </c>
      <c r="C182" s="148">
        <f t="shared" si="48"/>
        <v>0</v>
      </c>
      <c r="D182" s="148">
        <f t="shared" si="49"/>
        <v>1077315.9330786448</v>
      </c>
      <c r="E182" s="148">
        <f t="shared" si="48"/>
        <v>421627.89352</v>
      </c>
      <c r="F182" s="148">
        <f t="shared" si="48"/>
        <v>0</v>
      </c>
      <c r="G182" s="148">
        <f t="shared" si="52"/>
        <v>655688.0395586449</v>
      </c>
      <c r="H182" s="149">
        <f t="shared" si="53"/>
        <v>0.6301696268831045</v>
      </c>
      <c r="I182" s="150">
        <f t="shared" si="50"/>
        <v>413194.6872403855</v>
      </c>
      <c r="J182" s="148">
        <f t="shared" si="51"/>
        <v>678891.7795833931</v>
      </c>
      <c r="K182" s="148">
        <f t="shared" si="54"/>
        <v>265697.09234300774</v>
      </c>
    </row>
    <row r="183" spans="1:11" ht="15">
      <c r="A183" s="457"/>
      <c r="B183" s="147">
        <v>7</v>
      </c>
      <c r="C183" s="148">
        <f t="shared" si="48"/>
        <v>0</v>
      </c>
      <c r="D183" s="148">
        <f t="shared" si="49"/>
        <v>1044996.4550862856</v>
      </c>
      <c r="E183" s="148">
        <f t="shared" si="48"/>
        <v>421627.89352</v>
      </c>
      <c r="F183" s="148">
        <f t="shared" si="48"/>
        <v>0</v>
      </c>
      <c r="G183" s="148">
        <f t="shared" si="52"/>
        <v>623368.5615662856</v>
      </c>
      <c r="H183" s="149">
        <f t="shared" si="53"/>
        <v>0.5834903952621338</v>
      </c>
      <c r="I183" s="150">
        <f t="shared" si="50"/>
        <v>363729.56838229974</v>
      </c>
      <c r="J183" s="148">
        <f t="shared" si="51"/>
        <v>609745.3946258253</v>
      </c>
      <c r="K183" s="148">
        <f t="shared" si="54"/>
        <v>246015.82624352563</v>
      </c>
    </row>
    <row r="184" spans="1:11" ht="15">
      <c r="A184" s="457"/>
      <c r="B184" s="147">
        <v>8</v>
      </c>
      <c r="C184" s="148">
        <f t="shared" si="48"/>
        <v>0</v>
      </c>
      <c r="D184" s="148">
        <f t="shared" si="49"/>
        <v>1013646.5614336968</v>
      </c>
      <c r="E184" s="148">
        <f t="shared" si="48"/>
        <v>421627.89352</v>
      </c>
      <c r="F184" s="148">
        <f t="shared" si="48"/>
        <v>0</v>
      </c>
      <c r="G184" s="148">
        <f t="shared" si="52"/>
        <v>592018.6679136967</v>
      </c>
      <c r="H184" s="149">
        <f t="shared" si="53"/>
        <v>0.5402688845019756</v>
      </c>
      <c r="I184" s="150">
        <f t="shared" si="50"/>
        <v>319849.2653180785</v>
      </c>
      <c r="J184" s="148">
        <f t="shared" si="51"/>
        <v>547641.6970250467</v>
      </c>
      <c r="K184" s="148">
        <f t="shared" si="54"/>
        <v>227792.43170696814</v>
      </c>
    </row>
    <row r="185" spans="1:11" ht="15">
      <c r="A185" s="457"/>
      <c r="B185" s="147">
        <v>9</v>
      </c>
      <c r="C185" s="148">
        <f t="shared" si="48"/>
        <v>0</v>
      </c>
      <c r="D185" s="148">
        <f t="shared" si="49"/>
        <v>983237.164590686</v>
      </c>
      <c r="E185" s="148">
        <f t="shared" si="48"/>
        <v>421627.89352</v>
      </c>
      <c r="F185" s="148">
        <f t="shared" si="48"/>
        <v>0</v>
      </c>
      <c r="G185" s="148">
        <f t="shared" si="52"/>
        <v>561609.2710706859</v>
      </c>
      <c r="H185" s="149">
        <f t="shared" si="53"/>
        <v>0.5002489671314588</v>
      </c>
      <c r="I185" s="150">
        <f t="shared" si="50"/>
        <v>280944.45778456214</v>
      </c>
      <c r="J185" s="148">
        <f t="shared" si="51"/>
        <v>491863.37603175483</v>
      </c>
      <c r="K185" s="148">
        <f t="shared" si="54"/>
        <v>210918.9182471927</v>
      </c>
    </row>
    <row r="186" spans="1:11" ht="15">
      <c r="A186" s="457"/>
      <c r="B186" s="147">
        <v>10</v>
      </c>
      <c r="C186" s="148">
        <f t="shared" si="48"/>
        <v>0</v>
      </c>
      <c r="D186" s="148">
        <f t="shared" si="49"/>
        <v>953740.0496529654</v>
      </c>
      <c r="E186" s="148">
        <f t="shared" si="48"/>
        <v>421627.89352</v>
      </c>
      <c r="F186" s="148">
        <f t="shared" si="48"/>
        <v>0</v>
      </c>
      <c r="G186" s="148">
        <f t="shared" si="52"/>
        <v>532112.1561329653</v>
      </c>
      <c r="H186" s="149">
        <f t="shared" si="53"/>
        <v>0.4631934880846841</v>
      </c>
      <c r="I186" s="150">
        <f t="shared" si="50"/>
        <v>246470.88565149024</v>
      </c>
      <c r="J186" s="148">
        <f t="shared" si="51"/>
        <v>441766.18032481684</v>
      </c>
      <c r="K186" s="148">
        <f t="shared" si="54"/>
        <v>195295.29467332657</v>
      </c>
    </row>
    <row r="187" spans="1:11" ht="15">
      <c r="A187" s="457"/>
      <c r="B187" s="460" t="s">
        <v>221</v>
      </c>
      <c r="C187" s="461"/>
      <c r="D187" s="461"/>
      <c r="E187" s="461"/>
      <c r="F187" s="461"/>
      <c r="G187" s="461"/>
      <c r="H187" s="461"/>
      <c r="I187" s="462"/>
      <c r="J187" s="150">
        <f>SUM(J177:J186)</f>
        <v>7509331.928955606</v>
      </c>
      <c r="K187" s="150">
        <f>SUM(K177:K186)</f>
        <v>3027932.394966539</v>
      </c>
    </row>
    <row r="188" spans="1:11" ht="15">
      <c r="A188" s="30"/>
      <c r="B188" s="30"/>
      <c r="C188" s="30"/>
      <c r="D188" s="30"/>
      <c r="E188" s="30"/>
      <c r="F188" s="30"/>
      <c r="G188" s="30"/>
      <c r="H188" s="30"/>
      <c r="I188" s="463" t="s">
        <v>224</v>
      </c>
      <c r="J188" s="464" t="s">
        <v>225</v>
      </c>
      <c r="K188" s="464" t="s">
        <v>198</v>
      </c>
    </row>
    <row r="189" spans="2:11" ht="15">
      <c r="B189" s="30"/>
      <c r="C189" s="30"/>
      <c r="D189" s="30"/>
      <c r="E189" s="30"/>
      <c r="F189" s="30"/>
      <c r="G189" s="30"/>
      <c r="H189" s="30"/>
      <c r="I189" s="463"/>
      <c r="J189" s="464"/>
      <c r="K189" s="464"/>
    </row>
    <row r="190" spans="2:11" ht="15">
      <c r="B190" s="30"/>
      <c r="C190" s="30"/>
      <c r="D190" s="30"/>
      <c r="E190" s="30"/>
      <c r="F190" s="30"/>
      <c r="G190" s="30"/>
      <c r="H190" s="30"/>
      <c r="I190" s="176">
        <f>SUM(I176:I186)</f>
        <v>480953.2412163435</v>
      </c>
      <c r="J190" s="177">
        <f>IRR(G176:G186)</f>
        <v>0.10840620717374683</v>
      </c>
      <c r="K190" s="178">
        <f>J187/K187</f>
        <v>2.4800196799105185</v>
      </c>
    </row>
    <row r="192" spans="1:11" ht="51">
      <c r="A192" s="457">
        <f>E34</f>
        <v>-0.11</v>
      </c>
      <c r="B192" s="46" t="s">
        <v>210</v>
      </c>
      <c r="C192" s="175" t="s">
        <v>211</v>
      </c>
      <c r="D192" s="46" t="s">
        <v>212</v>
      </c>
      <c r="E192" s="175" t="s">
        <v>213</v>
      </c>
      <c r="F192" s="175" t="s">
        <v>214</v>
      </c>
      <c r="G192" s="175" t="s">
        <v>215</v>
      </c>
      <c r="H192" s="175" t="s">
        <v>216</v>
      </c>
      <c r="I192" s="175" t="s">
        <v>215</v>
      </c>
      <c r="J192" s="175" t="s">
        <v>217</v>
      </c>
      <c r="K192" s="175" t="s">
        <v>218</v>
      </c>
    </row>
    <row r="193" spans="1:11" ht="15">
      <c r="A193" s="457"/>
      <c r="B193" s="147">
        <v>0</v>
      </c>
      <c r="C193" s="148">
        <f aca="true" t="shared" si="55" ref="C193:F203">E3</f>
        <v>4050951.1118991417</v>
      </c>
      <c r="D193" s="148">
        <f t="shared" si="55"/>
        <v>0</v>
      </c>
      <c r="E193" s="148">
        <f t="shared" si="55"/>
        <v>0</v>
      </c>
      <c r="F193" s="148">
        <f t="shared" si="55"/>
        <v>0</v>
      </c>
      <c r="G193" s="148">
        <f aca="true" t="shared" si="56" ref="G193:G203">D193-C193-E193-F193</f>
        <v>-4050951.1118991417</v>
      </c>
      <c r="H193" s="149">
        <v>1</v>
      </c>
      <c r="I193" s="150">
        <f>G193*H193</f>
        <v>-4050951.1118991417</v>
      </c>
      <c r="J193" s="147"/>
      <c r="K193" s="151"/>
    </row>
    <row r="194" spans="1:11" ht="15">
      <c r="A194" s="457"/>
      <c r="B194" s="147">
        <v>1</v>
      </c>
      <c r="C194" s="148">
        <f t="shared" si="55"/>
        <v>0</v>
      </c>
      <c r="D194" s="148">
        <f aca="true" t="shared" si="57" ref="D194:D203">F4*(1+$A$192)</f>
        <v>1213630.8036077924</v>
      </c>
      <c r="E194" s="148">
        <f t="shared" si="55"/>
        <v>421627.89352</v>
      </c>
      <c r="F194" s="148">
        <f t="shared" si="55"/>
        <v>0</v>
      </c>
      <c r="G194" s="148">
        <f t="shared" si="56"/>
        <v>792002.9100877924</v>
      </c>
      <c r="H194" s="149">
        <f>H193/(1+0.08)</f>
        <v>0.9259259259259258</v>
      </c>
      <c r="I194" s="150">
        <f aca="true" t="shared" si="58" ref="I194:I203">G194*H194</f>
        <v>733336.027859067</v>
      </c>
      <c r="J194" s="148">
        <f aca="true" t="shared" si="59" ref="J194:J203">D194*H194</f>
        <v>1123732.2255627706</v>
      </c>
      <c r="K194" s="148">
        <f>(E194+F194)*H194</f>
        <v>390396.19770370366</v>
      </c>
    </row>
    <row r="195" spans="1:11" ht="15">
      <c r="A195" s="457"/>
      <c r="B195" s="147">
        <v>2</v>
      </c>
      <c r="C195" s="148">
        <f t="shared" si="55"/>
        <v>0</v>
      </c>
      <c r="D195" s="148">
        <f t="shared" si="57"/>
        <v>1177221.8794995586</v>
      </c>
      <c r="E195" s="148">
        <f t="shared" si="55"/>
        <v>421627.89352</v>
      </c>
      <c r="F195" s="148">
        <f t="shared" si="55"/>
        <v>0</v>
      </c>
      <c r="G195" s="148">
        <f t="shared" si="56"/>
        <v>755593.9859795587</v>
      </c>
      <c r="H195" s="149">
        <f aca="true" t="shared" si="60" ref="H195:H203">H194/(1+0.08)</f>
        <v>0.8573388203017831</v>
      </c>
      <c r="I195" s="150">
        <f t="shared" si="58"/>
        <v>647800.0565668369</v>
      </c>
      <c r="J195" s="148">
        <f t="shared" si="59"/>
        <v>1009278.0174035995</v>
      </c>
      <c r="K195" s="148">
        <f aca="true" t="shared" si="61" ref="K195:K203">(E195+F195)*H195</f>
        <v>361477.9608367626</v>
      </c>
    </row>
    <row r="196" spans="1:11" ht="15">
      <c r="A196" s="457"/>
      <c r="B196" s="147">
        <v>3</v>
      </c>
      <c r="C196" s="148">
        <f t="shared" si="55"/>
        <v>0</v>
      </c>
      <c r="D196" s="148">
        <f t="shared" si="57"/>
        <v>1141905.2231145718</v>
      </c>
      <c r="E196" s="148">
        <f t="shared" si="55"/>
        <v>421627.89352</v>
      </c>
      <c r="F196" s="148">
        <f t="shared" si="55"/>
        <v>0</v>
      </c>
      <c r="G196" s="148">
        <f t="shared" si="56"/>
        <v>720277.3295945718</v>
      </c>
      <c r="H196" s="149">
        <f t="shared" si="60"/>
        <v>0.7938322410201695</v>
      </c>
      <c r="I196" s="150">
        <f t="shared" si="58"/>
        <v>571779.3667080821</v>
      </c>
      <c r="J196" s="148">
        <f t="shared" si="59"/>
        <v>906481.1822976772</v>
      </c>
      <c r="K196" s="148">
        <f t="shared" si="61"/>
        <v>334701.815589595</v>
      </c>
    </row>
    <row r="197" spans="1:11" ht="15">
      <c r="A197" s="457"/>
      <c r="B197" s="147">
        <v>4</v>
      </c>
      <c r="C197" s="148">
        <f t="shared" si="55"/>
        <v>0</v>
      </c>
      <c r="D197" s="148">
        <f t="shared" si="57"/>
        <v>1107648.0664211346</v>
      </c>
      <c r="E197" s="148">
        <f t="shared" si="55"/>
        <v>421627.89352</v>
      </c>
      <c r="F197" s="148">
        <f t="shared" si="55"/>
        <v>0</v>
      </c>
      <c r="G197" s="148">
        <f t="shared" si="56"/>
        <v>686020.1729011347</v>
      </c>
      <c r="H197" s="149">
        <f t="shared" si="60"/>
        <v>0.7350298527964532</v>
      </c>
      <c r="I197" s="150">
        <f t="shared" si="58"/>
        <v>504245.3067029184</v>
      </c>
      <c r="J197" s="148">
        <f t="shared" si="59"/>
        <v>814154.3952118026</v>
      </c>
      <c r="K197" s="148">
        <f t="shared" si="61"/>
        <v>309909.0885088842</v>
      </c>
    </row>
    <row r="198" spans="1:11" ht="15">
      <c r="A198" s="457"/>
      <c r="B198" s="147">
        <v>5</v>
      </c>
      <c r="C198" s="148">
        <f t="shared" si="55"/>
        <v>0</v>
      </c>
      <c r="D198" s="148">
        <f t="shared" si="57"/>
        <v>1074418.6244285004</v>
      </c>
      <c r="E198" s="148">
        <f t="shared" si="55"/>
        <v>421627.89352</v>
      </c>
      <c r="F198" s="148">
        <f t="shared" si="55"/>
        <v>292065.55532</v>
      </c>
      <c r="G198" s="148">
        <f t="shared" si="56"/>
        <v>360725.1755885005</v>
      </c>
      <c r="H198" s="149">
        <f t="shared" si="60"/>
        <v>0.6805831970337529</v>
      </c>
      <c r="I198" s="150">
        <f t="shared" si="58"/>
        <v>245503.49325258358</v>
      </c>
      <c r="J198" s="148">
        <f t="shared" si="59"/>
        <v>731231.2623661559</v>
      </c>
      <c r="K198" s="148">
        <f t="shared" si="61"/>
        <v>485727.7691135724</v>
      </c>
    </row>
    <row r="199" spans="1:11" ht="15">
      <c r="A199" s="457"/>
      <c r="B199" s="147">
        <v>6</v>
      </c>
      <c r="C199" s="148">
        <f t="shared" si="55"/>
        <v>0</v>
      </c>
      <c r="D199" s="148">
        <f t="shared" si="57"/>
        <v>1042186.0656956455</v>
      </c>
      <c r="E199" s="148">
        <f t="shared" si="55"/>
        <v>421627.89352</v>
      </c>
      <c r="F199" s="148">
        <f t="shared" si="55"/>
        <v>0</v>
      </c>
      <c r="G199" s="148">
        <f t="shared" si="56"/>
        <v>620558.1721756456</v>
      </c>
      <c r="H199" s="149">
        <f t="shared" si="60"/>
        <v>0.6301696268831045</v>
      </c>
      <c r="I199" s="150">
        <f t="shared" si="58"/>
        <v>391056.9118191879</v>
      </c>
      <c r="J199" s="148">
        <f t="shared" si="59"/>
        <v>656754.0041621956</v>
      </c>
      <c r="K199" s="148">
        <f t="shared" si="61"/>
        <v>265697.09234300774</v>
      </c>
    </row>
    <row r="200" spans="1:11" ht="15">
      <c r="A200" s="457"/>
      <c r="B200" s="147">
        <v>7</v>
      </c>
      <c r="C200" s="148">
        <f t="shared" si="55"/>
        <v>0</v>
      </c>
      <c r="D200" s="148">
        <f t="shared" si="57"/>
        <v>1010920.4837247762</v>
      </c>
      <c r="E200" s="148">
        <f t="shared" si="55"/>
        <v>421627.89352</v>
      </c>
      <c r="F200" s="148">
        <f t="shared" si="55"/>
        <v>0</v>
      </c>
      <c r="G200" s="148">
        <f t="shared" si="56"/>
        <v>589292.5902047763</v>
      </c>
      <c r="H200" s="149">
        <f t="shared" si="60"/>
        <v>0.5834903952621338</v>
      </c>
      <c r="I200" s="150">
        <f t="shared" si="58"/>
        <v>343846.5663836315</v>
      </c>
      <c r="J200" s="148">
        <f t="shared" si="59"/>
        <v>589862.3926271572</v>
      </c>
      <c r="K200" s="148">
        <f t="shared" si="61"/>
        <v>246015.82624352563</v>
      </c>
    </row>
    <row r="201" spans="1:11" ht="15">
      <c r="A201" s="457"/>
      <c r="B201" s="147">
        <v>8</v>
      </c>
      <c r="C201" s="148">
        <f t="shared" si="55"/>
        <v>0</v>
      </c>
      <c r="D201" s="148">
        <f t="shared" si="57"/>
        <v>980592.8692130328</v>
      </c>
      <c r="E201" s="148">
        <f t="shared" si="55"/>
        <v>421627.89352</v>
      </c>
      <c r="F201" s="148">
        <f t="shared" si="55"/>
        <v>0</v>
      </c>
      <c r="G201" s="148">
        <f t="shared" si="56"/>
        <v>558964.9756930328</v>
      </c>
      <c r="H201" s="149">
        <f t="shared" si="60"/>
        <v>0.5402688845019756</v>
      </c>
      <c r="I201" s="150">
        <f t="shared" si="58"/>
        <v>301991.3838933488</v>
      </c>
      <c r="J201" s="148">
        <f t="shared" si="59"/>
        <v>529783.8156003169</v>
      </c>
      <c r="K201" s="148">
        <f t="shared" si="61"/>
        <v>227792.43170696814</v>
      </c>
    </row>
    <row r="202" spans="1:11" ht="15">
      <c r="A202" s="457"/>
      <c r="B202" s="147">
        <v>9</v>
      </c>
      <c r="C202" s="148">
        <f t="shared" si="55"/>
        <v>0</v>
      </c>
      <c r="D202" s="148">
        <f t="shared" si="57"/>
        <v>951175.0831366419</v>
      </c>
      <c r="E202" s="148">
        <f t="shared" si="55"/>
        <v>421627.89352</v>
      </c>
      <c r="F202" s="148">
        <f t="shared" si="55"/>
        <v>0</v>
      </c>
      <c r="G202" s="148">
        <f t="shared" si="56"/>
        <v>529547.189616642</v>
      </c>
      <c r="H202" s="149">
        <f t="shared" si="60"/>
        <v>0.5002489671314588</v>
      </c>
      <c r="I202" s="150">
        <f t="shared" si="58"/>
        <v>264905.43465309194</v>
      </c>
      <c r="J202" s="148">
        <f t="shared" si="59"/>
        <v>475824.3529002846</v>
      </c>
      <c r="K202" s="148">
        <f t="shared" si="61"/>
        <v>210918.9182471927</v>
      </c>
    </row>
    <row r="203" spans="1:11" ht="15">
      <c r="A203" s="457"/>
      <c r="B203" s="147">
        <v>10</v>
      </c>
      <c r="C203" s="148">
        <f t="shared" si="55"/>
        <v>0</v>
      </c>
      <c r="D203" s="148">
        <f t="shared" si="57"/>
        <v>922639.8306425426</v>
      </c>
      <c r="E203" s="148">
        <f t="shared" si="55"/>
        <v>421627.89352</v>
      </c>
      <c r="F203" s="148">
        <f t="shared" si="55"/>
        <v>0</v>
      </c>
      <c r="G203" s="148">
        <f t="shared" si="56"/>
        <v>501011.9371225426</v>
      </c>
      <c r="H203" s="149">
        <f t="shared" si="60"/>
        <v>0.4631934880846841</v>
      </c>
      <c r="I203" s="150">
        <f t="shared" si="58"/>
        <v>232065.46672785492</v>
      </c>
      <c r="J203" s="148">
        <f t="shared" si="59"/>
        <v>427360.76140118146</v>
      </c>
      <c r="K203" s="148">
        <f t="shared" si="61"/>
        <v>195295.29467332657</v>
      </c>
    </row>
    <row r="204" spans="1:11" ht="15">
      <c r="A204" s="457"/>
      <c r="B204" s="460" t="s">
        <v>221</v>
      </c>
      <c r="C204" s="461"/>
      <c r="D204" s="461"/>
      <c r="E204" s="461"/>
      <c r="F204" s="461"/>
      <c r="G204" s="461"/>
      <c r="H204" s="461"/>
      <c r="I204" s="462"/>
      <c r="J204" s="150">
        <f>SUM(J194:J203)</f>
        <v>7264462.409533141</v>
      </c>
      <c r="K204" s="150">
        <f>SUM(K194:K203)</f>
        <v>3027932.394966539</v>
      </c>
    </row>
    <row r="205" spans="1:11" ht="15">
      <c r="A205" s="30"/>
      <c r="B205" s="30"/>
      <c r="C205" s="30"/>
      <c r="D205" s="30"/>
      <c r="E205" s="30"/>
      <c r="F205" s="30"/>
      <c r="G205" s="30"/>
      <c r="H205" s="30"/>
      <c r="I205" s="463" t="s">
        <v>224</v>
      </c>
      <c r="J205" s="464" t="s">
        <v>225</v>
      </c>
      <c r="K205" s="464" t="s">
        <v>198</v>
      </c>
    </row>
    <row r="206" spans="2:11" ht="15">
      <c r="B206" s="30"/>
      <c r="C206" s="30"/>
      <c r="D206" s="30"/>
      <c r="E206" s="30"/>
      <c r="F206" s="30"/>
      <c r="G206" s="30"/>
      <c r="H206" s="30"/>
      <c r="I206" s="463"/>
      <c r="J206" s="464"/>
      <c r="K206" s="464"/>
    </row>
    <row r="207" spans="2:11" ht="15">
      <c r="B207" s="30"/>
      <c r="C207" s="30"/>
      <c r="D207" s="30"/>
      <c r="E207" s="30"/>
      <c r="F207" s="30"/>
      <c r="G207" s="30"/>
      <c r="H207" s="30"/>
      <c r="I207" s="176">
        <f>SUM(I193:I203)</f>
        <v>185578.90266746125</v>
      </c>
      <c r="J207" s="177">
        <f>IRR(G193:G203)</f>
        <v>0.091019740084467</v>
      </c>
      <c r="K207" s="178">
        <f>J204/K204</f>
        <v>2.399149472956915</v>
      </c>
    </row>
    <row r="210" spans="1:11" ht="51">
      <c r="A210" s="457">
        <f>E35</f>
        <v>-0.15</v>
      </c>
      <c r="B210" s="46" t="s">
        <v>210</v>
      </c>
      <c r="C210" s="175" t="s">
        <v>211</v>
      </c>
      <c r="D210" s="46" t="s">
        <v>212</v>
      </c>
      <c r="E210" s="175" t="s">
        <v>213</v>
      </c>
      <c r="F210" s="175" t="s">
        <v>214</v>
      </c>
      <c r="G210" s="175" t="s">
        <v>215</v>
      </c>
      <c r="H210" s="175" t="s">
        <v>216</v>
      </c>
      <c r="I210" s="175" t="s">
        <v>215</v>
      </c>
      <c r="J210" s="175" t="s">
        <v>217</v>
      </c>
      <c r="K210" s="175" t="s">
        <v>218</v>
      </c>
    </row>
    <row r="211" spans="1:11" ht="15">
      <c r="A211" s="458"/>
      <c r="B211" s="147">
        <v>0</v>
      </c>
      <c r="C211" s="148">
        <f aca="true" t="shared" si="62" ref="C211:F221">E3</f>
        <v>4050951.1118991417</v>
      </c>
      <c r="D211" s="148">
        <f t="shared" si="62"/>
        <v>0</v>
      </c>
      <c r="E211" s="148">
        <f t="shared" si="62"/>
        <v>0</v>
      </c>
      <c r="F211" s="148">
        <f t="shared" si="62"/>
        <v>0</v>
      </c>
      <c r="G211" s="148">
        <f aca="true" t="shared" si="63" ref="G211:G221">D211-C211-E211-F211</f>
        <v>-4050951.1118991417</v>
      </c>
      <c r="H211" s="149">
        <v>1</v>
      </c>
      <c r="I211" s="150">
        <f>G211*H211</f>
        <v>-4050951.1118991417</v>
      </c>
      <c r="J211" s="147"/>
      <c r="K211" s="151"/>
    </row>
    <row r="212" spans="1:11" ht="15">
      <c r="A212" s="458"/>
      <c r="B212" s="147">
        <v>1</v>
      </c>
      <c r="C212" s="148">
        <f t="shared" si="62"/>
        <v>0</v>
      </c>
      <c r="D212" s="148">
        <f aca="true" t="shared" si="64" ref="D212:D221">F4*(1+$A$210)</f>
        <v>1159085.5989512624</v>
      </c>
      <c r="E212" s="148">
        <f t="shared" si="62"/>
        <v>421627.89352</v>
      </c>
      <c r="F212" s="148">
        <f t="shared" si="62"/>
        <v>0</v>
      </c>
      <c r="G212" s="148">
        <f t="shared" si="63"/>
        <v>737457.7054312625</v>
      </c>
      <c r="H212" s="149">
        <f>H211/(1+0.08)</f>
        <v>0.9259259259259258</v>
      </c>
      <c r="I212" s="150">
        <f aca="true" t="shared" si="65" ref="I212:I221">G212*H212</f>
        <v>682831.2087326504</v>
      </c>
      <c r="J212" s="148">
        <f aca="true" t="shared" si="66" ref="J212:J221">D212*H212</f>
        <v>1073227.406436354</v>
      </c>
      <c r="K212" s="148">
        <f>(E212+F212)*H212</f>
        <v>390396.19770370366</v>
      </c>
    </row>
    <row r="213" spans="1:11" ht="15">
      <c r="A213" s="458"/>
      <c r="B213" s="147">
        <v>2</v>
      </c>
      <c r="C213" s="148">
        <f t="shared" si="62"/>
        <v>0</v>
      </c>
      <c r="D213" s="148">
        <f t="shared" si="64"/>
        <v>1124313.0309827244</v>
      </c>
      <c r="E213" s="148">
        <f t="shared" si="62"/>
        <v>421627.89352</v>
      </c>
      <c r="F213" s="148">
        <f t="shared" si="62"/>
        <v>0</v>
      </c>
      <c r="G213" s="148">
        <f t="shared" si="63"/>
        <v>702685.1374627245</v>
      </c>
      <c r="H213" s="149">
        <f aca="true" t="shared" si="67" ref="H213:H221">H212/(1+0.08)</f>
        <v>0.8573388203017831</v>
      </c>
      <c r="I213" s="150">
        <f t="shared" si="65"/>
        <v>602439.2467958885</v>
      </c>
      <c r="J213" s="148">
        <f t="shared" si="66"/>
        <v>963917.2076326511</v>
      </c>
      <c r="K213" s="148">
        <f aca="true" t="shared" si="68" ref="K213:K221">(E213+F213)*H213</f>
        <v>361477.9608367626</v>
      </c>
    </row>
    <row r="214" spans="1:11" ht="15">
      <c r="A214" s="458"/>
      <c r="B214" s="147">
        <v>3</v>
      </c>
      <c r="C214" s="148">
        <f t="shared" si="62"/>
        <v>0</v>
      </c>
      <c r="D214" s="148">
        <f t="shared" si="64"/>
        <v>1090583.6400532427</v>
      </c>
      <c r="E214" s="148">
        <f t="shared" si="62"/>
        <v>421627.89352</v>
      </c>
      <c r="F214" s="148">
        <f t="shared" si="62"/>
        <v>0</v>
      </c>
      <c r="G214" s="148">
        <f t="shared" si="63"/>
        <v>668955.7465332428</v>
      </c>
      <c r="H214" s="149">
        <f t="shared" si="67"/>
        <v>0.7938322410201695</v>
      </c>
      <c r="I214" s="150">
        <f t="shared" si="65"/>
        <v>531038.6394138045</v>
      </c>
      <c r="J214" s="148">
        <f t="shared" si="66"/>
        <v>865740.4550033995</v>
      </c>
      <c r="K214" s="148">
        <f t="shared" si="68"/>
        <v>334701.815589595</v>
      </c>
    </row>
    <row r="215" spans="1:11" ht="15">
      <c r="A215" s="458"/>
      <c r="B215" s="147">
        <v>4</v>
      </c>
      <c r="C215" s="148">
        <f t="shared" si="62"/>
        <v>0</v>
      </c>
      <c r="D215" s="148">
        <f t="shared" si="64"/>
        <v>1057866.1308516455</v>
      </c>
      <c r="E215" s="148">
        <f t="shared" si="62"/>
        <v>421627.89352</v>
      </c>
      <c r="F215" s="148">
        <f t="shared" si="62"/>
        <v>0</v>
      </c>
      <c r="G215" s="148">
        <f t="shared" si="63"/>
        <v>636238.2373316456</v>
      </c>
      <c r="H215" s="149">
        <f t="shared" si="67"/>
        <v>0.7350298527964532</v>
      </c>
      <c r="I215" s="150">
        <f t="shared" si="65"/>
        <v>467654.0979293543</v>
      </c>
      <c r="J215" s="148">
        <f t="shared" si="66"/>
        <v>777563.1864382385</v>
      </c>
      <c r="K215" s="148">
        <f t="shared" si="68"/>
        <v>309909.0885088842</v>
      </c>
    </row>
    <row r="216" spans="1:11" ht="15">
      <c r="A216" s="458"/>
      <c r="B216" s="147">
        <v>5</v>
      </c>
      <c r="C216" s="148">
        <f t="shared" si="62"/>
        <v>0</v>
      </c>
      <c r="D216" s="148">
        <f t="shared" si="64"/>
        <v>1026130.146926096</v>
      </c>
      <c r="E216" s="148">
        <f t="shared" si="62"/>
        <v>421627.89352</v>
      </c>
      <c r="F216" s="148">
        <f t="shared" si="62"/>
        <v>292065.55532</v>
      </c>
      <c r="G216" s="148">
        <f t="shared" si="63"/>
        <v>312436.69808609603</v>
      </c>
      <c r="H216" s="149">
        <f t="shared" si="67"/>
        <v>0.6805831970337529</v>
      </c>
      <c r="I216" s="150">
        <f t="shared" si="65"/>
        <v>212639.16685410467</v>
      </c>
      <c r="J216" s="148">
        <f t="shared" si="66"/>
        <v>698366.935967677</v>
      </c>
      <c r="K216" s="148">
        <f t="shared" si="68"/>
        <v>485727.7691135724</v>
      </c>
    </row>
    <row r="217" spans="1:11" ht="15">
      <c r="A217" s="458"/>
      <c r="B217" s="147">
        <v>6</v>
      </c>
      <c r="C217" s="148">
        <f t="shared" si="62"/>
        <v>0</v>
      </c>
      <c r="D217" s="148">
        <f t="shared" si="64"/>
        <v>995346.2425183131</v>
      </c>
      <c r="E217" s="148">
        <f t="shared" si="62"/>
        <v>421627.89352</v>
      </c>
      <c r="F217" s="148">
        <f t="shared" si="62"/>
        <v>0</v>
      </c>
      <c r="G217" s="148">
        <f t="shared" si="63"/>
        <v>573718.3489983131</v>
      </c>
      <c r="H217" s="149">
        <f t="shared" si="67"/>
        <v>0.6301696268831045</v>
      </c>
      <c r="I217" s="150">
        <f t="shared" si="65"/>
        <v>361539.8779242577</v>
      </c>
      <c r="J217" s="148">
        <f t="shared" si="66"/>
        <v>627236.9702672655</v>
      </c>
      <c r="K217" s="148">
        <f t="shared" si="68"/>
        <v>265697.09234300774</v>
      </c>
    </row>
    <row r="218" spans="1:11" ht="15">
      <c r="A218" s="458"/>
      <c r="B218" s="147">
        <v>7</v>
      </c>
      <c r="C218" s="148">
        <f t="shared" si="62"/>
        <v>0</v>
      </c>
      <c r="D218" s="148">
        <f t="shared" si="64"/>
        <v>965485.8552427638</v>
      </c>
      <c r="E218" s="148">
        <f t="shared" si="62"/>
        <v>421627.89352</v>
      </c>
      <c r="F218" s="148">
        <f t="shared" si="62"/>
        <v>0</v>
      </c>
      <c r="G218" s="148">
        <f t="shared" si="63"/>
        <v>543857.9617227637</v>
      </c>
      <c r="H218" s="149">
        <f t="shared" si="67"/>
        <v>0.5834903952621338</v>
      </c>
      <c r="I218" s="150">
        <f t="shared" si="65"/>
        <v>317335.8970520738</v>
      </c>
      <c r="J218" s="148">
        <f t="shared" si="66"/>
        <v>563351.7232955995</v>
      </c>
      <c r="K218" s="148">
        <f t="shared" si="68"/>
        <v>246015.82624352563</v>
      </c>
    </row>
    <row r="219" spans="1:11" ht="15">
      <c r="A219" s="458"/>
      <c r="B219" s="147">
        <v>8</v>
      </c>
      <c r="C219" s="148">
        <f t="shared" si="62"/>
        <v>0</v>
      </c>
      <c r="D219" s="148">
        <f t="shared" si="64"/>
        <v>936521.2795854807</v>
      </c>
      <c r="E219" s="148">
        <f t="shared" si="62"/>
        <v>421627.89352</v>
      </c>
      <c r="F219" s="148">
        <f t="shared" si="62"/>
        <v>0</v>
      </c>
      <c r="G219" s="148">
        <f t="shared" si="63"/>
        <v>514893.3860654807</v>
      </c>
      <c r="H219" s="149">
        <f t="shared" si="67"/>
        <v>0.5402688845019756</v>
      </c>
      <c r="I219" s="150">
        <f t="shared" si="65"/>
        <v>278180.87532704236</v>
      </c>
      <c r="J219" s="148">
        <f t="shared" si="66"/>
        <v>505973.3070340105</v>
      </c>
      <c r="K219" s="148">
        <f t="shared" si="68"/>
        <v>227792.43170696814</v>
      </c>
    </row>
    <row r="220" spans="1:11" ht="15">
      <c r="A220" s="458"/>
      <c r="B220" s="147">
        <v>9</v>
      </c>
      <c r="C220" s="148">
        <f t="shared" si="62"/>
        <v>0</v>
      </c>
      <c r="D220" s="148">
        <f t="shared" si="64"/>
        <v>908425.6411979164</v>
      </c>
      <c r="E220" s="148">
        <f t="shared" si="62"/>
        <v>421627.89352</v>
      </c>
      <c r="F220" s="148">
        <f t="shared" si="62"/>
        <v>0</v>
      </c>
      <c r="G220" s="148">
        <f t="shared" si="63"/>
        <v>486797.74767791637</v>
      </c>
      <c r="H220" s="149">
        <f t="shared" si="67"/>
        <v>0.5002489671314588</v>
      </c>
      <c r="I220" s="150">
        <f t="shared" si="65"/>
        <v>243520.07047779817</v>
      </c>
      <c r="J220" s="148">
        <f t="shared" si="66"/>
        <v>454438.98872499086</v>
      </c>
      <c r="K220" s="148">
        <f t="shared" si="68"/>
        <v>210918.9182471927</v>
      </c>
    </row>
    <row r="221" spans="1:11" ht="15">
      <c r="A221" s="458"/>
      <c r="B221" s="147">
        <v>10</v>
      </c>
      <c r="C221" s="148">
        <f t="shared" si="62"/>
        <v>0</v>
      </c>
      <c r="D221" s="148">
        <f t="shared" si="64"/>
        <v>881172.8719619788</v>
      </c>
      <c r="E221" s="148">
        <f t="shared" si="62"/>
        <v>421627.89352</v>
      </c>
      <c r="F221" s="148">
        <f t="shared" si="62"/>
        <v>0</v>
      </c>
      <c r="G221" s="148">
        <f t="shared" si="63"/>
        <v>459544.97844197886</v>
      </c>
      <c r="H221" s="149">
        <f t="shared" si="67"/>
        <v>0.4631934880846841</v>
      </c>
      <c r="I221" s="150">
        <f t="shared" si="65"/>
        <v>212858.24149634113</v>
      </c>
      <c r="J221" s="148">
        <f t="shared" si="66"/>
        <v>408153.53616966767</v>
      </c>
      <c r="K221" s="148">
        <f t="shared" si="68"/>
        <v>195295.29467332657</v>
      </c>
    </row>
    <row r="222" spans="1:11" ht="15">
      <c r="A222" s="458"/>
      <c r="B222" s="460" t="s">
        <v>221</v>
      </c>
      <c r="C222" s="461"/>
      <c r="D222" s="461"/>
      <c r="E222" s="461"/>
      <c r="F222" s="461"/>
      <c r="G222" s="461"/>
      <c r="H222" s="461"/>
      <c r="I222" s="462"/>
      <c r="J222" s="150">
        <f>SUM(J212:J221)</f>
        <v>6937969.716969853</v>
      </c>
      <c r="K222" s="150">
        <f>SUM(K212:K221)</f>
        <v>3027932.394966539</v>
      </c>
    </row>
    <row r="223" spans="2:11" ht="15">
      <c r="B223" s="30"/>
      <c r="C223" s="30"/>
      <c r="D223" s="30"/>
      <c r="E223" s="30"/>
      <c r="F223" s="30"/>
      <c r="G223" s="30"/>
      <c r="H223" s="30"/>
      <c r="I223" s="463" t="s">
        <v>224</v>
      </c>
      <c r="J223" s="464" t="s">
        <v>225</v>
      </c>
      <c r="K223" s="464" t="s">
        <v>198</v>
      </c>
    </row>
    <row r="224" spans="2:11" ht="15">
      <c r="B224" s="30"/>
      <c r="C224" s="30"/>
      <c r="D224" s="30"/>
      <c r="E224" s="30"/>
      <c r="F224" s="30"/>
      <c r="G224" s="30"/>
      <c r="H224" s="30"/>
      <c r="I224" s="463"/>
      <c r="J224" s="464"/>
      <c r="K224" s="464"/>
    </row>
    <row r="225" spans="2:11" ht="15">
      <c r="B225" s="30"/>
      <c r="C225" s="30"/>
      <c r="D225" s="30"/>
      <c r="E225" s="30"/>
      <c r="F225" s="30"/>
      <c r="G225" s="30"/>
      <c r="H225" s="30"/>
      <c r="I225" s="176">
        <f>SUM(I211:I221)</f>
        <v>-140913.7898958266</v>
      </c>
      <c r="J225" s="177">
        <f>IRR(G211:G221)</f>
        <v>0.0714779151644227</v>
      </c>
      <c r="K225" s="178">
        <f>J222/K222</f>
        <v>2.2913225303521094</v>
      </c>
    </row>
    <row r="228" spans="1:11" ht="21">
      <c r="A228" s="467" t="s">
        <v>232</v>
      </c>
      <c r="B228" s="467"/>
      <c r="C228" s="467"/>
      <c r="D228" s="467"/>
      <c r="E228" s="467"/>
      <c r="F228" s="467"/>
      <c r="G228" s="467"/>
      <c r="H228" s="467"/>
      <c r="I228" s="467"/>
      <c r="J228" s="467"/>
      <c r="K228" s="467"/>
    </row>
    <row r="229" spans="1:11" ht="51">
      <c r="A229" s="457">
        <f>E39</f>
        <v>0.05</v>
      </c>
      <c r="B229" s="46" t="s">
        <v>210</v>
      </c>
      <c r="C229" s="175" t="s">
        <v>211</v>
      </c>
      <c r="D229" s="46" t="s">
        <v>212</v>
      </c>
      <c r="E229" s="175" t="s">
        <v>213</v>
      </c>
      <c r="F229" s="175" t="s">
        <v>214</v>
      </c>
      <c r="G229" s="175" t="s">
        <v>215</v>
      </c>
      <c r="H229" s="175" t="s">
        <v>216</v>
      </c>
      <c r="I229" s="175" t="s">
        <v>215</v>
      </c>
      <c r="J229" s="175" t="s">
        <v>217</v>
      </c>
      <c r="K229" s="175" t="s">
        <v>218</v>
      </c>
    </row>
    <row r="230" spans="1:11" ht="15">
      <c r="A230" s="458"/>
      <c r="B230" s="147">
        <v>0</v>
      </c>
      <c r="C230" s="148">
        <f aca="true" t="shared" si="69" ref="C230:F240">E3</f>
        <v>4050951.1118991417</v>
      </c>
      <c r="D230" s="148">
        <f t="shared" si="69"/>
        <v>0</v>
      </c>
      <c r="E230" s="148">
        <f t="shared" si="69"/>
        <v>0</v>
      </c>
      <c r="F230" s="148">
        <f t="shared" si="69"/>
        <v>0</v>
      </c>
      <c r="G230" s="148">
        <f aca="true" t="shared" si="70" ref="G230:G240">D230-C230-E230-F230</f>
        <v>-4050951.1118991417</v>
      </c>
      <c r="H230" s="149">
        <v>1</v>
      </c>
      <c r="I230" s="150">
        <f>G230*H230</f>
        <v>-4050951.1118991417</v>
      </c>
      <c r="J230" s="147"/>
      <c r="K230" s="151"/>
    </row>
    <row r="231" spans="1:11" ht="15">
      <c r="A231" s="458"/>
      <c r="B231" s="147">
        <v>1</v>
      </c>
      <c r="C231" s="148">
        <f t="shared" si="69"/>
        <v>0</v>
      </c>
      <c r="D231" s="148">
        <f t="shared" si="69"/>
        <v>1363630.1164132499</v>
      </c>
      <c r="E231" s="148">
        <f aca="true" t="shared" si="71" ref="E231:E240">G4*(1+$A$229)</f>
        <v>442709.288196</v>
      </c>
      <c r="F231" s="148">
        <f t="shared" si="69"/>
        <v>0</v>
      </c>
      <c r="G231" s="148">
        <f t="shared" si="70"/>
        <v>920920.8282172498</v>
      </c>
      <c r="H231" s="149">
        <f>H230/(1+0.08)</f>
        <v>0.9259259259259258</v>
      </c>
      <c r="I231" s="150">
        <f aca="true" t="shared" si="72" ref="I231:I240">G231*H231</f>
        <v>852704.4705715275</v>
      </c>
      <c r="J231" s="148">
        <f aca="true" t="shared" si="73" ref="J231:J240">D231*H231</f>
        <v>1262620.4781604165</v>
      </c>
      <c r="K231" s="148">
        <f>(E231+F231)*H231</f>
        <v>409916.0075888888</v>
      </c>
    </row>
    <row r="232" spans="1:11" ht="15">
      <c r="A232" s="458"/>
      <c r="B232" s="147">
        <v>2</v>
      </c>
      <c r="C232" s="148">
        <f t="shared" si="69"/>
        <v>0</v>
      </c>
      <c r="D232" s="148">
        <f t="shared" si="69"/>
        <v>1322721.2129208522</v>
      </c>
      <c r="E232" s="148">
        <f t="shared" si="71"/>
        <v>442709.288196</v>
      </c>
      <c r="F232" s="148">
        <f t="shared" si="69"/>
        <v>0</v>
      </c>
      <c r="G232" s="148">
        <f t="shared" si="70"/>
        <v>880011.9247248522</v>
      </c>
      <c r="H232" s="149">
        <f aca="true" t="shared" si="74" ref="H232:H240">H231/(1+0.08)</f>
        <v>0.8573388203017831</v>
      </c>
      <c r="I232" s="150">
        <f t="shared" si="72"/>
        <v>754468.3853951064</v>
      </c>
      <c r="J232" s="148">
        <f t="shared" si="73"/>
        <v>1134020.244273707</v>
      </c>
      <c r="K232" s="148">
        <f aca="true" t="shared" si="75" ref="K232:K240">(E232+F232)*H232</f>
        <v>379551.85887860076</v>
      </c>
    </row>
    <row r="233" spans="1:11" ht="15">
      <c r="A233" s="458"/>
      <c r="B233" s="147">
        <v>3</v>
      </c>
      <c r="C233" s="148">
        <f t="shared" si="69"/>
        <v>0</v>
      </c>
      <c r="D233" s="148">
        <f t="shared" si="69"/>
        <v>1283039.5765332268</v>
      </c>
      <c r="E233" s="148">
        <f t="shared" si="71"/>
        <v>442709.288196</v>
      </c>
      <c r="F233" s="148">
        <f t="shared" si="69"/>
        <v>0</v>
      </c>
      <c r="G233" s="148">
        <f t="shared" si="70"/>
        <v>840330.2883372267</v>
      </c>
      <c r="H233" s="149">
        <f t="shared" si="74"/>
        <v>0.7938322410201695</v>
      </c>
      <c r="I233" s="150">
        <f t="shared" si="72"/>
        <v>667081.2759878659</v>
      </c>
      <c r="J233" s="148">
        <f t="shared" si="73"/>
        <v>1018518.1823569407</v>
      </c>
      <c r="K233" s="148">
        <f t="shared" si="75"/>
        <v>351436.9063690747</v>
      </c>
    </row>
    <row r="234" spans="1:11" ht="15">
      <c r="A234" s="458"/>
      <c r="B234" s="147">
        <v>4</v>
      </c>
      <c r="C234" s="148">
        <f t="shared" si="69"/>
        <v>0</v>
      </c>
      <c r="D234" s="148">
        <f t="shared" si="69"/>
        <v>1244548.38923723</v>
      </c>
      <c r="E234" s="148">
        <f t="shared" si="71"/>
        <v>442709.288196</v>
      </c>
      <c r="F234" s="148">
        <f t="shared" si="69"/>
        <v>0</v>
      </c>
      <c r="G234" s="148">
        <f t="shared" si="70"/>
        <v>801839.1010412299</v>
      </c>
      <c r="H234" s="149">
        <f t="shared" si="74"/>
        <v>0.7350298527964532</v>
      </c>
      <c r="I234" s="150">
        <f t="shared" si="72"/>
        <v>589375.6764047756</v>
      </c>
      <c r="J234" s="148">
        <f t="shared" si="73"/>
        <v>914780.219339104</v>
      </c>
      <c r="K234" s="148">
        <f t="shared" si="75"/>
        <v>325404.54293432843</v>
      </c>
    </row>
    <row r="235" spans="1:11" ht="15">
      <c r="A235" s="458"/>
      <c r="B235" s="147">
        <v>5</v>
      </c>
      <c r="C235" s="148">
        <f t="shared" si="69"/>
        <v>0</v>
      </c>
      <c r="D235" s="148">
        <f t="shared" si="69"/>
        <v>1207211.937560113</v>
      </c>
      <c r="E235" s="148">
        <f t="shared" si="71"/>
        <v>442709.288196</v>
      </c>
      <c r="F235" s="148">
        <f t="shared" si="69"/>
        <v>292065.55532</v>
      </c>
      <c r="G235" s="148">
        <f t="shared" si="70"/>
        <v>472437.0940441129</v>
      </c>
      <c r="H235" s="149">
        <f t="shared" si="74"/>
        <v>0.6805831970337529</v>
      </c>
      <c r="I235" s="150">
        <f t="shared" si="72"/>
        <v>321532.74786187813</v>
      </c>
      <c r="J235" s="148">
        <f t="shared" si="73"/>
        <v>821608.159961973</v>
      </c>
      <c r="K235" s="148">
        <f t="shared" si="75"/>
        <v>500075.4121000948</v>
      </c>
    </row>
    <row r="236" spans="1:11" ht="15">
      <c r="A236" s="458"/>
      <c r="B236" s="147">
        <v>6</v>
      </c>
      <c r="C236" s="148">
        <f t="shared" si="69"/>
        <v>0</v>
      </c>
      <c r="D236" s="148">
        <f t="shared" si="69"/>
        <v>1170995.5794333096</v>
      </c>
      <c r="E236" s="148">
        <f t="shared" si="71"/>
        <v>442709.288196</v>
      </c>
      <c r="F236" s="148">
        <f t="shared" si="69"/>
        <v>0</v>
      </c>
      <c r="G236" s="148">
        <f t="shared" si="70"/>
        <v>728286.2912373096</v>
      </c>
      <c r="H236" s="149">
        <f t="shared" si="74"/>
        <v>0.6301696268831045</v>
      </c>
      <c r="I236" s="150">
        <f t="shared" si="72"/>
        <v>458943.90041309537</v>
      </c>
      <c r="J236" s="148">
        <f t="shared" si="73"/>
        <v>737925.8473732535</v>
      </c>
      <c r="K236" s="148">
        <f t="shared" si="75"/>
        <v>278981.9469601581</v>
      </c>
    </row>
    <row r="237" spans="1:11" ht="15">
      <c r="A237" s="458"/>
      <c r="B237" s="147">
        <v>7</v>
      </c>
      <c r="C237" s="148">
        <f t="shared" si="69"/>
        <v>0</v>
      </c>
      <c r="D237" s="148">
        <f t="shared" si="69"/>
        <v>1135865.7120503103</v>
      </c>
      <c r="E237" s="148">
        <f t="shared" si="71"/>
        <v>442709.288196</v>
      </c>
      <c r="F237" s="148">
        <f t="shared" si="69"/>
        <v>0</v>
      </c>
      <c r="G237" s="148">
        <f t="shared" si="70"/>
        <v>693156.4238543103</v>
      </c>
      <c r="H237" s="149">
        <f t="shared" si="74"/>
        <v>0.5834903952621338</v>
      </c>
      <c r="I237" s="150">
        <f t="shared" si="72"/>
        <v>404450.11573323864</v>
      </c>
      <c r="J237" s="148">
        <f t="shared" si="73"/>
        <v>662766.7332889406</v>
      </c>
      <c r="K237" s="148">
        <f t="shared" si="75"/>
        <v>258316.6175557019</v>
      </c>
    </row>
    <row r="238" spans="1:11" ht="15">
      <c r="A238" s="458"/>
      <c r="B238" s="147">
        <v>8</v>
      </c>
      <c r="C238" s="148">
        <f t="shared" si="69"/>
        <v>0</v>
      </c>
      <c r="D238" s="148">
        <f t="shared" si="69"/>
        <v>1101789.7406888008</v>
      </c>
      <c r="E238" s="148">
        <f t="shared" si="71"/>
        <v>442709.288196</v>
      </c>
      <c r="F238" s="148">
        <f t="shared" si="69"/>
        <v>0</v>
      </c>
      <c r="G238" s="148">
        <f t="shared" si="70"/>
        <v>659080.4524928008</v>
      </c>
      <c r="H238" s="149">
        <f t="shared" si="74"/>
        <v>0.5402688845019756</v>
      </c>
      <c r="I238" s="150">
        <f t="shared" si="72"/>
        <v>356080.6608653428</v>
      </c>
      <c r="J238" s="148">
        <f t="shared" si="73"/>
        <v>595262.7141576594</v>
      </c>
      <c r="K238" s="148">
        <f t="shared" si="75"/>
        <v>239182.05329231656</v>
      </c>
    </row>
    <row r="239" spans="1:11" ht="15">
      <c r="A239" s="458"/>
      <c r="B239" s="147">
        <v>9</v>
      </c>
      <c r="C239" s="148">
        <f t="shared" si="69"/>
        <v>0</v>
      </c>
      <c r="D239" s="148">
        <f t="shared" si="69"/>
        <v>1068736.048468137</v>
      </c>
      <c r="E239" s="148">
        <f t="shared" si="71"/>
        <v>442709.288196</v>
      </c>
      <c r="F239" s="148">
        <f t="shared" si="69"/>
        <v>0</v>
      </c>
      <c r="G239" s="148">
        <f t="shared" si="70"/>
        <v>626026.7602721369</v>
      </c>
      <c r="H239" s="149">
        <f t="shared" si="74"/>
        <v>0.5002489671314588</v>
      </c>
      <c r="I239" s="150">
        <f t="shared" si="72"/>
        <v>313169.2402227899</v>
      </c>
      <c r="J239" s="148">
        <f t="shared" si="73"/>
        <v>534634.1043823422</v>
      </c>
      <c r="K239" s="148">
        <f t="shared" si="75"/>
        <v>221464.86415955232</v>
      </c>
    </row>
    <row r="240" spans="1:11" ht="15">
      <c r="A240" s="458"/>
      <c r="B240" s="147">
        <v>10</v>
      </c>
      <c r="C240" s="148">
        <f t="shared" si="69"/>
        <v>0</v>
      </c>
      <c r="D240" s="148">
        <f t="shared" si="69"/>
        <v>1036673.9670140927</v>
      </c>
      <c r="E240" s="148">
        <f t="shared" si="71"/>
        <v>442709.288196</v>
      </c>
      <c r="F240" s="148">
        <f t="shared" si="69"/>
        <v>0</v>
      </c>
      <c r="G240" s="148">
        <f t="shared" si="70"/>
        <v>593964.6788180927</v>
      </c>
      <c r="H240" s="149">
        <f t="shared" si="74"/>
        <v>0.4631934880846841</v>
      </c>
      <c r="I240" s="150">
        <f t="shared" si="72"/>
        <v>275120.57138085144</v>
      </c>
      <c r="J240" s="148">
        <f t="shared" si="73"/>
        <v>480180.6307878443</v>
      </c>
      <c r="K240" s="148">
        <f t="shared" si="75"/>
        <v>205060.0594069929</v>
      </c>
    </row>
    <row r="241" spans="1:11" ht="15">
      <c r="A241" s="458"/>
      <c r="B241" s="460" t="s">
        <v>221</v>
      </c>
      <c r="C241" s="461"/>
      <c r="D241" s="461"/>
      <c r="E241" s="461"/>
      <c r="F241" s="461"/>
      <c r="G241" s="461"/>
      <c r="H241" s="461"/>
      <c r="I241" s="462"/>
      <c r="J241" s="150">
        <f>SUM(J231:J240)</f>
        <v>8162317.314082181</v>
      </c>
      <c r="K241" s="150">
        <f>SUM(K231:K240)</f>
        <v>3169390.2692457098</v>
      </c>
    </row>
    <row r="242" spans="2:11" ht="15">
      <c r="B242" s="30"/>
      <c r="C242" s="30"/>
      <c r="D242" s="30"/>
      <c r="E242" s="30"/>
      <c r="F242" s="30"/>
      <c r="G242" s="30"/>
      <c r="H242" s="30"/>
      <c r="I242" s="463" t="s">
        <v>224</v>
      </c>
      <c r="J242" s="464" t="s">
        <v>225</v>
      </c>
      <c r="K242" s="464" t="s">
        <v>198</v>
      </c>
    </row>
    <row r="243" spans="2:11" ht="15">
      <c r="B243" s="30"/>
      <c r="C243" s="30"/>
      <c r="D243" s="30"/>
      <c r="E243" s="30"/>
      <c r="F243" s="30"/>
      <c r="G243" s="30"/>
      <c r="H243" s="30"/>
      <c r="I243" s="463"/>
      <c r="J243" s="464"/>
      <c r="K243" s="464"/>
    </row>
    <row r="244" spans="2:11" ht="15">
      <c r="B244" s="30"/>
      <c r="C244" s="30"/>
      <c r="D244" s="30"/>
      <c r="E244" s="30"/>
      <c r="F244" s="30"/>
      <c r="G244" s="30"/>
      <c r="H244" s="30"/>
      <c r="I244" s="176">
        <f>SUM(I230:I240)</f>
        <v>941975.9329373302</v>
      </c>
      <c r="J244" s="177">
        <f>IRR(G230:G240)</f>
        <v>0.13401508209638258</v>
      </c>
      <c r="K244" s="178">
        <f>J241/K241</f>
        <v>2.5753588610672264</v>
      </c>
    </row>
    <row r="248" spans="1:11" ht="51">
      <c r="A248" s="457">
        <f>E40</f>
        <v>0.1</v>
      </c>
      <c r="B248" s="46" t="s">
        <v>210</v>
      </c>
      <c r="C248" s="175" t="s">
        <v>211</v>
      </c>
      <c r="D248" s="46" t="s">
        <v>212</v>
      </c>
      <c r="E248" s="175" t="s">
        <v>213</v>
      </c>
      <c r="F248" s="175" t="s">
        <v>214</v>
      </c>
      <c r="G248" s="175" t="s">
        <v>215</v>
      </c>
      <c r="H248" s="175" t="s">
        <v>216</v>
      </c>
      <c r="I248" s="175" t="s">
        <v>215</v>
      </c>
      <c r="J248" s="175" t="s">
        <v>217</v>
      </c>
      <c r="K248" s="175" t="s">
        <v>218</v>
      </c>
    </row>
    <row r="249" spans="1:11" ht="15">
      <c r="A249" s="458"/>
      <c r="B249" s="147">
        <v>0</v>
      </c>
      <c r="C249" s="179">
        <f aca="true" t="shared" si="76" ref="C249:F259">E3</f>
        <v>4050951.1118991417</v>
      </c>
      <c r="D249" s="179">
        <f t="shared" si="76"/>
        <v>0</v>
      </c>
      <c r="E249" s="179">
        <f t="shared" si="76"/>
        <v>0</v>
      </c>
      <c r="F249" s="179">
        <f t="shared" si="76"/>
        <v>0</v>
      </c>
      <c r="G249" s="148">
        <f aca="true" t="shared" si="77" ref="G249:G259">D249-C249-E249-F249</f>
        <v>-4050951.1118991417</v>
      </c>
      <c r="H249" s="149">
        <v>1</v>
      </c>
      <c r="I249" s="150">
        <f>G249*H249</f>
        <v>-4050951.1118991417</v>
      </c>
      <c r="J249" s="147"/>
      <c r="K249" s="151"/>
    </row>
    <row r="250" spans="1:11" ht="15">
      <c r="A250" s="458"/>
      <c r="B250" s="147">
        <v>1</v>
      </c>
      <c r="C250" s="179">
        <f t="shared" si="76"/>
        <v>0</v>
      </c>
      <c r="D250" s="179">
        <f t="shared" si="76"/>
        <v>1363630.1164132499</v>
      </c>
      <c r="E250" s="179">
        <f aca="true" t="shared" si="78" ref="E250:E259">G4*(1+$A$248)</f>
        <v>463790.68287200003</v>
      </c>
      <c r="F250" s="179">
        <f t="shared" si="76"/>
        <v>0</v>
      </c>
      <c r="G250" s="148">
        <f t="shared" si="77"/>
        <v>899839.4335412498</v>
      </c>
      <c r="H250" s="149">
        <f>H249/(1+0.08)</f>
        <v>0.9259259259259258</v>
      </c>
      <c r="I250" s="150">
        <f aca="true" t="shared" si="79" ref="I250:I259">G250*H250</f>
        <v>833184.6606863424</v>
      </c>
      <c r="J250" s="148">
        <f aca="true" t="shared" si="80" ref="J250:J259">D250*H250</f>
        <v>1262620.4781604165</v>
      </c>
      <c r="K250" s="148">
        <f>(E250+F250)*H250</f>
        <v>429435.8174740741</v>
      </c>
    </row>
    <row r="251" spans="1:11" ht="15">
      <c r="A251" s="458"/>
      <c r="B251" s="147">
        <v>2</v>
      </c>
      <c r="C251" s="179">
        <f t="shared" si="76"/>
        <v>0</v>
      </c>
      <c r="D251" s="179">
        <f t="shared" si="76"/>
        <v>1322721.2129208522</v>
      </c>
      <c r="E251" s="179">
        <f t="shared" si="78"/>
        <v>463790.68287200003</v>
      </c>
      <c r="F251" s="179">
        <f t="shared" si="76"/>
        <v>0</v>
      </c>
      <c r="G251" s="148">
        <f t="shared" si="77"/>
        <v>858930.5300488522</v>
      </c>
      <c r="H251" s="149">
        <f aca="true" t="shared" si="81" ref="H251:H259">H250/(1+0.08)</f>
        <v>0.8573388203017831</v>
      </c>
      <c r="I251" s="150">
        <f t="shared" si="79"/>
        <v>736394.4873532682</v>
      </c>
      <c r="J251" s="148">
        <f t="shared" si="80"/>
        <v>1134020.244273707</v>
      </c>
      <c r="K251" s="148">
        <f aca="true" t="shared" si="82" ref="K251:K259">(E251+F251)*H251</f>
        <v>397625.7569204389</v>
      </c>
    </row>
    <row r="252" spans="1:11" ht="15">
      <c r="A252" s="458"/>
      <c r="B252" s="147">
        <v>3</v>
      </c>
      <c r="C252" s="179">
        <f t="shared" si="76"/>
        <v>0</v>
      </c>
      <c r="D252" s="179">
        <f t="shared" si="76"/>
        <v>1283039.5765332268</v>
      </c>
      <c r="E252" s="179">
        <f t="shared" si="78"/>
        <v>463790.68287200003</v>
      </c>
      <c r="F252" s="179">
        <f t="shared" si="76"/>
        <v>0</v>
      </c>
      <c r="G252" s="148">
        <f t="shared" si="77"/>
        <v>819248.8936612267</v>
      </c>
      <c r="H252" s="149">
        <f t="shared" si="81"/>
        <v>0.7938322410201695</v>
      </c>
      <c r="I252" s="150">
        <f t="shared" si="79"/>
        <v>650346.1852083862</v>
      </c>
      <c r="J252" s="148">
        <f t="shared" si="80"/>
        <v>1018518.1823569407</v>
      </c>
      <c r="K252" s="148">
        <f t="shared" si="82"/>
        <v>368171.99714855454</v>
      </c>
    </row>
    <row r="253" spans="1:11" ht="15">
      <c r="A253" s="458"/>
      <c r="B253" s="147">
        <v>4</v>
      </c>
      <c r="C253" s="179">
        <f t="shared" si="76"/>
        <v>0</v>
      </c>
      <c r="D253" s="179">
        <f t="shared" si="76"/>
        <v>1244548.38923723</v>
      </c>
      <c r="E253" s="179">
        <f t="shared" si="78"/>
        <v>463790.68287200003</v>
      </c>
      <c r="F253" s="179">
        <f t="shared" si="76"/>
        <v>0</v>
      </c>
      <c r="G253" s="148">
        <f t="shared" si="77"/>
        <v>780757.7063652299</v>
      </c>
      <c r="H253" s="149">
        <f t="shared" si="81"/>
        <v>0.7350298527964532</v>
      </c>
      <c r="I253" s="150">
        <f t="shared" si="79"/>
        <v>573880.2219793313</v>
      </c>
      <c r="J253" s="148">
        <f t="shared" si="80"/>
        <v>914780.219339104</v>
      </c>
      <c r="K253" s="148">
        <f t="shared" si="82"/>
        <v>340899.9973597727</v>
      </c>
    </row>
    <row r="254" spans="1:11" ht="15">
      <c r="A254" s="458"/>
      <c r="B254" s="147">
        <v>5</v>
      </c>
      <c r="C254" s="179">
        <f t="shared" si="76"/>
        <v>0</v>
      </c>
      <c r="D254" s="179">
        <f t="shared" si="76"/>
        <v>1207211.937560113</v>
      </c>
      <c r="E254" s="179">
        <f t="shared" si="78"/>
        <v>463790.68287200003</v>
      </c>
      <c r="F254" s="179">
        <f t="shared" si="76"/>
        <v>292065.55532</v>
      </c>
      <c r="G254" s="148">
        <f t="shared" si="77"/>
        <v>451355.6993681129</v>
      </c>
      <c r="H254" s="149">
        <f t="shared" si="81"/>
        <v>0.6805831970337529</v>
      </c>
      <c r="I254" s="150">
        <f t="shared" si="79"/>
        <v>307185.1048753557</v>
      </c>
      <c r="J254" s="148">
        <f t="shared" si="80"/>
        <v>821608.159961973</v>
      </c>
      <c r="K254" s="148">
        <f t="shared" si="82"/>
        <v>514423.0550866172</v>
      </c>
    </row>
    <row r="255" spans="1:11" ht="15">
      <c r="A255" s="458"/>
      <c r="B255" s="147">
        <v>6</v>
      </c>
      <c r="C255" s="179">
        <f t="shared" si="76"/>
        <v>0</v>
      </c>
      <c r="D255" s="179">
        <f t="shared" si="76"/>
        <v>1170995.5794333096</v>
      </c>
      <c r="E255" s="179">
        <f t="shared" si="78"/>
        <v>463790.68287200003</v>
      </c>
      <c r="F255" s="179">
        <f t="shared" si="76"/>
        <v>0</v>
      </c>
      <c r="G255" s="148">
        <f t="shared" si="77"/>
        <v>707204.8965613096</v>
      </c>
      <c r="H255" s="149">
        <f t="shared" si="81"/>
        <v>0.6301696268831045</v>
      </c>
      <c r="I255" s="150">
        <f t="shared" si="79"/>
        <v>445659.045795945</v>
      </c>
      <c r="J255" s="148">
        <f t="shared" si="80"/>
        <v>737925.8473732535</v>
      </c>
      <c r="K255" s="148">
        <f t="shared" si="82"/>
        <v>292266.8015773085</v>
      </c>
    </row>
    <row r="256" spans="1:11" ht="15">
      <c r="A256" s="458"/>
      <c r="B256" s="147">
        <v>7</v>
      </c>
      <c r="C256" s="179">
        <f t="shared" si="76"/>
        <v>0</v>
      </c>
      <c r="D256" s="179">
        <f t="shared" si="76"/>
        <v>1135865.7120503103</v>
      </c>
      <c r="E256" s="179">
        <f t="shared" si="78"/>
        <v>463790.68287200003</v>
      </c>
      <c r="F256" s="179">
        <f t="shared" si="76"/>
        <v>0</v>
      </c>
      <c r="G256" s="148">
        <f t="shared" si="77"/>
        <v>672075.0291783103</v>
      </c>
      <c r="H256" s="149">
        <f t="shared" si="81"/>
        <v>0.5834903952621338</v>
      </c>
      <c r="I256" s="150">
        <f t="shared" si="79"/>
        <v>392149.32442106237</v>
      </c>
      <c r="J256" s="148">
        <f t="shared" si="80"/>
        <v>662766.7332889406</v>
      </c>
      <c r="K256" s="148">
        <f t="shared" si="82"/>
        <v>270617.4088678782</v>
      </c>
    </row>
    <row r="257" spans="1:11" ht="15">
      <c r="A257" s="458"/>
      <c r="B257" s="147">
        <v>8</v>
      </c>
      <c r="C257" s="179">
        <f t="shared" si="76"/>
        <v>0</v>
      </c>
      <c r="D257" s="179">
        <f t="shared" si="76"/>
        <v>1101789.7406888008</v>
      </c>
      <c r="E257" s="179">
        <f t="shared" si="78"/>
        <v>463790.68287200003</v>
      </c>
      <c r="F257" s="179">
        <f t="shared" si="76"/>
        <v>0</v>
      </c>
      <c r="G257" s="148">
        <f t="shared" si="77"/>
        <v>637999.0578168008</v>
      </c>
      <c r="H257" s="149">
        <f t="shared" si="81"/>
        <v>0.5402688845019756</v>
      </c>
      <c r="I257" s="150">
        <f t="shared" si="79"/>
        <v>344691.03927999444</v>
      </c>
      <c r="J257" s="148">
        <f t="shared" si="80"/>
        <v>595262.7141576594</v>
      </c>
      <c r="K257" s="148">
        <f t="shared" si="82"/>
        <v>250571.674877665</v>
      </c>
    </row>
    <row r="258" spans="1:11" ht="15">
      <c r="A258" s="458"/>
      <c r="B258" s="147">
        <v>9</v>
      </c>
      <c r="C258" s="179">
        <f t="shared" si="76"/>
        <v>0</v>
      </c>
      <c r="D258" s="179">
        <f t="shared" si="76"/>
        <v>1068736.048468137</v>
      </c>
      <c r="E258" s="179">
        <f t="shared" si="78"/>
        <v>463790.68287200003</v>
      </c>
      <c r="F258" s="179">
        <f t="shared" si="76"/>
        <v>0</v>
      </c>
      <c r="G258" s="148">
        <f t="shared" si="77"/>
        <v>604945.3655961369</v>
      </c>
      <c r="H258" s="149">
        <f t="shared" si="81"/>
        <v>0.5002489671314588</v>
      </c>
      <c r="I258" s="150">
        <f t="shared" si="79"/>
        <v>302623.29431043024</v>
      </c>
      <c r="J258" s="148">
        <f t="shared" si="80"/>
        <v>534634.1043823422</v>
      </c>
      <c r="K258" s="148">
        <f t="shared" si="82"/>
        <v>232010.81007191198</v>
      </c>
    </row>
    <row r="259" spans="1:11" ht="15">
      <c r="A259" s="458"/>
      <c r="B259" s="147">
        <v>10</v>
      </c>
      <c r="C259" s="179">
        <f t="shared" si="76"/>
        <v>0</v>
      </c>
      <c r="D259" s="179">
        <f t="shared" si="76"/>
        <v>1036673.9670140927</v>
      </c>
      <c r="E259" s="179">
        <f t="shared" si="78"/>
        <v>463790.68287200003</v>
      </c>
      <c r="F259" s="179">
        <f t="shared" si="76"/>
        <v>0</v>
      </c>
      <c r="G259" s="148">
        <f t="shared" si="77"/>
        <v>572883.2841420927</v>
      </c>
      <c r="H259" s="149">
        <f t="shared" si="81"/>
        <v>0.4631934880846841</v>
      </c>
      <c r="I259" s="150">
        <f t="shared" si="79"/>
        <v>265355.8066471851</v>
      </c>
      <c r="J259" s="148">
        <f t="shared" si="80"/>
        <v>480180.6307878443</v>
      </c>
      <c r="K259" s="148">
        <f t="shared" si="82"/>
        <v>214824.82414065924</v>
      </c>
    </row>
    <row r="260" spans="1:11" ht="15">
      <c r="A260" s="458"/>
      <c r="B260" s="460" t="s">
        <v>221</v>
      </c>
      <c r="C260" s="461"/>
      <c r="D260" s="461"/>
      <c r="E260" s="461"/>
      <c r="F260" s="461"/>
      <c r="G260" s="461"/>
      <c r="H260" s="461"/>
      <c r="I260" s="462"/>
      <c r="J260" s="150">
        <f>SUM(J250:J259)</f>
        <v>8162317.314082181</v>
      </c>
      <c r="K260" s="150">
        <f>SUM(K250:K259)</f>
        <v>3310848.1435248805</v>
      </c>
    </row>
    <row r="261" spans="2:11" ht="15">
      <c r="B261" s="30"/>
      <c r="C261" s="30"/>
      <c r="D261" s="30"/>
      <c r="E261" s="30"/>
      <c r="F261" s="30"/>
      <c r="G261" s="30"/>
      <c r="H261" s="30"/>
      <c r="I261" s="463" t="s">
        <v>224</v>
      </c>
      <c r="J261" s="464" t="s">
        <v>225</v>
      </c>
      <c r="K261" s="464" t="s">
        <v>198</v>
      </c>
    </row>
    <row r="262" spans="2:11" ht="15">
      <c r="B262" s="30"/>
      <c r="C262" s="30"/>
      <c r="D262" s="30"/>
      <c r="E262" s="30"/>
      <c r="F262" s="30"/>
      <c r="G262" s="30"/>
      <c r="H262" s="30"/>
      <c r="I262" s="463"/>
      <c r="J262" s="464"/>
      <c r="K262" s="464"/>
    </row>
    <row r="263" spans="2:11" ht="15">
      <c r="B263" s="30"/>
      <c r="C263" s="30"/>
      <c r="D263" s="30"/>
      <c r="E263" s="30"/>
      <c r="F263" s="30"/>
      <c r="G263" s="30"/>
      <c r="H263" s="30"/>
      <c r="I263" s="176">
        <f>SUM(I249:I259)</f>
        <v>800518.0586581592</v>
      </c>
      <c r="J263" s="177">
        <f>IRR(G249:G259)</f>
        <v>0.12627246797595437</v>
      </c>
      <c r="K263" s="178">
        <f>J260/K260</f>
        <v>2.465325185646299</v>
      </c>
    </row>
    <row r="268" spans="1:11" ht="51">
      <c r="A268" s="457">
        <f>E41</f>
        <v>0.15</v>
      </c>
      <c r="B268" s="46" t="s">
        <v>210</v>
      </c>
      <c r="C268" s="175" t="s">
        <v>211</v>
      </c>
      <c r="D268" s="46" t="s">
        <v>212</v>
      </c>
      <c r="E268" s="175" t="s">
        <v>213</v>
      </c>
      <c r="F268" s="175" t="s">
        <v>214</v>
      </c>
      <c r="G268" s="175" t="s">
        <v>215</v>
      </c>
      <c r="H268" s="175" t="s">
        <v>216</v>
      </c>
      <c r="I268" s="175" t="s">
        <v>215</v>
      </c>
      <c r="J268" s="175" t="s">
        <v>217</v>
      </c>
      <c r="K268" s="175" t="s">
        <v>218</v>
      </c>
    </row>
    <row r="269" spans="1:11" ht="15">
      <c r="A269" s="458"/>
      <c r="B269" s="147">
        <v>0</v>
      </c>
      <c r="C269" s="148">
        <f aca="true" t="shared" si="83" ref="C269:F279">E3</f>
        <v>4050951.1118991417</v>
      </c>
      <c r="D269" s="148">
        <f t="shared" si="83"/>
        <v>0</v>
      </c>
      <c r="E269" s="148">
        <f t="shared" si="83"/>
        <v>0</v>
      </c>
      <c r="F269" s="148">
        <f t="shared" si="83"/>
        <v>0</v>
      </c>
      <c r="G269" s="148">
        <f>D269-C269-E269-F269</f>
        <v>-4050951.1118991417</v>
      </c>
      <c r="H269" s="149">
        <v>1</v>
      </c>
      <c r="I269" s="150">
        <f>G269*H269</f>
        <v>-4050951.1118991417</v>
      </c>
      <c r="J269" s="147"/>
      <c r="K269" s="151"/>
    </row>
    <row r="270" spans="1:11" ht="15">
      <c r="A270" s="458"/>
      <c r="B270" s="147">
        <v>1</v>
      </c>
      <c r="C270" s="148">
        <f t="shared" si="83"/>
        <v>0</v>
      </c>
      <c r="D270" s="148">
        <f t="shared" si="83"/>
        <v>1363630.1164132499</v>
      </c>
      <c r="E270" s="148">
        <f aca="true" t="shared" si="84" ref="E270:E279">G4*(1+$A$268)</f>
        <v>484872.077548</v>
      </c>
      <c r="F270" s="148">
        <f t="shared" si="83"/>
        <v>0</v>
      </c>
      <c r="G270" s="148">
        <f aca="true" t="shared" si="85" ref="G270:G279">D270-C270-E270-F270</f>
        <v>878758.0388652498</v>
      </c>
      <c r="H270" s="149">
        <f>H269/(1+0.08)</f>
        <v>0.9259259259259258</v>
      </c>
      <c r="I270" s="150">
        <f aca="true" t="shared" si="86" ref="I270:I279">G270*H270</f>
        <v>813664.8508011572</v>
      </c>
      <c r="J270" s="148">
        <f aca="true" t="shared" si="87" ref="J270:J279">D270*H270</f>
        <v>1262620.4781604165</v>
      </c>
      <c r="K270" s="148">
        <f>(E270+F270)*H270</f>
        <v>448955.6273592592</v>
      </c>
    </row>
    <row r="271" spans="1:11" ht="15">
      <c r="A271" s="458"/>
      <c r="B271" s="147">
        <v>2</v>
      </c>
      <c r="C271" s="148">
        <f t="shared" si="83"/>
        <v>0</v>
      </c>
      <c r="D271" s="148">
        <f t="shared" si="83"/>
        <v>1322721.2129208522</v>
      </c>
      <c r="E271" s="148">
        <f t="shared" si="84"/>
        <v>484872.077548</v>
      </c>
      <c r="F271" s="148">
        <f t="shared" si="83"/>
        <v>0</v>
      </c>
      <c r="G271" s="148">
        <f t="shared" si="85"/>
        <v>837849.1353728522</v>
      </c>
      <c r="H271" s="149">
        <f aca="true" t="shared" si="88" ref="H271:H279">H270/(1+0.08)</f>
        <v>0.8573388203017831</v>
      </c>
      <c r="I271" s="150">
        <f t="shared" si="86"/>
        <v>718320.5893114301</v>
      </c>
      <c r="J271" s="148">
        <f t="shared" si="87"/>
        <v>1134020.244273707</v>
      </c>
      <c r="K271" s="148">
        <f aca="true" t="shared" si="89" ref="K271:K279">(E271+F271)*H271</f>
        <v>415699.654962277</v>
      </c>
    </row>
    <row r="272" spans="1:11" ht="15">
      <c r="A272" s="458"/>
      <c r="B272" s="147">
        <v>3</v>
      </c>
      <c r="C272" s="148">
        <f t="shared" si="83"/>
        <v>0</v>
      </c>
      <c r="D272" s="148">
        <f t="shared" si="83"/>
        <v>1283039.5765332268</v>
      </c>
      <c r="E272" s="148">
        <f t="shared" si="84"/>
        <v>484872.077548</v>
      </c>
      <c r="F272" s="148">
        <f t="shared" si="83"/>
        <v>0</v>
      </c>
      <c r="G272" s="148">
        <f t="shared" si="85"/>
        <v>798167.4989852267</v>
      </c>
      <c r="H272" s="149">
        <f t="shared" si="88"/>
        <v>0.7938322410201695</v>
      </c>
      <c r="I272" s="150">
        <f t="shared" si="86"/>
        <v>633611.0944289063</v>
      </c>
      <c r="J272" s="148">
        <f t="shared" si="87"/>
        <v>1018518.1823569407</v>
      </c>
      <c r="K272" s="148">
        <f t="shared" si="89"/>
        <v>384907.0879280342</v>
      </c>
    </row>
    <row r="273" spans="1:11" ht="15">
      <c r="A273" s="458"/>
      <c r="B273" s="147">
        <v>4</v>
      </c>
      <c r="C273" s="148">
        <f t="shared" si="83"/>
        <v>0</v>
      </c>
      <c r="D273" s="148">
        <f t="shared" si="83"/>
        <v>1244548.38923723</v>
      </c>
      <c r="E273" s="148">
        <f t="shared" si="84"/>
        <v>484872.077548</v>
      </c>
      <c r="F273" s="148">
        <f t="shared" si="83"/>
        <v>0</v>
      </c>
      <c r="G273" s="148">
        <f t="shared" si="85"/>
        <v>759676.3116892299</v>
      </c>
      <c r="H273" s="149">
        <f t="shared" si="88"/>
        <v>0.7350298527964532</v>
      </c>
      <c r="I273" s="150">
        <f t="shared" si="86"/>
        <v>558384.7675538871</v>
      </c>
      <c r="J273" s="148">
        <f t="shared" si="87"/>
        <v>914780.219339104</v>
      </c>
      <c r="K273" s="148">
        <f t="shared" si="89"/>
        <v>356395.45178521686</v>
      </c>
    </row>
    <row r="274" spans="1:11" ht="15">
      <c r="A274" s="458"/>
      <c r="B274" s="147">
        <v>5</v>
      </c>
      <c r="C274" s="148">
        <f t="shared" si="83"/>
        <v>0</v>
      </c>
      <c r="D274" s="148">
        <f t="shared" si="83"/>
        <v>1207211.937560113</v>
      </c>
      <c r="E274" s="148">
        <f t="shared" si="84"/>
        <v>484872.077548</v>
      </c>
      <c r="F274" s="148">
        <f t="shared" si="83"/>
        <v>292065.55532</v>
      </c>
      <c r="G274" s="148">
        <f t="shared" si="85"/>
        <v>430274.3046921129</v>
      </c>
      <c r="H274" s="149">
        <f t="shared" si="88"/>
        <v>0.6805831970337529</v>
      </c>
      <c r="I274" s="150">
        <f t="shared" si="86"/>
        <v>292837.4618888333</v>
      </c>
      <c r="J274" s="148">
        <f t="shared" si="87"/>
        <v>821608.159961973</v>
      </c>
      <c r="K274" s="148">
        <f t="shared" si="89"/>
        <v>528770.6980731396</v>
      </c>
    </row>
    <row r="275" spans="1:11" ht="15">
      <c r="A275" s="458"/>
      <c r="B275" s="147">
        <v>6</v>
      </c>
      <c r="C275" s="148">
        <f t="shared" si="83"/>
        <v>0</v>
      </c>
      <c r="D275" s="148">
        <f t="shared" si="83"/>
        <v>1170995.5794333096</v>
      </c>
      <c r="E275" s="148">
        <f t="shared" si="84"/>
        <v>484872.077548</v>
      </c>
      <c r="F275" s="148">
        <f t="shared" si="83"/>
        <v>0</v>
      </c>
      <c r="G275" s="148">
        <f t="shared" si="85"/>
        <v>686123.5018853096</v>
      </c>
      <c r="H275" s="149">
        <f t="shared" si="88"/>
        <v>0.6301696268831045</v>
      </c>
      <c r="I275" s="150">
        <f t="shared" si="86"/>
        <v>432374.1911787946</v>
      </c>
      <c r="J275" s="148">
        <f t="shared" si="87"/>
        <v>737925.8473732535</v>
      </c>
      <c r="K275" s="148">
        <f t="shared" si="89"/>
        <v>305551.65619445883</v>
      </c>
    </row>
    <row r="276" spans="1:11" ht="15">
      <c r="A276" s="458"/>
      <c r="B276" s="147">
        <v>7</v>
      </c>
      <c r="C276" s="148">
        <f t="shared" si="83"/>
        <v>0</v>
      </c>
      <c r="D276" s="148">
        <f t="shared" si="83"/>
        <v>1135865.7120503103</v>
      </c>
      <c r="E276" s="148">
        <f t="shared" si="84"/>
        <v>484872.077548</v>
      </c>
      <c r="F276" s="148">
        <f t="shared" si="83"/>
        <v>0</v>
      </c>
      <c r="G276" s="148">
        <f t="shared" si="85"/>
        <v>650993.6345023103</v>
      </c>
      <c r="H276" s="149">
        <f t="shared" si="88"/>
        <v>0.5834903952621338</v>
      </c>
      <c r="I276" s="150">
        <f t="shared" si="86"/>
        <v>379848.5331088861</v>
      </c>
      <c r="J276" s="148">
        <f t="shared" si="87"/>
        <v>662766.7332889406</v>
      </c>
      <c r="K276" s="148">
        <f t="shared" si="89"/>
        <v>282918.20018005447</v>
      </c>
    </row>
    <row r="277" spans="1:11" ht="15">
      <c r="A277" s="458"/>
      <c r="B277" s="147">
        <v>8</v>
      </c>
      <c r="C277" s="148">
        <f t="shared" si="83"/>
        <v>0</v>
      </c>
      <c r="D277" s="148">
        <f t="shared" si="83"/>
        <v>1101789.7406888008</v>
      </c>
      <c r="E277" s="148">
        <f t="shared" si="84"/>
        <v>484872.077548</v>
      </c>
      <c r="F277" s="148">
        <f t="shared" si="83"/>
        <v>0</v>
      </c>
      <c r="G277" s="148">
        <f t="shared" si="85"/>
        <v>616917.6631408008</v>
      </c>
      <c r="H277" s="149">
        <f t="shared" si="88"/>
        <v>0.5402688845019756</v>
      </c>
      <c r="I277" s="150">
        <f t="shared" si="86"/>
        <v>333301.417694646</v>
      </c>
      <c r="J277" s="148">
        <f t="shared" si="87"/>
        <v>595262.7141576594</v>
      </c>
      <c r="K277" s="148">
        <f t="shared" si="89"/>
        <v>261961.29646301336</v>
      </c>
    </row>
    <row r="278" spans="1:11" ht="15">
      <c r="A278" s="458"/>
      <c r="B278" s="147">
        <v>9</v>
      </c>
      <c r="C278" s="148">
        <f t="shared" si="83"/>
        <v>0</v>
      </c>
      <c r="D278" s="148">
        <f t="shared" si="83"/>
        <v>1068736.048468137</v>
      </c>
      <c r="E278" s="148">
        <f t="shared" si="84"/>
        <v>484872.077548</v>
      </c>
      <c r="F278" s="148">
        <f t="shared" si="83"/>
        <v>0</v>
      </c>
      <c r="G278" s="148">
        <f t="shared" si="85"/>
        <v>583863.9709201369</v>
      </c>
      <c r="H278" s="149">
        <f t="shared" si="88"/>
        <v>0.5002489671314588</v>
      </c>
      <c r="I278" s="150">
        <f t="shared" si="86"/>
        <v>292077.3483980706</v>
      </c>
      <c r="J278" s="148">
        <f t="shared" si="87"/>
        <v>534634.1043823422</v>
      </c>
      <c r="K278" s="148">
        <f t="shared" si="89"/>
        <v>242556.7559842716</v>
      </c>
    </row>
    <row r="279" spans="1:11" ht="15">
      <c r="A279" s="458"/>
      <c r="B279" s="147">
        <v>10</v>
      </c>
      <c r="C279" s="148">
        <f t="shared" si="83"/>
        <v>0</v>
      </c>
      <c r="D279" s="148">
        <f t="shared" si="83"/>
        <v>1036673.9670140927</v>
      </c>
      <c r="E279" s="148">
        <f t="shared" si="84"/>
        <v>484872.077548</v>
      </c>
      <c r="F279" s="148">
        <f t="shared" si="83"/>
        <v>0</v>
      </c>
      <c r="G279" s="148">
        <f t="shared" si="85"/>
        <v>551801.8894660927</v>
      </c>
      <c r="H279" s="149">
        <f t="shared" si="88"/>
        <v>0.4631934880846841</v>
      </c>
      <c r="I279" s="150">
        <f t="shared" si="86"/>
        <v>255591.04191351877</v>
      </c>
      <c r="J279" s="148">
        <f t="shared" si="87"/>
        <v>480180.6307878443</v>
      </c>
      <c r="K279" s="148">
        <f t="shared" si="89"/>
        <v>224589.58887432553</v>
      </c>
    </row>
    <row r="280" spans="1:11" ht="15">
      <c r="A280" s="458"/>
      <c r="B280" s="460" t="s">
        <v>221</v>
      </c>
      <c r="C280" s="461"/>
      <c r="D280" s="461"/>
      <c r="E280" s="461"/>
      <c r="F280" s="461"/>
      <c r="G280" s="461"/>
      <c r="H280" s="461"/>
      <c r="I280" s="462"/>
      <c r="J280" s="150">
        <f>SUM(J270:J279)</f>
        <v>8162317.314082181</v>
      </c>
      <c r="K280" s="150">
        <f>SUM(K270:K279)</f>
        <v>3452306.0178040504</v>
      </c>
    </row>
    <row r="281" spans="2:11" ht="15">
      <c r="B281" s="30"/>
      <c r="C281" s="30"/>
      <c r="D281" s="30"/>
      <c r="E281" s="30"/>
      <c r="F281" s="30"/>
      <c r="G281" s="30"/>
      <c r="H281" s="30"/>
      <c r="I281" s="463" t="s">
        <v>224</v>
      </c>
      <c r="J281" s="464" t="s">
        <v>225</v>
      </c>
      <c r="K281" s="464" t="s">
        <v>198</v>
      </c>
    </row>
    <row r="282" spans="2:11" ht="15">
      <c r="B282" s="30"/>
      <c r="C282" s="30"/>
      <c r="D282" s="30"/>
      <c r="E282" s="30"/>
      <c r="F282" s="30"/>
      <c r="G282" s="30"/>
      <c r="H282" s="30"/>
      <c r="I282" s="463"/>
      <c r="J282" s="464"/>
      <c r="K282" s="464"/>
    </row>
    <row r="283" spans="2:11" ht="15">
      <c r="B283" s="30"/>
      <c r="C283" s="30"/>
      <c r="D283" s="30"/>
      <c r="E283" s="30"/>
      <c r="F283" s="30"/>
      <c r="G283" s="30"/>
      <c r="H283" s="30"/>
      <c r="I283" s="176">
        <f>SUM(I269:I279)</f>
        <v>659060.1843789886</v>
      </c>
      <c r="J283" s="177">
        <f>IRR(G269:G279)</f>
        <v>0.1184136334809387</v>
      </c>
      <c r="K283" s="178">
        <f>J280/K280</f>
        <v>2.364308746671908</v>
      </c>
    </row>
    <row r="289" spans="1:11" ht="51">
      <c r="A289" s="457">
        <f>E42</f>
        <v>0.2</v>
      </c>
      <c r="B289" s="46" t="s">
        <v>210</v>
      </c>
      <c r="C289" s="175" t="s">
        <v>211</v>
      </c>
      <c r="D289" s="46" t="s">
        <v>212</v>
      </c>
      <c r="E289" s="175" t="s">
        <v>213</v>
      </c>
      <c r="F289" s="175" t="s">
        <v>214</v>
      </c>
      <c r="G289" s="175" t="s">
        <v>215</v>
      </c>
      <c r="H289" s="175" t="s">
        <v>216</v>
      </c>
      <c r="I289" s="175" t="s">
        <v>215</v>
      </c>
      <c r="J289" s="175" t="s">
        <v>217</v>
      </c>
      <c r="K289" s="175" t="s">
        <v>218</v>
      </c>
    </row>
    <row r="290" spans="1:11" ht="15">
      <c r="A290" s="458"/>
      <c r="B290" s="147">
        <v>0</v>
      </c>
      <c r="C290" s="148">
        <f aca="true" t="shared" si="90" ref="C290:F300">E3</f>
        <v>4050951.1118991417</v>
      </c>
      <c r="D290" s="148">
        <f t="shared" si="90"/>
        <v>0</v>
      </c>
      <c r="E290" s="148">
        <f t="shared" si="90"/>
        <v>0</v>
      </c>
      <c r="F290" s="148">
        <f t="shared" si="90"/>
        <v>0</v>
      </c>
      <c r="G290" s="148">
        <f aca="true" t="shared" si="91" ref="G290:G300">D290-C290-E290-F290</f>
        <v>-4050951.1118991417</v>
      </c>
      <c r="H290" s="149">
        <v>1</v>
      </c>
      <c r="I290" s="150">
        <f>G290*H290</f>
        <v>-4050951.1118991417</v>
      </c>
      <c r="J290" s="147"/>
      <c r="K290" s="151"/>
    </row>
    <row r="291" spans="1:11" ht="15">
      <c r="A291" s="458"/>
      <c r="B291" s="147">
        <v>1</v>
      </c>
      <c r="C291" s="148">
        <f t="shared" si="90"/>
        <v>0</v>
      </c>
      <c r="D291" s="148">
        <f t="shared" si="90"/>
        <v>1363630.1164132499</v>
      </c>
      <c r="E291" s="148">
        <f aca="true" t="shared" si="92" ref="E291:E300">G4*(1+$A$289)</f>
        <v>505953.47222399997</v>
      </c>
      <c r="F291" s="148">
        <f t="shared" si="90"/>
        <v>0</v>
      </c>
      <c r="G291" s="148">
        <f t="shared" si="91"/>
        <v>857676.64418925</v>
      </c>
      <c r="H291" s="149">
        <f>H290/(1+0.08)</f>
        <v>0.9259259259259258</v>
      </c>
      <c r="I291" s="150">
        <f aca="true" t="shared" si="93" ref="I291:I300">G291*H291</f>
        <v>794145.0409159721</v>
      </c>
      <c r="J291" s="148">
        <f aca="true" t="shared" si="94" ref="J291:J300">D291*H291</f>
        <v>1262620.4781604165</v>
      </c>
      <c r="K291" s="148">
        <f>(E291+F291)*H291</f>
        <v>468475.4372444444</v>
      </c>
    </row>
    <row r="292" spans="1:11" ht="15">
      <c r="A292" s="458"/>
      <c r="B292" s="147">
        <v>2</v>
      </c>
      <c r="C292" s="148">
        <f t="shared" si="90"/>
        <v>0</v>
      </c>
      <c r="D292" s="148">
        <f t="shared" si="90"/>
        <v>1322721.2129208522</v>
      </c>
      <c r="E292" s="148">
        <f t="shared" si="92"/>
        <v>505953.47222399997</v>
      </c>
      <c r="F292" s="148">
        <f t="shared" si="90"/>
        <v>0</v>
      </c>
      <c r="G292" s="148">
        <f t="shared" si="91"/>
        <v>816767.7406968523</v>
      </c>
      <c r="H292" s="149">
        <f aca="true" t="shared" si="95" ref="H292:H300">H291/(1+0.08)</f>
        <v>0.8573388203017831</v>
      </c>
      <c r="I292" s="150">
        <f t="shared" si="93"/>
        <v>700246.691269592</v>
      </c>
      <c r="J292" s="148">
        <f t="shared" si="94"/>
        <v>1134020.244273707</v>
      </c>
      <c r="K292" s="148">
        <f aca="true" t="shared" si="96" ref="K292:K300">(E292+F292)*H292</f>
        <v>433773.5530041151</v>
      </c>
    </row>
    <row r="293" spans="1:11" ht="15">
      <c r="A293" s="458"/>
      <c r="B293" s="147">
        <v>3</v>
      </c>
      <c r="C293" s="148">
        <f t="shared" si="90"/>
        <v>0</v>
      </c>
      <c r="D293" s="148">
        <f t="shared" si="90"/>
        <v>1283039.5765332268</v>
      </c>
      <c r="E293" s="148">
        <f t="shared" si="92"/>
        <v>505953.47222399997</v>
      </c>
      <c r="F293" s="148">
        <f t="shared" si="90"/>
        <v>0</v>
      </c>
      <c r="G293" s="148">
        <f t="shared" si="91"/>
        <v>777086.1043092269</v>
      </c>
      <c r="H293" s="149">
        <f t="shared" si="95"/>
        <v>0.7938322410201695</v>
      </c>
      <c r="I293" s="150">
        <f t="shared" si="93"/>
        <v>616876.0036494267</v>
      </c>
      <c r="J293" s="148">
        <f t="shared" si="94"/>
        <v>1018518.1823569407</v>
      </c>
      <c r="K293" s="148">
        <f t="shared" si="96"/>
        <v>401642.17870751396</v>
      </c>
    </row>
    <row r="294" spans="1:11" ht="15">
      <c r="A294" s="458"/>
      <c r="B294" s="147">
        <v>4</v>
      </c>
      <c r="C294" s="148">
        <f t="shared" si="90"/>
        <v>0</v>
      </c>
      <c r="D294" s="148">
        <f t="shared" si="90"/>
        <v>1244548.38923723</v>
      </c>
      <c r="E294" s="148">
        <f t="shared" si="92"/>
        <v>505953.47222399997</v>
      </c>
      <c r="F294" s="148">
        <f t="shared" si="90"/>
        <v>0</v>
      </c>
      <c r="G294" s="148">
        <f t="shared" si="91"/>
        <v>738594.91701323</v>
      </c>
      <c r="H294" s="149">
        <f t="shared" si="95"/>
        <v>0.7350298527964532</v>
      </c>
      <c r="I294" s="150">
        <f t="shared" si="93"/>
        <v>542889.313128443</v>
      </c>
      <c r="J294" s="148">
        <f t="shared" si="94"/>
        <v>914780.219339104</v>
      </c>
      <c r="K294" s="148">
        <f t="shared" si="96"/>
        <v>371890.90621066105</v>
      </c>
    </row>
    <row r="295" spans="1:11" ht="15">
      <c r="A295" s="458"/>
      <c r="B295" s="147">
        <v>5</v>
      </c>
      <c r="C295" s="148">
        <f t="shared" si="90"/>
        <v>0</v>
      </c>
      <c r="D295" s="148">
        <f t="shared" si="90"/>
        <v>1207211.937560113</v>
      </c>
      <c r="E295" s="148">
        <f t="shared" si="92"/>
        <v>505953.47222399997</v>
      </c>
      <c r="F295" s="148">
        <f t="shared" si="90"/>
        <v>292065.55532</v>
      </c>
      <c r="G295" s="148">
        <f t="shared" si="91"/>
        <v>409192.910016113</v>
      </c>
      <c r="H295" s="149">
        <f t="shared" si="95"/>
        <v>0.6805831970337529</v>
      </c>
      <c r="I295" s="150">
        <f t="shared" si="93"/>
        <v>278489.818902311</v>
      </c>
      <c r="J295" s="148">
        <f t="shared" si="94"/>
        <v>821608.159961973</v>
      </c>
      <c r="K295" s="148">
        <f t="shared" si="96"/>
        <v>543118.341059662</v>
      </c>
    </row>
    <row r="296" spans="1:11" ht="15">
      <c r="A296" s="458"/>
      <c r="B296" s="147">
        <v>6</v>
      </c>
      <c r="C296" s="148">
        <f t="shared" si="90"/>
        <v>0</v>
      </c>
      <c r="D296" s="148">
        <f t="shared" si="90"/>
        <v>1170995.5794333096</v>
      </c>
      <c r="E296" s="148">
        <f t="shared" si="92"/>
        <v>505953.47222399997</v>
      </c>
      <c r="F296" s="148">
        <f t="shared" si="90"/>
        <v>0</v>
      </c>
      <c r="G296" s="148">
        <f t="shared" si="91"/>
        <v>665042.1072093097</v>
      </c>
      <c r="H296" s="149">
        <f t="shared" si="95"/>
        <v>0.6301696268831045</v>
      </c>
      <c r="I296" s="150">
        <f t="shared" si="93"/>
        <v>419089.3365616443</v>
      </c>
      <c r="J296" s="148">
        <f t="shared" si="94"/>
        <v>737925.8473732535</v>
      </c>
      <c r="K296" s="148">
        <f t="shared" si="96"/>
        <v>318836.5108116092</v>
      </c>
    </row>
    <row r="297" spans="1:11" ht="15">
      <c r="A297" s="458"/>
      <c r="B297" s="147">
        <v>7</v>
      </c>
      <c r="C297" s="148">
        <f t="shared" si="90"/>
        <v>0</v>
      </c>
      <c r="D297" s="148">
        <f t="shared" si="90"/>
        <v>1135865.7120503103</v>
      </c>
      <c r="E297" s="148">
        <f t="shared" si="92"/>
        <v>505953.47222399997</v>
      </c>
      <c r="F297" s="148">
        <f t="shared" si="90"/>
        <v>0</v>
      </c>
      <c r="G297" s="148">
        <f t="shared" si="91"/>
        <v>629912.2398263104</v>
      </c>
      <c r="H297" s="149">
        <f t="shared" si="95"/>
        <v>0.5834903952621338</v>
      </c>
      <c r="I297" s="150">
        <f t="shared" si="93"/>
        <v>367547.7417967099</v>
      </c>
      <c r="J297" s="148">
        <f t="shared" si="94"/>
        <v>662766.7332889406</v>
      </c>
      <c r="K297" s="148">
        <f t="shared" si="96"/>
        <v>295218.99149223074</v>
      </c>
    </row>
    <row r="298" spans="1:11" ht="15">
      <c r="A298" s="458"/>
      <c r="B298" s="147">
        <v>8</v>
      </c>
      <c r="C298" s="148">
        <f t="shared" si="90"/>
        <v>0</v>
      </c>
      <c r="D298" s="148">
        <f t="shared" si="90"/>
        <v>1101789.7406888008</v>
      </c>
      <c r="E298" s="148">
        <f t="shared" si="92"/>
        <v>505953.47222399997</v>
      </c>
      <c r="F298" s="148">
        <f t="shared" si="90"/>
        <v>0</v>
      </c>
      <c r="G298" s="148">
        <f t="shared" si="91"/>
        <v>595836.2684648009</v>
      </c>
      <c r="H298" s="149">
        <f t="shared" si="95"/>
        <v>0.5402688845019756</v>
      </c>
      <c r="I298" s="150">
        <f t="shared" si="93"/>
        <v>321911.79610929766</v>
      </c>
      <c r="J298" s="148">
        <f t="shared" si="94"/>
        <v>595262.7141576594</v>
      </c>
      <c r="K298" s="148">
        <f t="shared" si="96"/>
        <v>273350.9180483618</v>
      </c>
    </row>
    <row r="299" spans="1:11" ht="15">
      <c r="A299" s="458"/>
      <c r="B299" s="147">
        <v>9</v>
      </c>
      <c r="C299" s="148">
        <f t="shared" si="90"/>
        <v>0</v>
      </c>
      <c r="D299" s="148">
        <f t="shared" si="90"/>
        <v>1068736.048468137</v>
      </c>
      <c r="E299" s="148">
        <f t="shared" si="92"/>
        <v>505953.47222399997</v>
      </c>
      <c r="F299" s="148">
        <f t="shared" si="90"/>
        <v>0</v>
      </c>
      <c r="G299" s="148">
        <f t="shared" si="91"/>
        <v>562782.576244137</v>
      </c>
      <c r="H299" s="149">
        <f t="shared" si="95"/>
        <v>0.5002489671314588</v>
      </c>
      <c r="I299" s="150">
        <f t="shared" si="93"/>
        <v>281531.40248571103</v>
      </c>
      <c r="J299" s="148">
        <f t="shared" si="94"/>
        <v>534634.1043823422</v>
      </c>
      <c r="K299" s="148">
        <f t="shared" si="96"/>
        <v>253102.70189663122</v>
      </c>
    </row>
    <row r="300" spans="1:11" ht="15">
      <c r="A300" s="458"/>
      <c r="B300" s="147">
        <v>10</v>
      </c>
      <c r="C300" s="148">
        <f t="shared" si="90"/>
        <v>0</v>
      </c>
      <c r="D300" s="148">
        <f t="shared" si="90"/>
        <v>1036673.9670140927</v>
      </c>
      <c r="E300" s="148">
        <f t="shared" si="92"/>
        <v>505953.47222399997</v>
      </c>
      <c r="F300" s="148">
        <f t="shared" si="90"/>
        <v>0</v>
      </c>
      <c r="G300" s="148">
        <f t="shared" si="91"/>
        <v>530720.4947900928</v>
      </c>
      <c r="H300" s="149">
        <f t="shared" si="95"/>
        <v>0.4631934880846841</v>
      </c>
      <c r="I300" s="150">
        <f t="shared" si="93"/>
        <v>245826.2771798525</v>
      </c>
      <c r="J300" s="148">
        <f t="shared" si="94"/>
        <v>480180.6307878443</v>
      </c>
      <c r="K300" s="148">
        <f t="shared" si="96"/>
        <v>234354.35360799186</v>
      </c>
    </row>
    <row r="301" spans="1:11" ht="15">
      <c r="A301" s="458"/>
      <c r="B301" s="460" t="s">
        <v>221</v>
      </c>
      <c r="C301" s="461"/>
      <c r="D301" s="461"/>
      <c r="E301" s="461"/>
      <c r="F301" s="461"/>
      <c r="G301" s="461"/>
      <c r="H301" s="461"/>
      <c r="I301" s="462"/>
      <c r="J301" s="150">
        <f>SUM(J291:J300)</f>
        <v>8162317.314082181</v>
      </c>
      <c r="K301" s="150">
        <f>SUM(K291:K300)</f>
        <v>3593763.892083221</v>
      </c>
    </row>
    <row r="302" spans="2:11" ht="15">
      <c r="B302" s="30"/>
      <c r="C302" s="30"/>
      <c r="D302" s="30"/>
      <c r="E302" s="30"/>
      <c r="F302" s="30"/>
      <c r="G302" s="30"/>
      <c r="H302" s="30"/>
      <c r="I302" s="463" t="s">
        <v>224</v>
      </c>
      <c r="J302" s="464" t="s">
        <v>225</v>
      </c>
      <c r="K302" s="464" t="s">
        <v>198</v>
      </c>
    </row>
    <row r="303" spans="2:11" ht="15">
      <c r="B303" s="30"/>
      <c r="C303" s="30"/>
      <c r="D303" s="30"/>
      <c r="E303" s="30"/>
      <c r="F303" s="30"/>
      <c r="G303" s="30"/>
      <c r="H303" s="30"/>
      <c r="I303" s="463"/>
      <c r="J303" s="464"/>
      <c r="K303" s="464"/>
    </row>
    <row r="304" spans="2:11" ht="15">
      <c r="B304" s="30"/>
      <c r="C304" s="30"/>
      <c r="D304" s="30"/>
      <c r="E304" s="30"/>
      <c r="F304" s="30"/>
      <c r="G304" s="30"/>
      <c r="H304" s="30"/>
      <c r="I304" s="176">
        <f>SUM(I290:I300)</f>
        <v>517602.31009981816</v>
      </c>
      <c r="J304" s="177">
        <f>IRR(G290:G300)</f>
        <v>0.11043033006196468</v>
      </c>
      <c r="K304" s="178">
        <f>J301/K301</f>
        <v>2.271244733707499</v>
      </c>
    </row>
    <row r="307" spans="1:11" ht="51">
      <c r="A307" s="457">
        <f>E43</f>
        <v>0.25</v>
      </c>
      <c r="B307" s="46" t="s">
        <v>210</v>
      </c>
      <c r="C307" s="175" t="s">
        <v>211</v>
      </c>
      <c r="D307" s="46" t="s">
        <v>212</v>
      </c>
      <c r="E307" s="175" t="s">
        <v>213</v>
      </c>
      <c r="F307" s="175" t="s">
        <v>214</v>
      </c>
      <c r="G307" s="175" t="s">
        <v>215</v>
      </c>
      <c r="H307" s="175" t="s">
        <v>216</v>
      </c>
      <c r="I307" s="175" t="s">
        <v>215</v>
      </c>
      <c r="J307" s="175" t="s">
        <v>217</v>
      </c>
      <c r="K307" s="175" t="s">
        <v>218</v>
      </c>
    </row>
    <row r="308" spans="1:11" ht="15">
      <c r="A308" s="458"/>
      <c r="B308" s="147">
        <v>0</v>
      </c>
      <c r="C308" s="148">
        <f aca="true" t="shared" si="97" ref="C308:F318">E3</f>
        <v>4050951.1118991417</v>
      </c>
      <c r="D308" s="148">
        <f t="shared" si="97"/>
        <v>0</v>
      </c>
      <c r="E308" s="148">
        <f t="shared" si="97"/>
        <v>0</v>
      </c>
      <c r="F308" s="148">
        <f t="shared" si="97"/>
        <v>0</v>
      </c>
      <c r="G308" s="148">
        <f aca="true" t="shared" si="98" ref="G308:G318">D308-C308-E308-F308</f>
        <v>-4050951.1118991417</v>
      </c>
      <c r="H308" s="149">
        <v>1</v>
      </c>
      <c r="I308" s="150">
        <f>G308*H308</f>
        <v>-4050951.1118991417</v>
      </c>
      <c r="J308" s="147"/>
      <c r="K308" s="151"/>
    </row>
    <row r="309" spans="1:11" ht="15">
      <c r="A309" s="458"/>
      <c r="B309" s="147">
        <v>1</v>
      </c>
      <c r="C309" s="148">
        <f t="shared" si="97"/>
        <v>0</v>
      </c>
      <c r="D309" s="148">
        <f t="shared" si="97"/>
        <v>1363630.1164132499</v>
      </c>
      <c r="E309" s="148">
        <f aca="true" t="shared" si="99" ref="E309:E318">G4*(1+$A$307)</f>
        <v>527034.8669</v>
      </c>
      <c r="F309" s="148">
        <f t="shared" si="97"/>
        <v>0</v>
      </c>
      <c r="G309" s="148">
        <f t="shared" si="98"/>
        <v>836595.2495132498</v>
      </c>
      <c r="H309" s="149">
        <f>H308/(1+0.08)</f>
        <v>0.9259259259259258</v>
      </c>
      <c r="I309" s="150">
        <f aca="true" t="shared" si="100" ref="I309:I318">G309*H309</f>
        <v>774625.2310307868</v>
      </c>
      <c r="J309" s="148">
        <f aca="true" t="shared" si="101" ref="J309:J318">D309*H309</f>
        <v>1262620.4781604165</v>
      </c>
      <c r="K309" s="148">
        <f>(E309+F309)*H309</f>
        <v>487995.2471296296</v>
      </c>
    </row>
    <row r="310" spans="1:11" ht="15">
      <c r="A310" s="458"/>
      <c r="B310" s="147">
        <v>2</v>
      </c>
      <c r="C310" s="148">
        <f t="shared" si="97"/>
        <v>0</v>
      </c>
      <c r="D310" s="148">
        <f t="shared" si="97"/>
        <v>1322721.2129208522</v>
      </c>
      <c r="E310" s="148">
        <f t="shared" si="99"/>
        <v>527034.8669</v>
      </c>
      <c r="F310" s="148">
        <f t="shared" si="97"/>
        <v>0</v>
      </c>
      <c r="G310" s="148">
        <f t="shared" si="98"/>
        <v>795686.3460208522</v>
      </c>
      <c r="H310" s="149">
        <f aca="true" t="shared" si="102" ref="H310:H318">H309/(1+0.08)</f>
        <v>0.8573388203017831</v>
      </c>
      <c r="I310" s="150">
        <f t="shared" si="100"/>
        <v>682172.7932277538</v>
      </c>
      <c r="J310" s="148">
        <f t="shared" si="101"/>
        <v>1134020.244273707</v>
      </c>
      <c r="K310" s="148">
        <f aca="true" t="shared" si="103" ref="K310:K318">(E310+F310)*H310</f>
        <v>451847.4510459533</v>
      </c>
    </row>
    <row r="311" spans="1:11" ht="15">
      <c r="A311" s="458"/>
      <c r="B311" s="147">
        <v>3</v>
      </c>
      <c r="C311" s="148">
        <f t="shared" si="97"/>
        <v>0</v>
      </c>
      <c r="D311" s="148">
        <f t="shared" si="97"/>
        <v>1283039.5765332268</v>
      </c>
      <c r="E311" s="148">
        <f t="shared" si="99"/>
        <v>527034.8669</v>
      </c>
      <c r="F311" s="148">
        <f t="shared" si="97"/>
        <v>0</v>
      </c>
      <c r="G311" s="148">
        <f t="shared" si="98"/>
        <v>756004.7096332267</v>
      </c>
      <c r="H311" s="149">
        <f t="shared" si="102"/>
        <v>0.7938322410201695</v>
      </c>
      <c r="I311" s="150">
        <f t="shared" si="100"/>
        <v>600140.9128699469</v>
      </c>
      <c r="J311" s="148">
        <f t="shared" si="101"/>
        <v>1018518.1823569407</v>
      </c>
      <c r="K311" s="148">
        <f t="shared" si="103"/>
        <v>418377.2694869938</v>
      </c>
    </row>
    <row r="312" spans="1:11" ht="15">
      <c r="A312" s="458"/>
      <c r="B312" s="147">
        <v>4</v>
      </c>
      <c r="C312" s="148">
        <f t="shared" si="97"/>
        <v>0</v>
      </c>
      <c r="D312" s="148">
        <f t="shared" si="97"/>
        <v>1244548.38923723</v>
      </c>
      <c r="E312" s="148">
        <f t="shared" si="99"/>
        <v>527034.8669</v>
      </c>
      <c r="F312" s="148">
        <f t="shared" si="97"/>
        <v>0</v>
      </c>
      <c r="G312" s="148">
        <f t="shared" si="98"/>
        <v>717513.5223372299</v>
      </c>
      <c r="H312" s="149">
        <f t="shared" si="102"/>
        <v>0.7350298527964532</v>
      </c>
      <c r="I312" s="150">
        <f t="shared" si="100"/>
        <v>527393.8587029987</v>
      </c>
      <c r="J312" s="148">
        <f t="shared" si="101"/>
        <v>914780.219339104</v>
      </c>
      <c r="K312" s="148">
        <f t="shared" si="103"/>
        <v>387386.3606361053</v>
      </c>
    </row>
    <row r="313" spans="1:11" ht="15">
      <c r="A313" s="458"/>
      <c r="B313" s="147">
        <v>5</v>
      </c>
      <c r="C313" s="148">
        <f t="shared" si="97"/>
        <v>0</v>
      </c>
      <c r="D313" s="148">
        <f t="shared" si="97"/>
        <v>1207211.937560113</v>
      </c>
      <c r="E313" s="148">
        <f t="shared" si="99"/>
        <v>527034.8669</v>
      </c>
      <c r="F313" s="148">
        <f t="shared" si="97"/>
        <v>292065.55532</v>
      </c>
      <c r="G313" s="148">
        <f t="shared" si="98"/>
        <v>388111.5153401129</v>
      </c>
      <c r="H313" s="149">
        <f t="shared" si="102"/>
        <v>0.6805831970337529</v>
      </c>
      <c r="I313" s="150">
        <f t="shared" si="100"/>
        <v>264142.17591578845</v>
      </c>
      <c r="J313" s="148">
        <f t="shared" si="101"/>
        <v>821608.159961973</v>
      </c>
      <c r="K313" s="148">
        <f t="shared" si="103"/>
        <v>557465.9840461845</v>
      </c>
    </row>
    <row r="314" spans="1:11" ht="15">
      <c r="A314" s="458"/>
      <c r="B314" s="147">
        <v>6</v>
      </c>
      <c r="C314" s="148">
        <f t="shared" si="97"/>
        <v>0</v>
      </c>
      <c r="D314" s="148">
        <f t="shared" si="97"/>
        <v>1170995.5794333096</v>
      </c>
      <c r="E314" s="148">
        <f t="shared" si="99"/>
        <v>527034.8669</v>
      </c>
      <c r="F314" s="148">
        <f t="shared" si="97"/>
        <v>0</v>
      </c>
      <c r="G314" s="148">
        <f t="shared" si="98"/>
        <v>643960.7125333096</v>
      </c>
      <c r="H314" s="149">
        <f t="shared" si="102"/>
        <v>0.6301696268831045</v>
      </c>
      <c r="I314" s="150">
        <f t="shared" si="100"/>
        <v>405804.48194449383</v>
      </c>
      <c r="J314" s="148">
        <f t="shared" si="101"/>
        <v>737925.8473732535</v>
      </c>
      <c r="K314" s="148">
        <f t="shared" si="103"/>
        <v>332121.36542875966</v>
      </c>
    </row>
    <row r="315" spans="1:11" ht="15">
      <c r="A315" s="458"/>
      <c r="B315" s="147">
        <v>7</v>
      </c>
      <c r="C315" s="148">
        <f t="shared" si="97"/>
        <v>0</v>
      </c>
      <c r="D315" s="148">
        <f t="shared" si="97"/>
        <v>1135865.7120503103</v>
      </c>
      <c r="E315" s="148">
        <f t="shared" si="99"/>
        <v>527034.8669</v>
      </c>
      <c r="F315" s="148">
        <f t="shared" si="97"/>
        <v>0</v>
      </c>
      <c r="G315" s="148">
        <f t="shared" si="98"/>
        <v>608830.8451503103</v>
      </c>
      <c r="H315" s="149">
        <f t="shared" si="102"/>
        <v>0.5834903952621338</v>
      </c>
      <c r="I315" s="150">
        <f t="shared" si="100"/>
        <v>355246.9504845335</v>
      </c>
      <c r="J315" s="148">
        <f t="shared" si="101"/>
        <v>662766.7332889406</v>
      </c>
      <c r="K315" s="148">
        <f t="shared" si="103"/>
        <v>307519.78280440706</v>
      </c>
    </row>
    <row r="316" spans="1:11" ht="15">
      <c r="A316" s="458"/>
      <c r="B316" s="147">
        <v>8</v>
      </c>
      <c r="C316" s="148">
        <f t="shared" si="97"/>
        <v>0</v>
      </c>
      <c r="D316" s="148">
        <f t="shared" si="97"/>
        <v>1101789.7406888008</v>
      </c>
      <c r="E316" s="148">
        <f t="shared" si="99"/>
        <v>527034.8669</v>
      </c>
      <c r="F316" s="148">
        <f t="shared" si="97"/>
        <v>0</v>
      </c>
      <c r="G316" s="148">
        <f t="shared" si="98"/>
        <v>574754.8737888008</v>
      </c>
      <c r="H316" s="149">
        <f t="shared" si="102"/>
        <v>0.5402688845019756</v>
      </c>
      <c r="I316" s="150">
        <f t="shared" si="100"/>
        <v>310522.1745239492</v>
      </c>
      <c r="J316" s="148">
        <f t="shared" si="101"/>
        <v>595262.7141576594</v>
      </c>
      <c r="K316" s="148">
        <f t="shared" si="103"/>
        <v>284740.5396337102</v>
      </c>
    </row>
    <row r="317" spans="1:11" ht="15">
      <c r="A317" s="458"/>
      <c r="B317" s="147">
        <v>9</v>
      </c>
      <c r="C317" s="148">
        <f t="shared" si="97"/>
        <v>0</v>
      </c>
      <c r="D317" s="148">
        <f t="shared" si="97"/>
        <v>1068736.048468137</v>
      </c>
      <c r="E317" s="148">
        <f t="shared" si="99"/>
        <v>527034.8669</v>
      </c>
      <c r="F317" s="148">
        <f t="shared" si="97"/>
        <v>0</v>
      </c>
      <c r="G317" s="148">
        <f t="shared" si="98"/>
        <v>541701.1815681369</v>
      </c>
      <c r="H317" s="149">
        <f t="shared" si="102"/>
        <v>0.5002489671314588</v>
      </c>
      <c r="I317" s="150">
        <f t="shared" si="100"/>
        <v>270985.45657335134</v>
      </c>
      <c r="J317" s="148">
        <f t="shared" si="101"/>
        <v>534634.1043823422</v>
      </c>
      <c r="K317" s="148">
        <f t="shared" si="103"/>
        <v>263648.6478089909</v>
      </c>
    </row>
    <row r="318" spans="1:11" ht="15">
      <c r="A318" s="458"/>
      <c r="B318" s="147">
        <v>10</v>
      </c>
      <c r="C318" s="148">
        <f t="shared" si="97"/>
        <v>0</v>
      </c>
      <c r="D318" s="148">
        <f t="shared" si="97"/>
        <v>1036673.9670140927</v>
      </c>
      <c r="E318" s="148">
        <f t="shared" si="99"/>
        <v>527034.8669</v>
      </c>
      <c r="F318" s="148">
        <f t="shared" si="97"/>
        <v>0</v>
      </c>
      <c r="G318" s="148">
        <f t="shared" si="98"/>
        <v>509639.1001140927</v>
      </c>
      <c r="H318" s="149">
        <f t="shared" si="102"/>
        <v>0.4631934880846841</v>
      </c>
      <c r="I318" s="150">
        <f t="shared" si="100"/>
        <v>236061.5124461861</v>
      </c>
      <c r="J318" s="148">
        <f t="shared" si="101"/>
        <v>480180.6307878443</v>
      </c>
      <c r="K318" s="148">
        <f t="shared" si="103"/>
        <v>244119.1183416582</v>
      </c>
    </row>
    <row r="319" spans="1:11" ht="15">
      <c r="A319" s="458"/>
      <c r="B319" s="460" t="s">
        <v>221</v>
      </c>
      <c r="C319" s="461"/>
      <c r="D319" s="461"/>
      <c r="E319" s="461"/>
      <c r="F319" s="461"/>
      <c r="G319" s="461"/>
      <c r="H319" s="461"/>
      <c r="I319" s="462"/>
      <c r="J319" s="150">
        <f>SUM(J309:J318)</f>
        <v>8162317.314082181</v>
      </c>
      <c r="K319" s="150">
        <f>SUM(K309:K318)</f>
        <v>3735221.766362393</v>
      </c>
    </row>
    <row r="320" spans="2:11" ht="15">
      <c r="B320" s="30"/>
      <c r="C320" s="30"/>
      <c r="D320" s="30"/>
      <c r="E320" s="30"/>
      <c r="F320" s="30"/>
      <c r="G320" s="30"/>
      <c r="H320" s="30"/>
      <c r="I320" s="463" t="s">
        <v>224</v>
      </c>
      <c r="J320" s="464" t="s">
        <v>225</v>
      </c>
      <c r="K320" s="464" t="s">
        <v>198</v>
      </c>
    </row>
    <row r="321" spans="2:11" ht="15">
      <c r="B321" s="30"/>
      <c r="C321" s="30"/>
      <c r="D321" s="30"/>
      <c r="E321" s="30"/>
      <c r="F321" s="30"/>
      <c r="G321" s="30"/>
      <c r="H321" s="30"/>
      <c r="I321" s="463"/>
      <c r="J321" s="464"/>
      <c r="K321" s="464"/>
    </row>
    <row r="322" spans="2:11" ht="15">
      <c r="B322" s="30"/>
      <c r="C322" s="30"/>
      <c r="D322" s="30"/>
      <c r="E322" s="30"/>
      <c r="F322" s="30"/>
      <c r="G322" s="30"/>
      <c r="H322" s="30"/>
      <c r="I322" s="176">
        <f>SUM(I308:I318)</f>
        <v>376144.4358206468</v>
      </c>
      <c r="J322" s="177">
        <f>IRR(G308:G318)</f>
        <v>0.10231343375903657</v>
      </c>
      <c r="K322" s="178">
        <f>J319/K319</f>
        <v>2.1852296395325377</v>
      </c>
    </row>
    <row r="325" spans="1:11" ht="51">
      <c r="A325" s="457">
        <f>E44</f>
        <v>0.3</v>
      </c>
      <c r="B325" s="46" t="s">
        <v>210</v>
      </c>
      <c r="C325" s="175" t="s">
        <v>211</v>
      </c>
      <c r="D325" s="46" t="s">
        <v>212</v>
      </c>
      <c r="E325" s="175" t="s">
        <v>213</v>
      </c>
      <c r="F325" s="175" t="s">
        <v>214</v>
      </c>
      <c r="G325" s="175" t="s">
        <v>215</v>
      </c>
      <c r="H325" s="175" t="s">
        <v>216</v>
      </c>
      <c r="I325" s="175" t="s">
        <v>215</v>
      </c>
      <c r="J325" s="175" t="s">
        <v>217</v>
      </c>
      <c r="K325" s="175" t="s">
        <v>218</v>
      </c>
    </row>
    <row r="326" spans="1:11" ht="15">
      <c r="A326" s="458"/>
      <c r="B326" s="147">
        <v>0</v>
      </c>
      <c r="C326" s="148">
        <f aca="true" t="shared" si="104" ref="C326:F336">E3</f>
        <v>4050951.1118991417</v>
      </c>
      <c r="D326" s="148">
        <f t="shared" si="104"/>
        <v>0</v>
      </c>
      <c r="E326" s="148">
        <f t="shared" si="104"/>
        <v>0</v>
      </c>
      <c r="F326" s="148">
        <f t="shared" si="104"/>
        <v>0</v>
      </c>
      <c r="G326" s="148">
        <f aca="true" t="shared" si="105" ref="G326:G336">D326-C326-E326-F326</f>
        <v>-4050951.1118991417</v>
      </c>
      <c r="H326" s="149">
        <v>1</v>
      </c>
      <c r="I326" s="150">
        <f>G326*H326</f>
        <v>-4050951.1118991417</v>
      </c>
      <c r="J326" s="147"/>
      <c r="K326" s="151"/>
    </row>
    <row r="327" spans="1:11" ht="15">
      <c r="A327" s="458"/>
      <c r="B327" s="147">
        <v>1</v>
      </c>
      <c r="C327" s="148">
        <f t="shared" si="104"/>
        <v>0</v>
      </c>
      <c r="D327" s="148">
        <f t="shared" si="104"/>
        <v>1363630.1164132499</v>
      </c>
      <c r="E327" s="148">
        <f aca="true" t="shared" si="106" ref="E327:E336">G4*(1+$A$325)</f>
        <v>548116.261576</v>
      </c>
      <c r="F327" s="148">
        <f t="shared" si="104"/>
        <v>0</v>
      </c>
      <c r="G327" s="148">
        <f t="shared" si="105"/>
        <v>815513.8548372498</v>
      </c>
      <c r="H327" s="149">
        <f>H326/(1+0.08)</f>
        <v>0.9259259259259258</v>
      </c>
      <c r="I327" s="150">
        <f aca="true" t="shared" si="107" ref="I327:I336">G327*H327</f>
        <v>755105.4211456017</v>
      </c>
      <c r="J327" s="148">
        <f aca="true" t="shared" si="108" ref="J327:J336">D327*H327</f>
        <v>1262620.4781604165</v>
      </c>
      <c r="K327" s="148">
        <f>(E327+F327)*H327</f>
        <v>507515.05701481475</v>
      </c>
    </row>
    <row r="328" spans="1:11" ht="15">
      <c r="A328" s="458"/>
      <c r="B328" s="147">
        <v>2</v>
      </c>
      <c r="C328" s="148">
        <f t="shared" si="104"/>
        <v>0</v>
      </c>
      <c r="D328" s="148">
        <f t="shared" si="104"/>
        <v>1322721.2129208522</v>
      </c>
      <c r="E328" s="148">
        <f t="shared" si="106"/>
        <v>548116.261576</v>
      </c>
      <c r="F328" s="148">
        <f t="shared" si="104"/>
        <v>0</v>
      </c>
      <c r="G328" s="148">
        <f t="shared" si="105"/>
        <v>774604.9513448522</v>
      </c>
      <c r="H328" s="149">
        <f aca="true" t="shared" si="109" ref="H328:H336">H327/(1+0.08)</f>
        <v>0.8573388203017831</v>
      </c>
      <c r="I328" s="150">
        <f t="shared" si="107"/>
        <v>664098.8951859158</v>
      </c>
      <c r="J328" s="148">
        <f t="shared" si="108"/>
        <v>1134020.244273707</v>
      </c>
      <c r="K328" s="148">
        <f aca="true" t="shared" si="110" ref="K328:K336">(E328+F328)*H328</f>
        <v>469921.3490877914</v>
      </c>
    </row>
    <row r="329" spans="1:11" ht="15">
      <c r="A329" s="458"/>
      <c r="B329" s="147">
        <v>3</v>
      </c>
      <c r="C329" s="148">
        <f t="shared" si="104"/>
        <v>0</v>
      </c>
      <c r="D329" s="148">
        <f t="shared" si="104"/>
        <v>1283039.5765332268</v>
      </c>
      <c r="E329" s="148">
        <f t="shared" si="106"/>
        <v>548116.261576</v>
      </c>
      <c r="F329" s="148">
        <f t="shared" si="104"/>
        <v>0</v>
      </c>
      <c r="G329" s="148">
        <f t="shared" si="105"/>
        <v>734923.3149572267</v>
      </c>
      <c r="H329" s="149">
        <f t="shared" si="109"/>
        <v>0.7938322410201695</v>
      </c>
      <c r="I329" s="150">
        <f t="shared" si="107"/>
        <v>583405.8220904671</v>
      </c>
      <c r="J329" s="148">
        <f t="shared" si="108"/>
        <v>1018518.1823569407</v>
      </c>
      <c r="K329" s="148">
        <f t="shared" si="110"/>
        <v>435112.3602664735</v>
      </c>
    </row>
    <row r="330" spans="1:11" ht="15">
      <c r="A330" s="458"/>
      <c r="B330" s="147">
        <v>4</v>
      </c>
      <c r="C330" s="148">
        <f t="shared" si="104"/>
        <v>0</v>
      </c>
      <c r="D330" s="148">
        <f t="shared" si="104"/>
        <v>1244548.38923723</v>
      </c>
      <c r="E330" s="148">
        <f t="shared" si="106"/>
        <v>548116.261576</v>
      </c>
      <c r="F330" s="148">
        <f t="shared" si="104"/>
        <v>0</v>
      </c>
      <c r="G330" s="148">
        <f t="shared" si="105"/>
        <v>696432.1276612299</v>
      </c>
      <c r="H330" s="149">
        <f t="shared" si="109"/>
        <v>0.7350298527964532</v>
      </c>
      <c r="I330" s="150">
        <f t="shared" si="107"/>
        <v>511898.40427755454</v>
      </c>
      <c r="J330" s="148">
        <f t="shared" si="108"/>
        <v>914780.219339104</v>
      </c>
      <c r="K330" s="148">
        <f t="shared" si="110"/>
        <v>402881.81506154954</v>
      </c>
    </row>
    <row r="331" spans="1:11" ht="15">
      <c r="A331" s="458"/>
      <c r="B331" s="147">
        <v>5</v>
      </c>
      <c r="C331" s="148">
        <f t="shared" si="104"/>
        <v>0</v>
      </c>
      <c r="D331" s="148">
        <f t="shared" si="104"/>
        <v>1207211.937560113</v>
      </c>
      <c r="E331" s="148">
        <f t="shared" si="106"/>
        <v>548116.261576</v>
      </c>
      <c r="F331" s="148">
        <f t="shared" si="104"/>
        <v>292065.55532</v>
      </c>
      <c r="G331" s="148">
        <f t="shared" si="105"/>
        <v>367030.1206641129</v>
      </c>
      <c r="H331" s="149">
        <f t="shared" si="109"/>
        <v>0.6805831970337529</v>
      </c>
      <c r="I331" s="150">
        <f t="shared" si="107"/>
        <v>249794.53292926608</v>
      </c>
      <c r="J331" s="148">
        <f t="shared" si="108"/>
        <v>821608.159961973</v>
      </c>
      <c r="K331" s="148">
        <f t="shared" si="110"/>
        <v>571813.6270327069</v>
      </c>
    </row>
    <row r="332" spans="1:11" ht="15">
      <c r="A332" s="458"/>
      <c r="B332" s="147">
        <v>6</v>
      </c>
      <c r="C332" s="148">
        <f t="shared" si="104"/>
        <v>0</v>
      </c>
      <c r="D332" s="148">
        <f t="shared" si="104"/>
        <v>1170995.5794333096</v>
      </c>
      <c r="E332" s="148">
        <f t="shared" si="106"/>
        <v>548116.261576</v>
      </c>
      <c r="F332" s="148">
        <f t="shared" si="104"/>
        <v>0</v>
      </c>
      <c r="G332" s="148">
        <f t="shared" si="105"/>
        <v>622879.3178573096</v>
      </c>
      <c r="H332" s="149">
        <f t="shared" si="109"/>
        <v>0.6301696268831045</v>
      </c>
      <c r="I332" s="150">
        <f t="shared" si="107"/>
        <v>392519.62732734345</v>
      </c>
      <c r="J332" s="148">
        <f t="shared" si="108"/>
        <v>737925.8473732535</v>
      </c>
      <c r="K332" s="148">
        <f t="shared" si="110"/>
        <v>345406.22004591004</v>
      </c>
    </row>
    <row r="333" spans="1:11" ht="15">
      <c r="A333" s="458"/>
      <c r="B333" s="147">
        <v>7</v>
      </c>
      <c r="C333" s="148">
        <f t="shared" si="104"/>
        <v>0</v>
      </c>
      <c r="D333" s="148">
        <f t="shared" si="104"/>
        <v>1135865.7120503103</v>
      </c>
      <c r="E333" s="148">
        <f t="shared" si="106"/>
        <v>548116.261576</v>
      </c>
      <c r="F333" s="148">
        <f t="shared" si="104"/>
        <v>0</v>
      </c>
      <c r="G333" s="148">
        <f t="shared" si="105"/>
        <v>587749.4504743103</v>
      </c>
      <c r="H333" s="149">
        <f t="shared" si="109"/>
        <v>0.5834903952621338</v>
      </c>
      <c r="I333" s="150">
        <f t="shared" si="107"/>
        <v>342946.15917235723</v>
      </c>
      <c r="J333" s="148">
        <f t="shared" si="108"/>
        <v>662766.7332889406</v>
      </c>
      <c r="K333" s="148">
        <f t="shared" si="110"/>
        <v>319820.57411658333</v>
      </c>
    </row>
    <row r="334" spans="1:11" ht="15">
      <c r="A334" s="458"/>
      <c r="B334" s="147">
        <v>8</v>
      </c>
      <c r="C334" s="148">
        <f t="shared" si="104"/>
        <v>0</v>
      </c>
      <c r="D334" s="148">
        <f t="shared" si="104"/>
        <v>1101789.7406888008</v>
      </c>
      <c r="E334" s="148">
        <f t="shared" si="106"/>
        <v>548116.261576</v>
      </c>
      <c r="F334" s="148">
        <f t="shared" si="104"/>
        <v>0</v>
      </c>
      <c r="G334" s="148">
        <f t="shared" si="105"/>
        <v>553673.4791128008</v>
      </c>
      <c r="H334" s="149">
        <f t="shared" si="109"/>
        <v>0.5402688845019756</v>
      </c>
      <c r="I334" s="150">
        <f t="shared" si="107"/>
        <v>299132.55293860077</v>
      </c>
      <c r="J334" s="148">
        <f t="shared" si="108"/>
        <v>595262.7141576594</v>
      </c>
      <c r="K334" s="148">
        <f t="shared" si="110"/>
        <v>296130.1612190586</v>
      </c>
    </row>
    <row r="335" spans="1:11" ht="15">
      <c r="A335" s="458"/>
      <c r="B335" s="147">
        <v>9</v>
      </c>
      <c r="C335" s="148">
        <f t="shared" si="104"/>
        <v>0</v>
      </c>
      <c r="D335" s="148">
        <f t="shared" si="104"/>
        <v>1068736.048468137</v>
      </c>
      <c r="E335" s="148">
        <f t="shared" si="106"/>
        <v>548116.261576</v>
      </c>
      <c r="F335" s="148">
        <f t="shared" si="104"/>
        <v>0</v>
      </c>
      <c r="G335" s="148">
        <f t="shared" si="105"/>
        <v>520619.7868921369</v>
      </c>
      <c r="H335" s="149">
        <f t="shared" si="109"/>
        <v>0.5002489671314588</v>
      </c>
      <c r="I335" s="150">
        <f t="shared" si="107"/>
        <v>260439.51066099168</v>
      </c>
      <c r="J335" s="148">
        <f t="shared" si="108"/>
        <v>534634.1043823422</v>
      </c>
      <c r="K335" s="148">
        <f t="shared" si="110"/>
        <v>274194.59372135054</v>
      </c>
    </row>
    <row r="336" spans="1:11" ht="15">
      <c r="A336" s="458"/>
      <c r="B336" s="147">
        <v>10</v>
      </c>
      <c r="C336" s="148">
        <f t="shared" si="104"/>
        <v>0</v>
      </c>
      <c r="D336" s="148">
        <f t="shared" si="104"/>
        <v>1036673.9670140927</v>
      </c>
      <c r="E336" s="148">
        <f t="shared" si="106"/>
        <v>548116.261576</v>
      </c>
      <c r="F336" s="148">
        <f t="shared" si="104"/>
        <v>0</v>
      </c>
      <c r="G336" s="148">
        <f t="shared" si="105"/>
        <v>488557.7054380927</v>
      </c>
      <c r="H336" s="149">
        <f t="shared" si="109"/>
        <v>0.4631934880846841</v>
      </c>
      <c r="I336" s="150">
        <f t="shared" si="107"/>
        <v>226296.74771251978</v>
      </c>
      <c r="J336" s="148">
        <f t="shared" si="108"/>
        <v>480180.6307878443</v>
      </c>
      <c r="K336" s="148">
        <f t="shared" si="110"/>
        <v>253883.88307532456</v>
      </c>
    </row>
    <row r="337" spans="1:11" ht="15">
      <c r="A337" s="458"/>
      <c r="B337" s="460" t="s">
        <v>221</v>
      </c>
      <c r="C337" s="461"/>
      <c r="D337" s="461"/>
      <c r="E337" s="461"/>
      <c r="F337" s="461"/>
      <c r="G337" s="461"/>
      <c r="H337" s="461"/>
      <c r="I337" s="462"/>
      <c r="J337" s="150">
        <f>SUM(J327:J336)</f>
        <v>8162317.314082181</v>
      </c>
      <c r="K337" s="150">
        <f>SUM(K327:K336)</f>
        <v>3876679.6406415636</v>
      </c>
    </row>
    <row r="338" spans="2:11" ht="15">
      <c r="B338" s="30"/>
      <c r="C338" s="30"/>
      <c r="D338" s="30"/>
      <c r="E338" s="30"/>
      <c r="F338" s="30"/>
      <c r="G338" s="30"/>
      <c r="H338" s="30"/>
      <c r="I338" s="463" t="s">
        <v>224</v>
      </c>
      <c r="J338" s="464" t="s">
        <v>225</v>
      </c>
      <c r="K338" s="464" t="s">
        <v>198</v>
      </c>
    </row>
    <row r="339" spans="2:11" ht="15">
      <c r="B339" s="30"/>
      <c r="C339" s="30"/>
      <c r="D339" s="30"/>
      <c r="E339" s="30"/>
      <c r="F339" s="30"/>
      <c r="G339" s="30"/>
      <c r="H339" s="30"/>
      <c r="I339" s="463"/>
      <c r="J339" s="464"/>
      <c r="K339" s="464"/>
    </row>
    <row r="340" spans="2:11" ht="15">
      <c r="B340" s="30"/>
      <c r="C340" s="30"/>
      <c r="D340" s="30"/>
      <c r="E340" s="30"/>
      <c r="F340" s="30"/>
      <c r="G340" s="30"/>
      <c r="H340" s="30"/>
      <c r="I340" s="176">
        <f>SUM(I326:I336)</f>
        <v>234686.56154147626</v>
      </c>
      <c r="J340" s="177">
        <f>IRR(G326:G336)</f>
        <v>0.09405281504978702</v>
      </c>
      <c r="K340" s="178">
        <f>J337/K337</f>
        <v>2.1054918308213297</v>
      </c>
    </row>
  </sheetData>
  <sheetProtection/>
  <mergeCells count="90">
    <mergeCell ref="I338:I339"/>
    <mergeCell ref="J338:J339"/>
    <mergeCell ref="K338:K339"/>
    <mergeCell ref="A307:A319"/>
    <mergeCell ref="B319:I319"/>
    <mergeCell ref="I320:I321"/>
    <mergeCell ref="J320:J321"/>
    <mergeCell ref="K320:K321"/>
    <mergeCell ref="A325:A337"/>
    <mergeCell ref="B337:I337"/>
    <mergeCell ref="I281:I282"/>
    <mergeCell ref="J281:J282"/>
    <mergeCell ref="K281:K282"/>
    <mergeCell ref="A289:A301"/>
    <mergeCell ref="B301:I301"/>
    <mergeCell ref="I302:I303"/>
    <mergeCell ref="J302:J303"/>
    <mergeCell ref="K302:K303"/>
    <mergeCell ref="A248:A260"/>
    <mergeCell ref="B260:I260"/>
    <mergeCell ref="I261:I262"/>
    <mergeCell ref="J261:J262"/>
    <mergeCell ref="K261:K262"/>
    <mergeCell ref="A268:A280"/>
    <mergeCell ref="B280:I280"/>
    <mergeCell ref="A228:K228"/>
    <mergeCell ref="A229:A241"/>
    <mergeCell ref="B241:I241"/>
    <mergeCell ref="I242:I243"/>
    <mergeCell ref="J242:J243"/>
    <mergeCell ref="K242:K243"/>
    <mergeCell ref="I205:I206"/>
    <mergeCell ref="J205:J206"/>
    <mergeCell ref="K205:K206"/>
    <mergeCell ref="A210:A222"/>
    <mergeCell ref="B222:I222"/>
    <mergeCell ref="I223:I224"/>
    <mergeCell ref="J223:J224"/>
    <mergeCell ref="K223:K224"/>
    <mergeCell ref="A175:A187"/>
    <mergeCell ref="B187:I187"/>
    <mergeCell ref="I188:I189"/>
    <mergeCell ref="J188:J189"/>
    <mergeCell ref="K188:K189"/>
    <mergeCell ref="A192:A204"/>
    <mergeCell ref="B204:I204"/>
    <mergeCell ref="A156:A169"/>
    <mergeCell ref="B156:K156"/>
    <mergeCell ref="B169:I169"/>
    <mergeCell ref="I170:I171"/>
    <mergeCell ref="J170:J171"/>
    <mergeCell ref="K170:K171"/>
    <mergeCell ref="I130:I131"/>
    <mergeCell ref="J130:J131"/>
    <mergeCell ref="K130:K131"/>
    <mergeCell ref="A136:A148"/>
    <mergeCell ref="B148:I148"/>
    <mergeCell ref="I149:I150"/>
    <mergeCell ref="J149:J150"/>
    <mergeCell ref="K149:K150"/>
    <mergeCell ref="A100:A112"/>
    <mergeCell ref="B112:I112"/>
    <mergeCell ref="I113:I114"/>
    <mergeCell ref="J113:J114"/>
    <mergeCell ref="K113:K114"/>
    <mergeCell ref="A117:A129"/>
    <mergeCell ref="B129:I129"/>
    <mergeCell ref="A65:A78"/>
    <mergeCell ref="B77:I77"/>
    <mergeCell ref="I78:I79"/>
    <mergeCell ref="J78:J79"/>
    <mergeCell ref="K78:K79"/>
    <mergeCell ref="A82:A95"/>
    <mergeCell ref="B94:I94"/>
    <mergeCell ref="I95:I96"/>
    <mergeCell ref="J95:J96"/>
    <mergeCell ref="K95:K96"/>
    <mergeCell ref="D37:D44"/>
    <mergeCell ref="A46:A59"/>
    <mergeCell ref="B46:K46"/>
    <mergeCell ref="B59:I59"/>
    <mergeCell ref="I60:I61"/>
    <mergeCell ref="J60:J61"/>
    <mergeCell ref="K60:K61"/>
    <mergeCell ref="D14:K14"/>
    <mergeCell ref="K15:K16"/>
    <mergeCell ref="L15:L16"/>
    <mergeCell ref="M15:M16"/>
    <mergeCell ref="D21:D28"/>
    <mergeCell ref="D30:D35"/>
  </mergeCell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8"/>
  </sheetPr>
  <dimension ref="A1:L50"/>
  <sheetViews>
    <sheetView zoomScale="80" zoomScaleNormal="80" zoomScalePageLayoutView="0" workbookViewId="0" topLeftCell="A1">
      <selection activeCell="N8" sqref="N8"/>
    </sheetView>
  </sheetViews>
  <sheetFormatPr defaultColWidth="11.421875" defaultRowHeight="15"/>
  <cols>
    <col min="1" max="1" width="4.57421875" style="26" customWidth="1"/>
    <col min="2" max="2" width="30.8515625" style="26" customWidth="1"/>
    <col min="3" max="3" width="30.8515625" style="26" hidden="1" customWidth="1"/>
    <col min="4" max="5" width="10.28125" style="26" bestFit="1" customWidth="1"/>
    <col min="6" max="7" width="11.28125" style="26" bestFit="1" customWidth="1"/>
    <col min="8" max="9" width="12.8515625" style="26" bestFit="1" customWidth="1"/>
    <col min="10" max="10" width="12.8515625" style="26" customWidth="1"/>
    <col min="11" max="11" width="14.421875" style="26" customWidth="1"/>
    <col min="12" max="16384" width="11.421875" style="26" customWidth="1"/>
  </cols>
  <sheetData>
    <row r="1" spans="2:11" ht="12.75">
      <c r="B1" s="180" t="s">
        <v>233</v>
      </c>
      <c r="C1" s="181"/>
      <c r="D1" s="182"/>
      <c r="E1" s="182"/>
      <c r="F1" s="182"/>
      <c r="G1" s="182"/>
      <c r="H1" s="182"/>
      <c r="I1" s="182"/>
      <c r="J1" s="182"/>
      <c r="K1" s="182"/>
    </row>
    <row r="2" spans="2:3" ht="12.75">
      <c r="B2" s="183"/>
      <c r="C2" s="183"/>
    </row>
    <row r="3" spans="2:11" ht="12.75">
      <c r="B3" s="430" t="s">
        <v>14</v>
      </c>
      <c r="C3" s="184"/>
      <c r="D3" s="468"/>
      <c r="E3" s="468"/>
      <c r="F3" s="468"/>
      <c r="G3" s="468"/>
      <c r="H3" s="468"/>
      <c r="I3" s="468"/>
      <c r="J3" s="468"/>
      <c r="K3" s="468"/>
    </row>
    <row r="4" spans="2:11" ht="38.25">
      <c r="B4" s="431"/>
      <c r="C4" s="185"/>
      <c r="D4" s="45">
        <v>1</v>
      </c>
      <c r="E4" s="45">
        <v>2</v>
      </c>
      <c r="F4" s="45">
        <v>3</v>
      </c>
      <c r="G4" s="45">
        <v>4</v>
      </c>
      <c r="H4" s="45">
        <v>5</v>
      </c>
      <c r="I4" s="45">
        <v>6</v>
      </c>
      <c r="J4" s="381">
        <v>7</v>
      </c>
      <c r="K4" s="45" t="s">
        <v>234</v>
      </c>
    </row>
    <row r="5" spans="2:11" ht="25.5">
      <c r="B5" s="43" t="str">
        <f>COMPONENTES!B17</f>
        <v>Elaboración de Expediente Técnico</v>
      </c>
      <c r="C5" s="186"/>
      <c r="D5" s="187">
        <v>0.5</v>
      </c>
      <c r="E5" s="187">
        <v>0.5</v>
      </c>
      <c r="F5" s="47"/>
      <c r="G5" s="47"/>
      <c r="H5" s="47"/>
      <c r="I5" s="47"/>
      <c r="J5" s="47"/>
      <c r="K5" s="188">
        <f>SUM(D5:J5)</f>
        <v>1</v>
      </c>
    </row>
    <row r="6" spans="2:11" ht="25.5">
      <c r="B6" s="43" t="str">
        <f>COMPONENTES!B2</f>
        <v>COMPONENTE 1: Adecuada infraestructura de vigilancia</v>
      </c>
      <c r="C6" s="189"/>
      <c r="D6" s="47"/>
      <c r="E6" s="47"/>
      <c r="F6" s="47"/>
      <c r="G6" s="47"/>
      <c r="H6" s="47"/>
      <c r="I6" s="47"/>
      <c r="J6" s="47"/>
      <c r="K6" s="188">
        <f aca="true" t="shared" si="0" ref="K6:K20">SUM(D6:J6)</f>
        <v>0</v>
      </c>
    </row>
    <row r="7" spans="2:11" ht="38.25">
      <c r="B7" s="265" t="str">
        <f>COMPONENTES!B3</f>
        <v>Construcción de la infraestructura del Centro de Operaciones de Seguridad Ciudadana </v>
      </c>
      <c r="C7" s="190"/>
      <c r="D7" s="47"/>
      <c r="E7" s="47"/>
      <c r="F7" s="187">
        <v>0.4</v>
      </c>
      <c r="G7" s="187">
        <v>0.4</v>
      </c>
      <c r="H7" s="187">
        <v>0.2</v>
      </c>
      <c r="I7" s="47"/>
      <c r="J7" s="47"/>
      <c r="K7" s="188">
        <f t="shared" si="0"/>
        <v>1</v>
      </c>
    </row>
    <row r="8" spans="2:11" ht="25.5">
      <c r="B8" s="265" t="str">
        <f>COMPONENTES!B4</f>
        <v>Construcción de Puestos de Auxilio Rápido </v>
      </c>
      <c r="C8" s="190"/>
      <c r="D8" s="47"/>
      <c r="E8" s="47"/>
      <c r="F8" s="47"/>
      <c r="G8" s="47"/>
      <c r="H8" s="187">
        <v>0.5</v>
      </c>
      <c r="I8" s="187">
        <v>0.5</v>
      </c>
      <c r="J8" s="47"/>
      <c r="K8" s="188">
        <f t="shared" si="0"/>
        <v>1</v>
      </c>
    </row>
    <row r="9" spans="2:11" ht="51">
      <c r="B9" s="43" t="str">
        <f>COMPONENTES!B5</f>
        <v>COMPONENTE 2: Suficiente y adecuado Equipamiento del Sistema Tecnológico de vigilancia</v>
      </c>
      <c r="C9" s="189"/>
      <c r="D9" s="47"/>
      <c r="E9" s="47"/>
      <c r="F9" s="47"/>
      <c r="G9" s="47"/>
      <c r="H9" s="47"/>
      <c r="I9" s="47"/>
      <c r="J9" s="47"/>
      <c r="K9" s="188">
        <f t="shared" si="0"/>
        <v>0</v>
      </c>
    </row>
    <row r="10" spans="2:11" ht="38.25">
      <c r="B10" s="265" t="str">
        <f>COMPONENTES!B6</f>
        <v>Adquisición e instalación del sistema de video vigilancia mediante Fibra Óptica  </v>
      </c>
      <c r="C10" s="190"/>
      <c r="D10" s="47"/>
      <c r="E10" s="47"/>
      <c r="F10" s="47"/>
      <c r="G10" s="47"/>
      <c r="H10" s="187">
        <v>0.4</v>
      </c>
      <c r="I10" s="187">
        <v>0.4</v>
      </c>
      <c r="J10" s="187">
        <v>0.2</v>
      </c>
      <c r="K10" s="188">
        <f t="shared" si="0"/>
        <v>1</v>
      </c>
    </row>
    <row r="11" spans="2:11" ht="51">
      <c r="B11" s="43" t="str">
        <f>COMPONENTES!B7</f>
        <v>COMPONENTE 3: Suficientes unidades móviles de vigilancia, materiales, accesorios e indumentarias</v>
      </c>
      <c r="C11" s="189"/>
      <c r="D11" s="47"/>
      <c r="E11" s="47"/>
      <c r="F11" s="47"/>
      <c r="G11" s="47"/>
      <c r="H11" s="47"/>
      <c r="I11" s="47"/>
      <c r="J11" s="47"/>
      <c r="K11" s="188">
        <f t="shared" si="0"/>
        <v>0</v>
      </c>
    </row>
    <row r="12" spans="2:11" ht="25.5">
      <c r="B12" s="265" t="str">
        <f>COMPONENTES!B8</f>
        <v>Adquisición de Vehículo de Serenazgo</v>
      </c>
      <c r="C12" s="190"/>
      <c r="D12" s="47"/>
      <c r="E12" s="47"/>
      <c r="F12" s="47"/>
      <c r="G12" s="191"/>
      <c r="H12" s="187">
        <v>0.5</v>
      </c>
      <c r="I12" s="187">
        <v>0.5</v>
      </c>
      <c r="J12" s="47"/>
      <c r="K12" s="188">
        <f t="shared" si="0"/>
        <v>1</v>
      </c>
    </row>
    <row r="13" spans="2:11" ht="38.25">
      <c r="B13" s="265" t="str">
        <f>COMPONENTES!B9</f>
        <v>Adquisición de uniformes, materiales y accesorios de Seguridad Ciudadana</v>
      </c>
      <c r="C13" s="190"/>
      <c r="D13" s="47"/>
      <c r="E13" s="47"/>
      <c r="F13" s="47"/>
      <c r="G13" s="47"/>
      <c r="I13" s="187">
        <v>0.5</v>
      </c>
      <c r="J13" s="187">
        <v>0.5</v>
      </c>
      <c r="K13" s="188">
        <f t="shared" si="0"/>
        <v>1</v>
      </c>
    </row>
    <row r="14" spans="2:11" ht="25.5">
      <c r="B14" s="265" t="str">
        <f>COMPONENTES!B10</f>
        <v>Adquisición de mobiliario y equipamiento</v>
      </c>
      <c r="C14" s="189"/>
      <c r="D14" s="47"/>
      <c r="E14" s="47"/>
      <c r="F14" s="47"/>
      <c r="G14" s="47"/>
      <c r="H14" s="47"/>
      <c r="I14" s="187">
        <v>0.5</v>
      </c>
      <c r="J14" s="187">
        <v>0.5</v>
      </c>
      <c r="K14" s="188">
        <f t="shared" si="0"/>
        <v>1</v>
      </c>
    </row>
    <row r="15" spans="2:11" ht="45.75" customHeight="1">
      <c r="B15" s="43" t="str">
        <f>COMPONENTES!B11</f>
        <v>COMPONENTE  4: Personal de Serenazgo capacitado en temas de Seguridad Ciudadana</v>
      </c>
      <c r="C15" s="190"/>
      <c r="D15" s="47"/>
      <c r="E15" s="47"/>
      <c r="F15" s="47"/>
      <c r="G15" s="47"/>
      <c r="H15" s="47"/>
      <c r="I15" s="47"/>
      <c r="J15" s="47"/>
      <c r="K15" s="188">
        <f t="shared" si="0"/>
        <v>0</v>
      </c>
    </row>
    <row r="16" spans="2:11" ht="25.5">
      <c r="B16" s="265" t="str">
        <f>COMPONENTES!B12</f>
        <v>Capacitaciones al personal de Serenazgo</v>
      </c>
      <c r="C16" s="190"/>
      <c r="D16" s="47"/>
      <c r="E16" s="47"/>
      <c r="F16" s="47"/>
      <c r="G16" s="47"/>
      <c r="H16" s="47"/>
      <c r="J16" s="187">
        <v>1</v>
      </c>
      <c r="K16" s="188">
        <f t="shared" si="0"/>
        <v>1</v>
      </c>
    </row>
    <row r="17" spans="2:11" ht="63.75">
      <c r="B17" s="43" t="str">
        <f>COMPONENTES!B13</f>
        <v>COMPONENTE 5: Adecuada gestión Institucional y participación vecinal, Juntas Vecinales en Seguridad Ciudadana</v>
      </c>
      <c r="C17" s="189"/>
      <c r="D17" s="47"/>
      <c r="E17" s="47"/>
      <c r="F17" s="47"/>
      <c r="G17" s="47"/>
      <c r="H17" s="47"/>
      <c r="I17" s="47"/>
      <c r="J17" s="47"/>
      <c r="K17" s="188">
        <f t="shared" si="0"/>
        <v>0</v>
      </c>
    </row>
    <row r="18" spans="2:11" ht="48.75" customHeight="1">
      <c r="B18" s="265" t="str">
        <f>COMPONENTES!B14</f>
        <v>Sensibilización a la población en temas de seguridad ciudadana</v>
      </c>
      <c r="C18" s="190"/>
      <c r="D18" s="47"/>
      <c r="E18" s="47"/>
      <c r="F18" s="47"/>
      <c r="G18" s="47"/>
      <c r="H18" s="47"/>
      <c r="J18" s="187">
        <v>1</v>
      </c>
      <c r="K18" s="188">
        <f t="shared" si="0"/>
        <v>1</v>
      </c>
    </row>
    <row r="19" spans="2:11" ht="12.75">
      <c r="B19" s="43" t="str">
        <f>COMPONENTES!B16</f>
        <v>Supervisión </v>
      </c>
      <c r="C19" s="190"/>
      <c r="D19" s="47"/>
      <c r="E19" s="47"/>
      <c r="F19" s="263">
        <v>0.2</v>
      </c>
      <c r="G19" s="263">
        <v>0.2</v>
      </c>
      <c r="H19" s="263">
        <v>0.2</v>
      </c>
      <c r="I19" s="263">
        <v>0.2</v>
      </c>
      <c r="J19" s="263">
        <v>0.2</v>
      </c>
      <c r="K19" s="188">
        <f t="shared" si="0"/>
        <v>1</v>
      </c>
    </row>
    <row r="20" spans="2:11" ht="12.75">
      <c r="B20" s="43" t="str">
        <f>COMPONENTES!B18</f>
        <v>Gestión del Proyecto</v>
      </c>
      <c r="C20" s="189"/>
      <c r="D20" s="263">
        <v>0.1</v>
      </c>
      <c r="E20" s="263">
        <v>0.1</v>
      </c>
      <c r="F20" s="263">
        <v>0.1</v>
      </c>
      <c r="G20" s="263">
        <v>0.2</v>
      </c>
      <c r="H20" s="263">
        <v>0.2</v>
      </c>
      <c r="I20" s="263">
        <v>0.2</v>
      </c>
      <c r="J20" s="263">
        <v>0.1</v>
      </c>
      <c r="K20" s="188">
        <f t="shared" si="0"/>
        <v>0.9999999999999999</v>
      </c>
    </row>
    <row r="22" spans="2:3" ht="12.75">
      <c r="B22" s="180" t="s">
        <v>235</v>
      </c>
      <c r="C22" s="181"/>
    </row>
    <row r="24" spans="2:11" ht="12.75">
      <c r="B24" s="430" t="s">
        <v>14</v>
      </c>
      <c r="C24" s="430" t="s">
        <v>236</v>
      </c>
      <c r="D24" s="468" t="s">
        <v>237</v>
      </c>
      <c r="E24" s="468"/>
      <c r="F24" s="468"/>
      <c r="G24" s="468"/>
      <c r="H24" s="468"/>
      <c r="I24" s="468"/>
      <c r="J24" s="382"/>
      <c r="K24" s="469" t="s">
        <v>238</v>
      </c>
    </row>
    <row r="25" spans="2:11" ht="33" customHeight="1">
      <c r="B25" s="431"/>
      <c r="C25" s="431"/>
      <c r="D25" s="45">
        <v>1</v>
      </c>
      <c r="E25" s="45">
        <v>2</v>
      </c>
      <c r="F25" s="45">
        <v>3</v>
      </c>
      <c r="G25" s="45">
        <v>4</v>
      </c>
      <c r="H25" s="45">
        <v>5</v>
      </c>
      <c r="I25" s="45">
        <v>6</v>
      </c>
      <c r="J25" s="383"/>
      <c r="K25" s="470"/>
    </row>
    <row r="26" spans="1:12" ht="25.5">
      <c r="A26" s="34">
        <f>COMPONENTES!F17</f>
        <v>70691.21059999998</v>
      </c>
      <c r="B26" s="43" t="str">
        <f>B5</f>
        <v>Elaboración de Expediente Técnico</v>
      </c>
      <c r="C26" s="192">
        <f>'[1]RESUMEN DE INVERSIÓN'!E21</f>
        <v>50437.329817000005</v>
      </c>
      <c r="D26" s="193">
        <f aca="true" t="shared" si="1" ref="D26:I26">$A$26*D5</f>
        <v>35345.60529999999</v>
      </c>
      <c r="E26" s="193">
        <f t="shared" si="1"/>
        <v>35345.60529999999</v>
      </c>
      <c r="F26" s="194">
        <f t="shared" si="1"/>
        <v>0</v>
      </c>
      <c r="G26" s="194">
        <f t="shared" si="1"/>
        <v>0</v>
      </c>
      <c r="H26" s="194">
        <f t="shared" si="1"/>
        <v>0</v>
      </c>
      <c r="I26" s="194">
        <f t="shared" si="1"/>
        <v>0</v>
      </c>
      <c r="J26" s="194"/>
      <c r="K26" s="195">
        <f>SUM(D26:I26)</f>
        <v>70691.21059999998</v>
      </c>
      <c r="L26" s="34"/>
    </row>
    <row r="27" spans="1:12" ht="25.5">
      <c r="A27" s="264"/>
      <c r="B27" s="43" t="str">
        <f aca="true" t="shared" si="2" ref="B27:B41">B6</f>
        <v>COMPONENTE 1: Adecuada infraestructura de vigilancia</v>
      </c>
      <c r="C27" s="186"/>
      <c r="D27" s="48"/>
      <c r="E27" s="48"/>
      <c r="F27" s="48"/>
      <c r="G27" s="48"/>
      <c r="H27" s="48"/>
      <c r="I27" s="48"/>
      <c r="J27" s="48"/>
      <c r="K27" s="195"/>
      <c r="L27" s="34"/>
    </row>
    <row r="28" spans="1:12" ht="38.25">
      <c r="A28" s="264">
        <f>COMPONENTES!F3</f>
        <v>222469.3176</v>
      </c>
      <c r="B28" s="265" t="str">
        <f>B7</f>
        <v>Construcción de la infraestructura del Centro de Operaciones de Seguridad Ciudadana </v>
      </c>
      <c r="C28" s="196">
        <f>'[1]RESUMEN DE INVERSIÓN'!E3</f>
        <v>1020275.1288696</v>
      </c>
      <c r="D28" s="48">
        <f aca="true" t="shared" si="3" ref="D28:I28">$A$28*D7</f>
        <v>0</v>
      </c>
      <c r="E28" s="48">
        <f t="shared" si="3"/>
        <v>0</v>
      </c>
      <c r="F28" s="193">
        <f t="shared" si="3"/>
        <v>88987.72704000001</v>
      </c>
      <c r="G28" s="193">
        <f t="shared" si="3"/>
        <v>88987.72704000001</v>
      </c>
      <c r="H28" s="193">
        <f t="shared" si="3"/>
        <v>44493.863520000006</v>
      </c>
      <c r="I28" s="48">
        <f t="shared" si="3"/>
        <v>0</v>
      </c>
      <c r="J28" s="48"/>
      <c r="K28" s="267">
        <f>SUM(D28:I28)</f>
        <v>222469.31760000004</v>
      </c>
      <c r="L28" s="34"/>
    </row>
    <row r="29" spans="1:12" ht="25.5">
      <c r="A29" s="264">
        <f>COMPONENTES!F4</f>
        <v>277416.2064</v>
      </c>
      <c r="B29" s="265" t="str">
        <f t="shared" si="2"/>
        <v>Construcción de Puestos de Auxilio Rápido </v>
      </c>
      <c r="C29" s="196">
        <f>'[1]RESUMEN DE INVERSIÓN'!E4</f>
        <v>0</v>
      </c>
      <c r="D29" s="48">
        <f aca="true" t="shared" si="4" ref="D29:I29">$A$29*D8</f>
        <v>0</v>
      </c>
      <c r="E29" s="48">
        <f t="shared" si="4"/>
        <v>0</v>
      </c>
      <c r="F29" s="48">
        <f t="shared" si="4"/>
        <v>0</v>
      </c>
      <c r="G29" s="48">
        <f t="shared" si="4"/>
        <v>0</v>
      </c>
      <c r="H29" s="193">
        <f t="shared" si="4"/>
        <v>138708.1032</v>
      </c>
      <c r="I29" s="193">
        <f t="shared" si="4"/>
        <v>138708.1032</v>
      </c>
      <c r="J29" s="193"/>
      <c r="K29" s="267">
        <f>SUM(D29:I29)</f>
        <v>277416.2064</v>
      </c>
      <c r="L29" s="34"/>
    </row>
    <row r="30" spans="1:12" ht="51">
      <c r="A30" s="264"/>
      <c r="B30" s="43" t="str">
        <f t="shared" si="2"/>
        <v>COMPONENTE 2: Suficiente y adecuado Equipamiento del Sistema Tecnológico de vigilancia</v>
      </c>
      <c r="C30" s="196"/>
      <c r="D30" s="48"/>
      <c r="E30" s="48"/>
      <c r="F30" s="48"/>
      <c r="G30" s="48"/>
      <c r="H30" s="48"/>
      <c r="I30" s="48"/>
      <c r="J30" s="48"/>
      <c r="K30" s="195"/>
      <c r="L30" s="34"/>
    </row>
    <row r="31" spans="1:12" ht="38.25">
      <c r="A31" s="264">
        <f>COMPONENTES!F6</f>
        <v>3869800.2413999983</v>
      </c>
      <c r="B31" s="265" t="str">
        <f t="shared" si="2"/>
        <v>Adquisición e instalación del sistema de video vigilancia mediante Fibra Óptica  </v>
      </c>
      <c r="C31" s="196">
        <f>'[1]RESUMEN DE INVERSIÓN'!E6</f>
        <v>312081.13</v>
      </c>
      <c r="D31" s="48">
        <f>$A$31*D10</f>
        <v>0</v>
      </c>
      <c r="E31" s="48">
        <f>$A$31*E10</f>
        <v>0</v>
      </c>
      <c r="F31" s="48">
        <f>$A$31*F10</f>
        <v>0</v>
      </c>
      <c r="G31" s="48">
        <f>$A$31*G10</f>
        <v>0</v>
      </c>
      <c r="H31" s="48" t="e">
        <f>$A$31*#REF!</f>
        <v>#REF!</v>
      </c>
      <c r="I31" s="48" t="e">
        <f>$A$31*#REF!</f>
        <v>#REF!</v>
      </c>
      <c r="J31" s="48"/>
      <c r="K31" s="267" t="e">
        <f>SUM(D31:I31)</f>
        <v>#REF!</v>
      </c>
      <c r="L31" s="34"/>
    </row>
    <row r="32" spans="1:12" ht="51">
      <c r="A32" s="264"/>
      <c r="B32" s="43" t="str">
        <f t="shared" si="2"/>
        <v>COMPONENTE 3: Suficientes unidades móviles de vigilancia, materiales, accesorios e indumentarias</v>
      </c>
      <c r="C32" s="196"/>
      <c r="D32" s="48"/>
      <c r="E32" s="48"/>
      <c r="F32" s="48"/>
      <c r="G32" s="48"/>
      <c r="H32" s="48"/>
      <c r="I32" s="48"/>
      <c r="J32" s="48"/>
      <c r="K32" s="195"/>
      <c r="L32" s="34"/>
    </row>
    <row r="33" spans="1:12" ht="25.5">
      <c r="A33" s="264">
        <f>COMPONENTES!F8</f>
        <v>0</v>
      </c>
      <c r="B33" s="265" t="str">
        <f t="shared" si="2"/>
        <v>Adquisición de Vehículo de Serenazgo</v>
      </c>
      <c r="C33" s="196">
        <f>'[1]RESUMEN DE INVERSIÓN'!E8</f>
        <v>5246196.180000001</v>
      </c>
      <c r="D33" s="48">
        <f>$A$33*D12</f>
        <v>0</v>
      </c>
      <c r="E33" s="48">
        <f>$A$33*E12</f>
        <v>0</v>
      </c>
      <c r="F33" s="48">
        <f>$A$33*F12</f>
        <v>0</v>
      </c>
      <c r="G33" s="48">
        <f>$A$33*G12</f>
        <v>0</v>
      </c>
      <c r="H33" s="193" t="e">
        <f>$A$33*#REF!</f>
        <v>#REF!</v>
      </c>
      <c r="I33" s="193">
        <f>$A$33*H12</f>
        <v>0</v>
      </c>
      <c r="J33" s="193"/>
      <c r="K33" s="267" t="e">
        <f>SUM(D33:I33)</f>
        <v>#REF!</v>
      </c>
      <c r="L33" s="34"/>
    </row>
    <row r="34" spans="1:12" ht="38.25">
      <c r="A34" s="264">
        <f>COMPONENTES!F9</f>
        <v>96566.15999999999</v>
      </c>
      <c r="B34" s="265" t="str">
        <f t="shared" si="2"/>
        <v>Adquisición de uniformes, materiales y accesorios de Seguridad Ciudadana</v>
      </c>
      <c r="C34" s="196">
        <f>'[1]RESUMEN DE INVERSIÓN'!E9</f>
        <v>342636.01</v>
      </c>
      <c r="D34" s="48">
        <f>$A$34*D13</f>
        <v>0</v>
      </c>
      <c r="E34" s="48">
        <f>$A$34*E13</f>
        <v>0</v>
      </c>
      <c r="F34" s="48">
        <f>$A$34*F13</f>
        <v>0</v>
      </c>
      <c r="G34" s="48">
        <f>$A$34*G13</f>
        <v>0</v>
      </c>
      <c r="H34" s="193" t="e">
        <f>$A$34*#REF!</f>
        <v>#REF!</v>
      </c>
      <c r="I34" s="193">
        <f>$A$34*I13</f>
        <v>48283.079999999994</v>
      </c>
      <c r="J34" s="193"/>
      <c r="K34" s="267" t="e">
        <f>SUM(D34:I34)</f>
        <v>#REF!</v>
      </c>
      <c r="L34" s="34"/>
    </row>
    <row r="35" spans="1:12" ht="25.5">
      <c r="A35" s="264">
        <f>COMPONENTES!F10</f>
        <v>80325.40000000001</v>
      </c>
      <c r="B35" s="265" t="str">
        <f t="shared" si="2"/>
        <v>Adquisición de mobiliario y equipamiento</v>
      </c>
      <c r="C35" s="196"/>
      <c r="D35" s="48">
        <f>$A$35*D14</f>
        <v>0</v>
      </c>
      <c r="E35" s="48">
        <f>$A$35*E14</f>
        <v>0</v>
      </c>
      <c r="F35" s="48">
        <f>$A$35*F14</f>
        <v>0</v>
      </c>
      <c r="G35" s="48">
        <f>$A$35*G14</f>
        <v>0</v>
      </c>
      <c r="H35" s="48" t="e">
        <f>$A$35*#REF!</f>
        <v>#REF!</v>
      </c>
      <c r="I35" s="48">
        <f>$A$35*I14</f>
        <v>40162.700000000004</v>
      </c>
      <c r="J35" s="48"/>
      <c r="K35" s="267" t="e">
        <f>SUM(D35:I35)</f>
        <v>#REF!</v>
      </c>
      <c r="L35" s="34"/>
    </row>
    <row r="36" spans="1:12" ht="38.25">
      <c r="A36" s="264"/>
      <c r="B36" s="43" t="str">
        <f t="shared" si="2"/>
        <v>COMPONENTE  4: Personal de Serenazgo capacitado en temas de Seguridad Ciudadana</v>
      </c>
      <c r="C36" s="196">
        <f>'[1]RESUMEN DE INVERSIÓN'!E11</f>
        <v>1327572</v>
      </c>
      <c r="D36" s="48">
        <f aca="true" t="shared" si="5" ref="D36:I36">$C$36*D15</f>
        <v>0</v>
      </c>
      <c r="E36" s="48">
        <f t="shared" si="5"/>
        <v>0</v>
      </c>
      <c r="F36" s="48">
        <f t="shared" si="5"/>
        <v>0</v>
      </c>
      <c r="G36" s="48">
        <f t="shared" si="5"/>
        <v>0</v>
      </c>
      <c r="H36" s="48">
        <f t="shared" si="5"/>
        <v>0</v>
      </c>
      <c r="I36" s="48">
        <f t="shared" si="5"/>
        <v>0</v>
      </c>
      <c r="J36" s="48"/>
      <c r="K36" s="195"/>
      <c r="L36" s="34"/>
    </row>
    <row r="37" spans="1:12" ht="25.5">
      <c r="A37" s="264">
        <f>COMPONENTES!F12</f>
        <v>38315.520000000004</v>
      </c>
      <c r="B37" s="265" t="str">
        <f t="shared" si="2"/>
        <v>Capacitaciones al personal de Serenazgo</v>
      </c>
      <c r="C37" s="196">
        <f>'[1]RESUMEN DE INVERSIÓN'!E12</f>
        <v>48180</v>
      </c>
      <c r="D37" s="48">
        <f>$A$37*D16</f>
        <v>0</v>
      </c>
      <c r="E37" s="48">
        <f>$A$37*E16</f>
        <v>0</v>
      </c>
      <c r="F37" s="48">
        <f>$A$37*F16</f>
        <v>0</v>
      </c>
      <c r="G37" s="48">
        <f>$A$37*G16</f>
        <v>0</v>
      </c>
      <c r="H37" s="48">
        <f>$A$37*H16</f>
        <v>0</v>
      </c>
      <c r="I37" s="48" t="e">
        <f>$A$37*#REF!</f>
        <v>#REF!</v>
      </c>
      <c r="J37" s="48"/>
      <c r="K37" s="267" t="e">
        <f>SUM(D37:I37)</f>
        <v>#REF!</v>
      </c>
      <c r="L37" s="34"/>
    </row>
    <row r="38" spans="1:12" ht="63.75">
      <c r="A38" s="264"/>
      <c r="B38" s="43" t="str">
        <f t="shared" si="2"/>
        <v>COMPONENTE 5: Adecuada gestión Institucional y participación vecinal, Juntas Vecinales en Seguridad Ciudadana</v>
      </c>
      <c r="C38" s="196"/>
      <c r="D38" s="48"/>
      <c r="E38" s="48"/>
      <c r="F38" s="48"/>
      <c r="G38" s="48"/>
      <c r="H38" s="48"/>
      <c r="I38" s="48"/>
      <c r="J38" s="48"/>
      <c r="K38" s="195"/>
      <c r="L38" s="34"/>
    </row>
    <row r="39" spans="1:12" ht="25.5">
      <c r="A39" s="264">
        <f>COMPONENTES!F14</f>
        <v>17313.16</v>
      </c>
      <c r="B39" s="265" t="str">
        <f t="shared" si="2"/>
        <v>Sensibilización a la población en temas de seguridad ciudadana</v>
      </c>
      <c r="C39" s="196">
        <f>'[1]RESUMEN DE INVERSIÓN'!E14</f>
        <v>306120</v>
      </c>
      <c r="D39" s="48">
        <f>$A$39*D18</f>
        <v>0</v>
      </c>
      <c r="E39" s="48">
        <f>$A$39*E18</f>
        <v>0</v>
      </c>
      <c r="F39" s="48">
        <f>$A$39*F18</f>
        <v>0</v>
      </c>
      <c r="G39" s="48">
        <f>$A$39*G18</f>
        <v>0</v>
      </c>
      <c r="H39" s="48">
        <f>$A$39*H18</f>
        <v>0</v>
      </c>
      <c r="I39" s="48" t="e">
        <f>$A$39*#REF!</f>
        <v>#REF!</v>
      </c>
      <c r="J39" s="48"/>
      <c r="K39" s="267" t="e">
        <f>SUM(D39:I39)</f>
        <v>#REF!</v>
      </c>
      <c r="L39" s="34"/>
    </row>
    <row r="40" spans="1:12" ht="12.75">
      <c r="A40" s="264">
        <f>COMPONENTES!F16</f>
        <v>70691.21059999998</v>
      </c>
      <c r="B40" s="43" t="str">
        <f t="shared" si="2"/>
        <v>Supervisión </v>
      </c>
      <c r="C40" s="196"/>
      <c r="D40" s="193">
        <f aca="true" t="shared" si="6" ref="D40:I40">$A$40*D19</f>
        <v>0</v>
      </c>
      <c r="E40" s="193">
        <f t="shared" si="6"/>
        <v>0</v>
      </c>
      <c r="F40" s="193">
        <f t="shared" si="6"/>
        <v>14138.242119999995</v>
      </c>
      <c r="G40" s="193">
        <f t="shared" si="6"/>
        <v>14138.242119999995</v>
      </c>
      <c r="H40" s="193">
        <f t="shared" si="6"/>
        <v>14138.242119999995</v>
      </c>
      <c r="I40" s="193">
        <f t="shared" si="6"/>
        <v>14138.242119999995</v>
      </c>
      <c r="J40" s="193"/>
      <c r="K40" s="195">
        <f>SUM(D40:I40)</f>
        <v>56552.96847999998</v>
      </c>
      <c r="L40" s="34"/>
    </row>
    <row r="41" spans="1:12" ht="12.75">
      <c r="A41" s="264">
        <f>COMPONENTES!F18</f>
        <v>23011.030026999986</v>
      </c>
      <c r="B41" s="43" t="str">
        <f t="shared" si="2"/>
        <v>Gestión del Proyecto</v>
      </c>
      <c r="C41" s="196">
        <f>'[1]RESUMEN DE INVERSIÓN'!E16</f>
        <v>24690</v>
      </c>
      <c r="D41" s="193">
        <f aca="true" t="shared" si="7" ref="D41:I41">$A$41*D20</f>
        <v>2301.103002699999</v>
      </c>
      <c r="E41" s="193">
        <f t="shared" si="7"/>
        <v>2301.103002699999</v>
      </c>
      <c r="F41" s="193">
        <f t="shared" si="7"/>
        <v>2301.103002699999</v>
      </c>
      <c r="G41" s="193">
        <f t="shared" si="7"/>
        <v>4602.206005399998</v>
      </c>
      <c r="H41" s="193">
        <f t="shared" si="7"/>
        <v>4602.206005399998</v>
      </c>
      <c r="I41" s="193">
        <f t="shared" si="7"/>
        <v>4602.206005399998</v>
      </c>
      <c r="J41" s="193"/>
      <c r="K41" s="195">
        <f>SUM(D41:I41)</f>
        <v>20709.92702429999</v>
      </c>
      <c r="L41" s="34"/>
    </row>
    <row r="42" spans="1:12" ht="12.75">
      <c r="A42" s="264">
        <f>COMPONENTES!F19</f>
        <v>4766599.456626997</v>
      </c>
      <c r="B42" s="28" t="s">
        <v>239</v>
      </c>
      <c r="C42" s="192">
        <f aca="true" t="shared" si="8" ref="C42:I42">SUM(C26:C41)</f>
        <v>8678187.7786866</v>
      </c>
      <c r="D42" s="195">
        <f t="shared" si="8"/>
        <v>37646.70830269999</v>
      </c>
      <c r="E42" s="195">
        <f t="shared" si="8"/>
        <v>37646.70830269999</v>
      </c>
      <c r="F42" s="195">
        <f t="shared" si="8"/>
        <v>105427.0721627</v>
      </c>
      <c r="G42" s="195">
        <f t="shared" si="8"/>
        <v>107728.17516540001</v>
      </c>
      <c r="H42" s="195" t="e">
        <f t="shared" si="8"/>
        <v>#REF!</v>
      </c>
      <c r="I42" s="195" t="e">
        <f t="shared" si="8"/>
        <v>#REF!</v>
      </c>
      <c r="J42" s="195"/>
      <c r="K42" s="195" t="e">
        <f>SUM(K26:K41)</f>
        <v>#REF!</v>
      </c>
      <c r="L42" s="34"/>
    </row>
    <row r="43" spans="1:11" ht="12.75">
      <c r="A43" s="34">
        <f>SUM(A26:A41)</f>
        <v>4766599.456626998</v>
      </c>
      <c r="C43" s="34"/>
      <c r="K43" s="34"/>
    </row>
    <row r="44" spans="3:11" ht="12.75">
      <c r="C44" s="34"/>
      <c r="K44" s="34"/>
    </row>
    <row r="45" ht="12.75">
      <c r="C45" s="39"/>
    </row>
    <row r="46" ht="12.75">
      <c r="C46" s="34"/>
    </row>
    <row r="47" ht="12.75">
      <c r="C47" s="34"/>
    </row>
    <row r="48" ht="12.75">
      <c r="C48" s="34"/>
    </row>
    <row r="49" ht="12.75">
      <c r="C49" s="34"/>
    </row>
    <row r="50" ht="12.75">
      <c r="C50" s="34"/>
    </row>
  </sheetData>
  <sheetProtection/>
  <mergeCells count="6">
    <mergeCell ref="B3:B4"/>
    <mergeCell ref="D3:K3"/>
    <mergeCell ref="B24:B25"/>
    <mergeCell ref="C24:C25"/>
    <mergeCell ref="D24:I24"/>
    <mergeCell ref="K24:K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3"/>
  <sheetViews>
    <sheetView zoomScalePageLayoutView="0" workbookViewId="0" topLeftCell="A1">
      <selection activeCell="D110" sqref="D110"/>
    </sheetView>
  </sheetViews>
  <sheetFormatPr defaultColWidth="11.421875" defaultRowHeight="15"/>
  <cols>
    <col min="1" max="1" width="11.57421875" style="26" bestFit="1" customWidth="1"/>
    <col min="2" max="2" width="25.28125" style="26" customWidth="1"/>
    <col min="3" max="3" width="11.421875" style="26" customWidth="1"/>
    <col min="4" max="4" width="11.57421875" style="26" bestFit="1" customWidth="1"/>
    <col min="5" max="5" width="13.28125" style="26" bestFit="1" customWidth="1"/>
    <col min="6" max="6" width="16.28125" style="26" bestFit="1" customWidth="1"/>
    <col min="7" max="8" width="14.57421875" style="26" bestFit="1" customWidth="1"/>
    <col min="9" max="9" width="13.00390625" style="26" bestFit="1" customWidth="1"/>
    <col min="10" max="16384" width="11.421875" style="26" customWidth="1"/>
  </cols>
  <sheetData>
    <row r="1" spans="1:7" ht="90">
      <c r="A1" s="331" t="s">
        <v>264</v>
      </c>
      <c r="B1" s="332" t="s">
        <v>280</v>
      </c>
      <c r="C1" s="333"/>
      <c r="D1" s="333"/>
      <c r="E1" s="333"/>
      <c r="F1" s="333"/>
      <c r="G1" s="333"/>
    </row>
    <row r="2" spans="1:7" ht="67.5">
      <c r="A2" s="334" t="s">
        <v>265</v>
      </c>
      <c r="B2" s="335">
        <f>F101</f>
        <v>3869800.2413999983</v>
      </c>
      <c r="C2" s="333"/>
      <c r="D2" s="333"/>
      <c r="E2" s="333"/>
      <c r="F2" s="333"/>
      <c r="G2" s="333"/>
    </row>
    <row r="3" spans="1:7" ht="13.5" thickBot="1">
      <c r="A3" s="333"/>
      <c r="B3" s="333"/>
      <c r="C3" s="333"/>
      <c r="D3" s="333"/>
      <c r="E3" s="333"/>
      <c r="F3" s="333"/>
      <c r="G3" s="333"/>
    </row>
    <row r="4" spans="1:7" ht="35.25" thickBot="1" thickTop="1">
      <c r="A4" s="336" t="s">
        <v>495</v>
      </c>
      <c r="B4" s="337" t="s">
        <v>496</v>
      </c>
      <c r="C4" s="338" t="s">
        <v>497</v>
      </c>
      <c r="D4" s="339"/>
      <c r="E4" s="340" t="s">
        <v>147</v>
      </c>
      <c r="F4" s="341" t="s">
        <v>498</v>
      </c>
      <c r="G4" s="333"/>
    </row>
    <row r="5" spans="1:7" ht="24" thickBot="1" thickTop="1">
      <c r="A5" s="342"/>
      <c r="B5" s="343" t="s">
        <v>499</v>
      </c>
      <c r="C5" s="344"/>
      <c r="D5" s="344"/>
      <c r="E5" s="344"/>
      <c r="F5" s="345"/>
      <c r="G5" s="333"/>
    </row>
    <row r="6" spans="1:7" ht="34.5" thickBot="1">
      <c r="A6" s="346">
        <v>1</v>
      </c>
      <c r="B6" s="347" t="s">
        <v>500</v>
      </c>
      <c r="C6" s="348"/>
      <c r="D6" s="348"/>
      <c r="E6" s="348"/>
      <c r="F6" s="349">
        <f>SUM(F7:F14)</f>
        <v>622977.08</v>
      </c>
      <c r="G6" s="333"/>
    </row>
    <row r="7" spans="1:7" ht="33.75">
      <c r="A7" s="350">
        <v>1.1</v>
      </c>
      <c r="B7" s="351" t="s">
        <v>501</v>
      </c>
      <c r="C7" s="324" t="s">
        <v>502</v>
      </c>
      <c r="D7" s="324">
        <v>154</v>
      </c>
      <c r="E7" s="352">
        <v>779.94</v>
      </c>
      <c r="F7" s="353">
        <v>120110.76</v>
      </c>
      <c r="G7" s="333"/>
    </row>
    <row r="8" spans="1:7" ht="22.5">
      <c r="A8" s="350">
        <v>1.2</v>
      </c>
      <c r="B8" s="351" t="s">
        <v>503</v>
      </c>
      <c r="C8" s="324" t="s">
        <v>504</v>
      </c>
      <c r="D8" s="319">
        <v>14500</v>
      </c>
      <c r="E8" s="354">
        <v>5.85</v>
      </c>
      <c r="F8" s="353">
        <v>84818.48</v>
      </c>
      <c r="G8" s="333"/>
    </row>
    <row r="9" spans="1:7" ht="22.5">
      <c r="A9" s="350">
        <v>1.3</v>
      </c>
      <c r="B9" s="351" t="s">
        <v>505</v>
      </c>
      <c r="C9" s="324" t="s">
        <v>504</v>
      </c>
      <c r="D9" s="319">
        <v>10000</v>
      </c>
      <c r="E9" s="352">
        <v>26</v>
      </c>
      <c r="F9" s="353">
        <v>259980</v>
      </c>
      <c r="G9" s="333"/>
    </row>
    <row r="10" spans="1:7" ht="33.75">
      <c r="A10" s="350">
        <v>1.4</v>
      </c>
      <c r="B10" s="351" t="s">
        <v>506</v>
      </c>
      <c r="C10" s="324" t="s">
        <v>507</v>
      </c>
      <c r="D10" s="324">
        <v>1</v>
      </c>
      <c r="E10" s="355">
        <v>93592.8</v>
      </c>
      <c r="F10" s="353">
        <v>93592.8</v>
      </c>
      <c r="G10" s="333"/>
    </row>
    <row r="11" spans="1:7" ht="33.75">
      <c r="A11" s="350">
        <v>1.5</v>
      </c>
      <c r="B11" s="351" t="s">
        <v>508</v>
      </c>
      <c r="C11" s="324" t="s">
        <v>507</v>
      </c>
      <c r="D11" s="324">
        <v>1</v>
      </c>
      <c r="E11" s="355">
        <v>42896.7</v>
      </c>
      <c r="F11" s="353">
        <v>42896.7</v>
      </c>
      <c r="G11" s="333"/>
    </row>
    <row r="12" spans="1:7" ht="33.75">
      <c r="A12" s="350">
        <v>1.6</v>
      </c>
      <c r="B12" s="351" t="s">
        <v>509</v>
      </c>
      <c r="C12" s="324" t="s">
        <v>502</v>
      </c>
      <c r="D12" s="324">
        <v>60</v>
      </c>
      <c r="E12" s="352">
        <v>71.49</v>
      </c>
      <c r="F12" s="353">
        <v>4289.67</v>
      </c>
      <c r="G12" s="333"/>
    </row>
    <row r="13" spans="1:7" ht="22.5">
      <c r="A13" s="350">
        <v>1.7</v>
      </c>
      <c r="B13" s="351" t="s">
        <v>510</v>
      </c>
      <c r="C13" s="324" t="s">
        <v>507</v>
      </c>
      <c r="D13" s="324">
        <v>1</v>
      </c>
      <c r="E13" s="355">
        <v>5589.57</v>
      </c>
      <c r="F13" s="353">
        <v>5589.57</v>
      </c>
      <c r="G13" s="333"/>
    </row>
    <row r="14" spans="1:7" ht="23.25" thickBot="1">
      <c r="A14" s="350">
        <v>1.8</v>
      </c>
      <c r="B14" s="344" t="s">
        <v>511</v>
      </c>
      <c r="C14" s="320" t="s">
        <v>507</v>
      </c>
      <c r="D14" s="320">
        <v>1</v>
      </c>
      <c r="E14" s="356">
        <v>11699.1</v>
      </c>
      <c r="F14" s="357">
        <v>11699.1</v>
      </c>
      <c r="G14" s="333"/>
    </row>
    <row r="15" spans="1:7" ht="34.5" thickBot="1">
      <c r="A15" s="346">
        <v>2</v>
      </c>
      <c r="B15" s="347" t="s">
        <v>512</v>
      </c>
      <c r="C15" s="348"/>
      <c r="D15" s="348"/>
      <c r="E15" s="348"/>
      <c r="F15" s="349">
        <f>SUM(F16:F26)</f>
        <v>962120.99</v>
      </c>
      <c r="G15" s="333"/>
    </row>
    <row r="16" spans="1:7" ht="33.75">
      <c r="A16" s="350">
        <v>2.1</v>
      </c>
      <c r="B16" s="351" t="s">
        <v>513</v>
      </c>
      <c r="C16" s="324" t="s">
        <v>502</v>
      </c>
      <c r="D16" s="324">
        <v>20</v>
      </c>
      <c r="E16" s="355">
        <v>3899.7</v>
      </c>
      <c r="F16" s="353">
        <v>77994</v>
      </c>
      <c r="G16" s="333"/>
    </row>
    <row r="17" spans="1:7" ht="22.5">
      <c r="A17" s="350">
        <v>2.2</v>
      </c>
      <c r="B17" s="351" t="s">
        <v>514</v>
      </c>
      <c r="C17" s="324" t="s">
        <v>502</v>
      </c>
      <c r="D17" s="324">
        <v>20</v>
      </c>
      <c r="E17" s="355">
        <v>36397.2</v>
      </c>
      <c r="F17" s="353">
        <v>727944</v>
      </c>
      <c r="G17" s="333"/>
    </row>
    <row r="18" spans="1:7" ht="12.75">
      <c r="A18" s="350">
        <v>2.3</v>
      </c>
      <c r="B18" s="351" t="s">
        <v>515</v>
      </c>
      <c r="C18" s="324" t="s">
        <v>507</v>
      </c>
      <c r="D18" s="324">
        <v>20</v>
      </c>
      <c r="E18" s="355">
        <v>2339.82</v>
      </c>
      <c r="F18" s="353">
        <v>46796.4</v>
      </c>
      <c r="G18" s="333"/>
    </row>
    <row r="19" spans="1:7" ht="33.75">
      <c r="A19" s="350">
        <v>2.4</v>
      </c>
      <c r="B19" s="351" t="s">
        <v>516</v>
      </c>
      <c r="C19" s="324" t="s">
        <v>502</v>
      </c>
      <c r="D19" s="324">
        <v>1</v>
      </c>
      <c r="E19" s="355">
        <v>58495.5</v>
      </c>
      <c r="F19" s="353">
        <v>58495.5</v>
      </c>
      <c r="G19" s="333"/>
    </row>
    <row r="20" spans="1:7" ht="22.5">
      <c r="A20" s="350">
        <v>2.5</v>
      </c>
      <c r="B20" s="351" t="s">
        <v>517</v>
      </c>
      <c r="C20" s="324" t="s">
        <v>502</v>
      </c>
      <c r="D20" s="324">
        <v>10</v>
      </c>
      <c r="E20" s="352">
        <v>389.97</v>
      </c>
      <c r="F20" s="353">
        <v>3899.7</v>
      </c>
      <c r="G20" s="333"/>
    </row>
    <row r="21" spans="1:7" ht="22.5">
      <c r="A21" s="350">
        <v>2.6</v>
      </c>
      <c r="B21" s="351" t="s">
        <v>518</v>
      </c>
      <c r="C21" s="324" t="s">
        <v>502</v>
      </c>
      <c r="D21" s="324">
        <v>11</v>
      </c>
      <c r="E21" s="352">
        <v>324.98</v>
      </c>
      <c r="F21" s="353">
        <v>3574.73</v>
      </c>
      <c r="G21" s="333"/>
    </row>
    <row r="22" spans="1:7" ht="22.5">
      <c r="A22" s="350">
        <v>2.7</v>
      </c>
      <c r="B22" s="351" t="s">
        <v>519</v>
      </c>
      <c r="C22" s="324" t="s">
        <v>502</v>
      </c>
      <c r="D22" s="324">
        <v>21</v>
      </c>
      <c r="E22" s="352">
        <v>259.98</v>
      </c>
      <c r="F22" s="353">
        <v>5459.58</v>
      </c>
      <c r="G22" s="333"/>
    </row>
    <row r="23" spans="1:7" ht="22.5">
      <c r="A23" s="350">
        <v>2.8</v>
      </c>
      <c r="B23" s="351" t="s">
        <v>520</v>
      </c>
      <c r="C23" s="324" t="s">
        <v>502</v>
      </c>
      <c r="D23" s="324">
        <v>10</v>
      </c>
      <c r="E23" s="355">
        <v>2599.8</v>
      </c>
      <c r="F23" s="353">
        <v>25998</v>
      </c>
      <c r="G23" s="333"/>
    </row>
    <row r="24" spans="1:7" ht="12.75">
      <c r="A24" s="350">
        <v>2.9</v>
      </c>
      <c r="B24" s="351" t="s">
        <v>521</v>
      </c>
      <c r="C24" s="324" t="s">
        <v>502</v>
      </c>
      <c r="D24" s="324">
        <v>2</v>
      </c>
      <c r="E24" s="355">
        <v>1559.88</v>
      </c>
      <c r="F24" s="353">
        <v>3119.76</v>
      </c>
      <c r="G24" s="333"/>
    </row>
    <row r="25" spans="1:7" ht="22.5">
      <c r="A25" s="358">
        <v>2.1</v>
      </c>
      <c r="B25" s="351" t="s">
        <v>522</v>
      </c>
      <c r="C25" s="324" t="s">
        <v>507</v>
      </c>
      <c r="D25" s="324">
        <v>1</v>
      </c>
      <c r="E25" s="355">
        <v>6239.52</v>
      </c>
      <c r="F25" s="353">
        <v>6239.52</v>
      </c>
      <c r="G25" s="333"/>
    </row>
    <row r="26" spans="1:7" ht="23.25" thickBot="1">
      <c r="A26" s="358">
        <v>2.11</v>
      </c>
      <c r="B26" s="344" t="s">
        <v>523</v>
      </c>
      <c r="C26" s="320" t="s">
        <v>507</v>
      </c>
      <c r="D26" s="320">
        <v>1</v>
      </c>
      <c r="E26" s="356">
        <v>2599.8</v>
      </c>
      <c r="F26" s="357">
        <v>2599.8</v>
      </c>
      <c r="G26" s="333"/>
    </row>
    <row r="27" spans="1:7" ht="34.5" thickBot="1">
      <c r="A27" s="346">
        <v>3</v>
      </c>
      <c r="B27" s="347" t="s">
        <v>512</v>
      </c>
      <c r="C27" s="348"/>
      <c r="D27" s="348"/>
      <c r="E27" s="348"/>
      <c r="F27" s="349">
        <f>SUM(F28:F40)</f>
        <v>146167.25999999995</v>
      </c>
      <c r="G27" s="333"/>
    </row>
    <row r="28" spans="1:7" ht="22.5">
      <c r="A28" s="350">
        <v>3.1</v>
      </c>
      <c r="B28" s="351" t="s">
        <v>524</v>
      </c>
      <c r="C28" s="324" t="s">
        <v>502</v>
      </c>
      <c r="D28" s="324">
        <v>1</v>
      </c>
      <c r="E28" s="355">
        <v>1098.42</v>
      </c>
      <c r="F28" s="353">
        <v>1098.42</v>
      </c>
      <c r="G28" s="333"/>
    </row>
    <row r="29" spans="1:7" ht="33.75">
      <c r="A29" s="350">
        <v>3.2</v>
      </c>
      <c r="B29" s="351" t="s">
        <v>525</v>
      </c>
      <c r="C29" s="324" t="s">
        <v>502</v>
      </c>
      <c r="D29" s="324">
        <v>1</v>
      </c>
      <c r="E29" s="355">
        <v>13648.95</v>
      </c>
      <c r="F29" s="353">
        <v>13648.95</v>
      </c>
      <c r="G29" s="333"/>
    </row>
    <row r="30" spans="1:7" ht="22.5">
      <c r="A30" s="350">
        <v>3.3</v>
      </c>
      <c r="B30" s="351" t="s">
        <v>526</v>
      </c>
      <c r="C30" s="324" t="s">
        <v>502</v>
      </c>
      <c r="D30" s="324">
        <v>4</v>
      </c>
      <c r="E30" s="352">
        <v>324.98</v>
      </c>
      <c r="F30" s="353">
        <v>1299.9</v>
      </c>
      <c r="G30" s="333"/>
    </row>
    <row r="31" spans="1:7" ht="33.75">
      <c r="A31" s="350">
        <v>3.4</v>
      </c>
      <c r="B31" s="351" t="s">
        <v>527</v>
      </c>
      <c r="C31" s="324" t="s">
        <v>507</v>
      </c>
      <c r="D31" s="324">
        <v>1</v>
      </c>
      <c r="E31" s="355">
        <v>7799.4</v>
      </c>
      <c r="F31" s="353">
        <v>7799.4</v>
      </c>
      <c r="G31" s="333"/>
    </row>
    <row r="32" spans="1:7" ht="22.5">
      <c r="A32" s="350">
        <v>3.5</v>
      </c>
      <c r="B32" s="351" t="s">
        <v>528</v>
      </c>
      <c r="C32" s="324" t="s">
        <v>502</v>
      </c>
      <c r="D32" s="324">
        <v>2</v>
      </c>
      <c r="E32" s="355">
        <v>2599.8</v>
      </c>
      <c r="F32" s="353">
        <v>5199.6</v>
      </c>
      <c r="G32" s="333"/>
    </row>
    <row r="33" spans="1:7" ht="12.75">
      <c r="A33" s="350">
        <v>3.6</v>
      </c>
      <c r="B33" s="351" t="s">
        <v>529</v>
      </c>
      <c r="C33" s="324" t="s">
        <v>502</v>
      </c>
      <c r="D33" s="324">
        <v>12</v>
      </c>
      <c r="E33" s="355">
        <v>3899.7</v>
      </c>
      <c r="F33" s="353">
        <v>46796.4</v>
      </c>
      <c r="G33" s="333"/>
    </row>
    <row r="34" spans="1:7" ht="22.5">
      <c r="A34" s="350">
        <v>3.7</v>
      </c>
      <c r="B34" s="351" t="s">
        <v>530</v>
      </c>
      <c r="C34" s="324" t="s">
        <v>502</v>
      </c>
      <c r="D34" s="324">
        <v>2</v>
      </c>
      <c r="E34" s="355">
        <v>4289.67</v>
      </c>
      <c r="F34" s="353">
        <v>8579.34</v>
      </c>
      <c r="G34" s="333"/>
    </row>
    <row r="35" spans="1:7" ht="33.75">
      <c r="A35" s="350">
        <v>3.8</v>
      </c>
      <c r="B35" s="351" t="s">
        <v>531</v>
      </c>
      <c r="C35" s="324" t="s">
        <v>507</v>
      </c>
      <c r="D35" s="324">
        <v>1</v>
      </c>
      <c r="E35" s="355">
        <v>4549.65</v>
      </c>
      <c r="F35" s="353">
        <v>4549.65</v>
      </c>
      <c r="G35" s="333"/>
    </row>
    <row r="36" spans="1:7" ht="33.75">
      <c r="A36" s="350">
        <v>3.9</v>
      </c>
      <c r="B36" s="351" t="s">
        <v>532</v>
      </c>
      <c r="C36" s="324" t="s">
        <v>507</v>
      </c>
      <c r="D36" s="324">
        <v>1</v>
      </c>
      <c r="E36" s="355">
        <v>42896.7</v>
      </c>
      <c r="F36" s="353">
        <v>42896.7</v>
      </c>
      <c r="G36" s="333"/>
    </row>
    <row r="37" spans="1:7" ht="12.75">
      <c r="A37" s="350">
        <v>3.1</v>
      </c>
      <c r="B37" s="351" t="s">
        <v>533</v>
      </c>
      <c r="C37" s="324" t="s">
        <v>507</v>
      </c>
      <c r="D37" s="324">
        <v>1</v>
      </c>
      <c r="E37" s="355">
        <v>4549.65</v>
      </c>
      <c r="F37" s="353">
        <v>4549.65</v>
      </c>
      <c r="G37" s="333"/>
    </row>
    <row r="38" spans="1:7" ht="45">
      <c r="A38" s="342">
        <v>3.11</v>
      </c>
      <c r="B38" s="351" t="s">
        <v>598</v>
      </c>
      <c r="C38" s="351" t="s">
        <v>507</v>
      </c>
      <c r="D38" s="351">
        <v>1</v>
      </c>
      <c r="E38" s="359">
        <v>4549.65</v>
      </c>
      <c r="F38" s="360">
        <v>4549.65</v>
      </c>
      <c r="G38" s="333"/>
    </row>
    <row r="39" spans="1:7" ht="22.5">
      <c r="A39" s="358">
        <v>3.12</v>
      </c>
      <c r="B39" s="351" t="s">
        <v>534</v>
      </c>
      <c r="C39" s="324" t="s">
        <v>507</v>
      </c>
      <c r="D39" s="324">
        <v>1</v>
      </c>
      <c r="E39" s="355">
        <v>2599.8</v>
      </c>
      <c r="F39" s="353">
        <v>2599.8</v>
      </c>
      <c r="G39" s="333"/>
    </row>
    <row r="40" spans="1:7" ht="23.25" thickBot="1">
      <c r="A40" s="358">
        <v>3.13</v>
      </c>
      <c r="B40" s="344" t="s">
        <v>535</v>
      </c>
      <c r="C40" s="320" t="s">
        <v>507</v>
      </c>
      <c r="D40" s="320">
        <v>1</v>
      </c>
      <c r="E40" s="356">
        <v>2599.8</v>
      </c>
      <c r="F40" s="357">
        <v>2599.8</v>
      </c>
      <c r="G40" s="333"/>
    </row>
    <row r="41" spans="1:7" ht="23.25" thickBot="1">
      <c r="A41" s="346">
        <v>4</v>
      </c>
      <c r="B41" s="347" t="s">
        <v>536</v>
      </c>
      <c r="C41" s="348"/>
      <c r="D41" s="348"/>
      <c r="E41" s="348"/>
      <c r="F41" s="349">
        <f>SUM(F42:F53)</f>
        <v>214613.49</v>
      </c>
      <c r="G41" s="333"/>
    </row>
    <row r="42" spans="1:7" ht="22.5">
      <c r="A42" s="350">
        <v>4.1</v>
      </c>
      <c r="B42" s="351" t="s">
        <v>537</v>
      </c>
      <c r="C42" s="324" t="s">
        <v>502</v>
      </c>
      <c r="D42" s="324">
        <v>2</v>
      </c>
      <c r="E42" s="355">
        <v>5849.55</v>
      </c>
      <c r="F42" s="353">
        <v>11699.1</v>
      </c>
      <c r="G42" s="333"/>
    </row>
    <row r="43" spans="1:7" ht="12.75">
      <c r="A43" s="350">
        <v>4.2</v>
      </c>
      <c r="B43" s="351" t="s">
        <v>538</v>
      </c>
      <c r="C43" s="324" t="s">
        <v>507</v>
      </c>
      <c r="D43" s="324">
        <v>1</v>
      </c>
      <c r="E43" s="355">
        <v>14298.9</v>
      </c>
      <c r="F43" s="353">
        <v>14298.9</v>
      </c>
      <c r="G43" s="333"/>
    </row>
    <row r="44" spans="1:7" ht="12.75">
      <c r="A44" s="350">
        <v>4.3</v>
      </c>
      <c r="B44" s="351" t="s">
        <v>539</v>
      </c>
      <c r="C44" s="324" t="s">
        <v>502</v>
      </c>
      <c r="D44" s="324">
        <v>3</v>
      </c>
      <c r="E44" s="355">
        <v>4289.67</v>
      </c>
      <c r="F44" s="353">
        <v>12869.01</v>
      </c>
      <c r="G44" s="333"/>
    </row>
    <row r="45" spans="1:7" ht="12.75">
      <c r="A45" s="350">
        <v>4.4</v>
      </c>
      <c r="B45" s="351" t="s">
        <v>540</v>
      </c>
      <c r="C45" s="324" t="s">
        <v>502</v>
      </c>
      <c r="D45" s="324">
        <v>6</v>
      </c>
      <c r="E45" s="352">
        <v>194.99</v>
      </c>
      <c r="F45" s="353">
        <v>1169.91</v>
      </c>
      <c r="G45" s="333"/>
    </row>
    <row r="46" spans="1:7" ht="22.5">
      <c r="A46" s="350">
        <v>4.5</v>
      </c>
      <c r="B46" s="351" t="s">
        <v>541</v>
      </c>
      <c r="C46" s="324" t="s">
        <v>502</v>
      </c>
      <c r="D46" s="324">
        <v>1</v>
      </c>
      <c r="E46" s="355">
        <v>75394.2</v>
      </c>
      <c r="F46" s="353">
        <v>75394.2</v>
      </c>
      <c r="G46" s="333"/>
    </row>
    <row r="47" spans="1:7" ht="22.5">
      <c r="A47" s="350">
        <v>4.6</v>
      </c>
      <c r="B47" s="351" t="s">
        <v>542</v>
      </c>
      <c r="C47" s="324" t="s">
        <v>502</v>
      </c>
      <c r="D47" s="324">
        <v>1</v>
      </c>
      <c r="E47" s="355">
        <v>16248.75</v>
      </c>
      <c r="F47" s="353">
        <v>16248.75</v>
      </c>
      <c r="G47" s="333"/>
    </row>
    <row r="48" spans="1:7" ht="22.5">
      <c r="A48" s="350">
        <v>4.7</v>
      </c>
      <c r="B48" s="351" t="s">
        <v>543</v>
      </c>
      <c r="C48" s="324" t="s">
        <v>502</v>
      </c>
      <c r="D48" s="324">
        <v>1</v>
      </c>
      <c r="E48" s="355">
        <v>9749.25</v>
      </c>
      <c r="F48" s="353">
        <v>9749.25</v>
      </c>
      <c r="G48" s="333"/>
    </row>
    <row r="49" spans="1:7" ht="22.5">
      <c r="A49" s="350">
        <v>4.8</v>
      </c>
      <c r="B49" s="351" t="s">
        <v>544</v>
      </c>
      <c r="C49" s="324" t="s">
        <v>502</v>
      </c>
      <c r="D49" s="324">
        <v>1</v>
      </c>
      <c r="E49" s="355">
        <v>27947.85</v>
      </c>
      <c r="F49" s="353">
        <v>27947.85</v>
      </c>
      <c r="G49" s="333"/>
    </row>
    <row r="50" spans="1:7" ht="12.75">
      <c r="A50" s="350">
        <v>4.9</v>
      </c>
      <c r="B50" s="351" t="s">
        <v>545</v>
      </c>
      <c r="C50" s="324" t="s">
        <v>502</v>
      </c>
      <c r="D50" s="324">
        <v>2</v>
      </c>
      <c r="E50" s="355">
        <v>15598.8</v>
      </c>
      <c r="F50" s="353">
        <v>31197.6</v>
      </c>
      <c r="G50" s="333"/>
    </row>
    <row r="51" spans="1:7" ht="22.5">
      <c r="A51" s="358">
        <v>4.1</v>
      </c>
      <c r="B51" s="351" t="s">
        <v>546</v>
      </c>
      <c r="C51" s="324" t="s">
        <v>502</v>
      </c>
      <c r="D51" s="324">
        <v>1</v>
      </c>
      <c r="E51" s="355">
        <v>4939.62</v>
      </c>
      <c r="F51" s="353">
        <v>4939.62</v>
      </c>
      <c r="G51" s="333"/>
    </row>
    <row r="52" spans="1:7" ht="33.75">
      <c r="A52" s="358">
        <v>4.11</v>
      </c>
      <c r="B52" s="351" t="s">
        <v>547</v>
      </c>
      <c r="C52" s="324" t="s">
        <v>502</v>
      </c>
      <c r="D52" s="324">
        <v>1</v>
      </c>
      <c r="E52" s="355">
        <v>6499.5</v>
      </c>
      <c r="F52" s="353">
        <v>6499.5</v>
      </c>
      <c r="G52" s="333"/>
    </row>
    <row r="53" spans="1:7" ht="23.25" thickBot="1">
      <c r="A53" s="358">
        <v>4.12</v>
      </c>
      <c r="B53" s="344" t="s">
        <v>548</v>
      </c>
      <c r="C53" s="320" t="s">
        <v>507</v>
      </c>
      <c r="D53" s="320">
        <v>1</v>
      </c>
      <c r="E53" s="356">
        <v>2599.8</v>
      </c>
      <c r="F53" s="357">
        <v>2599.8</v>
      </c>
      <c r="G53" s="333"/>
    </row>
    <row r="54" spans="1:7" ht="34.5" thickBot="1">
      <c r="A54" s="346">
        <v>5</v>
      </c>
      <c r="B54" s="347" t="s">
        <v>549</v>
      </c>
      <c r="C54" s="348"/>
      <c r="D54" s="348"/>
      <c r="E54" s="348"/>
      <c r="F54" s="349">
        <f>SUM(F55:F59)</f>
        <v>160537.65</v>
      </c>
      <c r="G54" s="333"/>
    </row>
    <row r="55" spans="1:7" ht="45">
      <c r="A55" s="350">
        <v>5.1</v>
      </c>
      <c r="B55" s="351" t="s">
        <v>550</v>
      </c>
      <c r="C55" s="324" t="s">
        <v>502</v>
      </c>
      <c r="D55" s="324">
        <v>1</v>
      </c>
      <c r="E55" s="355">
        <v>79943.85</v>
      </c>
      <c r="F55" s="353">
        <v>79943.85</v>
      </c>
      <c r="G55" s="333"/>
    </row>
    <row r="56" spans="1:7" ht="12.75">
      <c r="A56" s="350">
        <v>5.2</v>
      </c>
      <c r="B56" s="351" t="s">
        <v>551</v>
      </c>
      <c r="C56" s="324" t="s">
        <v>507</v>
      </c>
      <c r="D56" s="324">
        <v>1</v>
      </c>
      <c r="E56" s="355">
        <v>51996</v>
      </c>
      <c r="F56" s="353">
        <v>51996</v>
      </c>
      <c r="G56" s="333"/>
    </row>
    <row r="57" spans="1:7" ht="33.75">
      <c r="A57" s="350">
        <v>5.3</v>
      </c>
      <c r="B57" s="351" t="s">
        <v>552</v>
      </c>
      <c r="C57" s="324" t="s">
        <v>502</v>
      </c>
      <c r="D57" s="324">
        <v>1</v>
      </c>
      <c r="E57" s="355">
        <v>6499.5</v>
      </c>
      <c r="F57" s="353">
        <v>6499.5</v>
      </c>
      <c r="G57" s="333"/>
    </row>
    <row r="58" spans="1:7" ht="45">
      <c r="A58" s="342">
        <v>5.4</v>
      </c>
      <c r="B58" s="351" t="s">
        <v>595</v>
      </c>
      <c r="C58" s="351" t="s">
        <v>507</v>
      </c>
      <c r="D58" s="351">
        <v>1</v>
      </c>
      <c r="E58" s="359">
        <v>19498.5</v>
      </c>
      <c r="F58" s="360">
        <v>19498.5</v>
      </c>
      <c r="G58" s="333"/>
    </row>
    <row r="59" spans="1:7" ht="23.25" thickBot="1">
      <c r="A59" s="350">
        <v>5.5</v>
      </c>
      <c r="B59" s="344" t="s">
        <v>553</v>
      </c>
      <c r="C59" s="320" t="s">
        <v>507</v>
      </c>
      <c r="D59" s="320">
        <v>1</v>
      </c>
      <c r="E59" s="356">
        <v>2599.8</v>
      </c>
      <c r="F59" s="357">
        <v>2599.8</v>
      </c>
      <c r="G59" s="333"/>
    </row>
    <row r="60" spans="1:7" ht="34.5" thickBot="1">
      <c r="A60" s="346">
        <v>6</v>
      </c>
      <c r="B60" s="347" t="s">
        <v>554</v>
      </c>
      <c r="C60" s="348"/>
      <c r="D60" s="348"/>
      <c r="E60" s="348"/>
      <c r="F60" s="349">
        <f>SUM(F61:F63)</f>
        <v>33277.44</v>
      </c>
      <c r="G60" s="333"/>
    </row>
    <row r="61" spans="1:7" ht="33.75">
      <c r="A61" s="350">
        <v>6.1</v>
      </c>
      <c r="B61" s="351" t="s">
        <v>555</v>
      </c>
      <c r="C61" s="324" t="s">
        <v>502</v>
      </c>
      <c r="D61" s="324">
        <v>1</v>
      </c>
      <c r="E61" s="355">
        <v>25998</v>
      </c>
      <c r="F61" s="353">
        <v>25998</v>
      </c>
      <c r="G61" s="333"/>
    </row>
    <row r="62" spans="1:7" ht="45">
      <c r="A62" s="342">
        <v>6.2</v>
      </c>
      <c r="B62" s="351" t="s">
        <v>596</v>
      </c>
      <c r="C62" s="351" t="s">
        <v>502</v>
      </c>
      <c r="D62" s="351">
        <v>3</v>
      </c>
      <c r="E62" s="359">
        <v>1559.88</v>
      </c>
      <c r="F62" s="360">
        <v>4679.64</v>
      </c>
      <c r="G62" s="333"/>
    </row>
    <row r="63" spans="1:7" ht="23.25" thickBot="1">
      <c r="A63" s="350">
        <v>6.3</v>
      </c>
      <c r="B63" s="344" t="s">
        <v>556</v>
      </c>
      <c r="C63" s="320" t="s">
        <v>507</v>
      </c>
      <c r="D63" s="320">
        <v>1</v>
      </c>
      <c r="E63" s="356">
        <v>2599.8</v>
      </c>
      <c r="F63" s="357">
        <v>2599.8</v>
      </c>
      <c r="G63" s="333"/>
    </row>
    <row r="64" spans="1:7" ht="34.5" thickBot="1">
      <c r="A64" s="346">
        <v>7</v>
      </c>
      <c r="B64" s="347" t="s">
        <v>557</v>
      </c>
      <c r="C64" s="348"/>
      <c r="D64" s="348"/>
      <c r="E64" s="348"/>
      <c r="F64" s="349">
        <f>SUM(F65)</f>
        <v>12869.01</v>
      </c>
      <c r="G64" s="333"/>
    </row>
    <row r="65" spans="1:7" ht="34.5" thickBot="1">
      <c r="A65" s="350">
        <v>7.1</v>
      </c>
      <c r="B65" s="344" t="s">
        <v>558</v>
      </c>
      <c r="C65" s="320" t="s">
        <v>502</v>
      </c>
      <c r="D65" s="320">
        <v>3</v>
      </c>
      <c r="E65" s="356">
        <v>4289.67</v>
      </c>
      <c r="F65" s="357">
        <v>12869.01</v>
      </c>
      <c r="G65" s="333"/>
    </row>
    <row r="66" spans="1:7" ht="34.5" thickBot="1">
      <c r="A66" s="346">
        <v>8</v>
      </c>
      <c r="B66" s="347" t="s">
        <v>559</v>
      </c>
      <c r="C66" s="348"/>
      <c r="D66" s="348"/>
      <c r="E66" s="348"/>
      <c r="F66" s="349">
        <f>SUM(F67:F95)</f>
        <v>1123809.0499999996</v>
      </c>
      <c r="G66" s="333"/>
    </row>
    <row r="67" spans="1:7" ht="33.75">
      <c r="A67" s="350">
        <v>8.1</v>
      </c>
      <c r="B67" s="351" t="s">
        <v>560</v>
      </c>
      <c r="C67" s="324" t="s">
        <v>502</v>
      </c>
      <c r="D67" s="324">
        <v>154</v>
      </c>
      <c r="E67" s="355">
        <v>1221.91</v>
      </c>
      <c r="F67" s="353">
        <v>188173.52</v>
      </c>
      <c r="G67" s="333"/>
    </row>
    <row r="68" spans="1:7" ht="33.75">
      <c r="A68" s="350">
        <v>8.2</v>
      </c>
      <c r="B68" s="351" t="s">
        <v>561</v>
      </c>
      <c r="C68" s="324" t="s">
        <v>502</v>
      </c>
      <c r="D68" s="324">
        <v>21</v>
      </c>
      <c r="E68" s="355">
        <v>2339.82</v>
      </c>
      <c r="F68" s="353">
        <v>49136.22</v>
      </c>
      <c r="G68" s="333"/>
    </row>
    <row r="69" spans="1:7" ht="22.5">
      <c r="A69" s="350">
        <v>8.3</v>
      </c>
      <c r="B69" s="351" t="s">
        <v>562</v>
      </c>
      <c r="C69" s="324" t="s">
        <v>504</v>
      </c>
      <c r="D69" s="319">
        <v>14500</v>
      </c>
      <c r="E69" s="352">
        <v>32.5</v>
      </c>
      <c r="F69" s="353">
        <v>471213.75</v>
      </c>
      <c r="G69" s="333"/>
    </row>
    <row r="70" spans="1:7" ht="22.5">
      <c r="A70" s="350">
        <v>8.4</v>
      </c>
      <c r="B70" s="351" t="s">
        <v>563</v>
      </c>
      <c r="C70" s="324" t="s">
        <v>504</v>
      </c>
      <c r="D70" s="319">
        <v>10000</v>
      </c>
      <c r="E70" s="352">
        <v>32.5</v>
      </c>
      <c r="F70" s="353">
        <v>324975</v>
      </c>
      <c r="G70" s="333"/>
    </row>
    <row r="71" spans="1:8" ht="22.5">
      <c r="A71" s="350">
        <v>8.5</v>
      </c>
      <c r="B71" s="351" t="s">
        <v>564</v>
      </c>
      <c r="C71" s="324" t="s">
        <v>502</v>
      </c>
      <c r="D71" s="324">
        <v>21</v>
      </c>
      <c r="E71" s="352">
        <v>71.49</v>
      </c>
      <c r="F71" s="353">
        <v>1501.38</v>
      </c>
      <c r="G71" s="333"/>
      <c r="H71" s="264"/>
    </row>
    <row r="72" spans="1:7" ht="22.5">
      <c r="A72" s="350">
        <v>8.6</v>
      </c>
      <c r="B72" s="351" t="s">
        <v>565</v>
      </c>
      <c r="C72" s="324" t="s">
        <v>502</v>
      </c>
      <c r="D72" s="324">
        <v>10</v>
      </c>
      <c r="E72" s="352">
        <v>45.5</v>
      </c>
      <c r="F72" s="353">
        <v>454.97</v>
      </c>
      <c r="G72" s="333"/>
    </row>
    <row r="73" spans="1:7" ht="33.75">
      <c r="A73" s="350">
        <v>8.7</v>
      </c>
      <c r="B73" s="351" t="s">
        <v>566</v>
      </c>
      <c r="C73" s="324" t="s">
        <v>502</v>
      </c>
      <c r="D73" s="324">
        <v>21</v>
      </c>
      <c r="E73" s="352">
        <v>649.95</v>
      </c>
      <c r="F73" s="353">
        <v>13648.95</v>
      </c>
      <c r="G73" s="333"/>
    </row>
    <row r="74" spans="1:7" ht="45">
      <c r="A74" s="350">
        <v>8.8</v>
      </c>
      <c r="B74" s="351" t="s">
        <v>567</v>
      </c>
      <c r="C74" s="324" t="s">
        <v>502</v>
      </c>
      <c r="D74" s="324">
        <v>21</v>
      </c>
      <c r="E74" s="352">
        <v>493.96</v>
      </c>
      <c r="F74" s="353">
        <v>10373.2</v>
      </c>
      <c r="G74" s="333"/>
    </row>
    <row r="75" spans="1:7" ht="22.5">
      <c r="A75" s="350">
        <v>8.9</v>
      </c>
      <c r="B75" s="351" t="s">
        <v>568</v>
      </c>
      <c r="C75" s="324" t="s">
        <v>502</v>
      </c>
      <c r="D75" s="324">
        <v>21</v>
      </c>
      <c r="E75" s="352">
        <v>324.98</v>
      </c>
      <c r="F75" s="353">
        <v>6824.48</v>
      </c>
      <c r="G75" s="333"/>
    </row>
    <row r="76" spans="1:7" ht="45">
      <c r="A76" s="358">
        <v>8.1</v>
      </c>
      <c r="B76" s="351" t="s">
        <v>569</v>
      </c>
      <c r="C76" s="324" t="s">
        <v>502</v>
      </c>
      <c r="D76" s="324">
        <v>1</v>
      </c>
      <c r="E76" s="355">
        <v>3639.72</v>
      </c>
      <c r="F76" s="353">
        <v>3639.72</v>
      </c>
      <c r="G76" s="333"/>
    </row>
    <row r="77" spans="1:7" ht="22.5">
      <c r="A77" s="358">
        <v>8.11</v>
      </c>
      <c r="B77" s="351" t="s">
        <v>570</v>
      </c>
      <c r="C77" s="324" t="s">
        <v>502</v>
      </c>
      <c r="D77" s="324">
        <v>2</v>
      </c>
      <c r="E77" s="355">
        <v>1429.89</v>
      </c>
      <c r="F77" s="353">
        <v>2859.78</v>
      </c>
      <c r="G77" s="333"/>
    </row>
    <row r="78" spans="1:7" ht="33.75">
      <c r="A78" s="358">
        <v>8.12</v>
      </c>
      <c r="B78" s="351" t="s">
        <v>571</v>
      </c>
      <c r="C78" s="324" t="s">
        <v>502</v>
      </c>
      <c r="D78" s="324">
        <v>1</v>
      </c>
      <c r="E78" s="355">
        <v>1949.85</v>
      </c>
      <c r="F78" s="353">
        <v>1949.85</v>
      </c>
      <c r="G78" s="333"/>
    </row>
    <row r="79" spans="1:7" ht="22.5">
      <c r="A79" s="358">
        <v>8.13</v>
      </c>
      <c r="B79" s="351" t="s">
        <v>572</v>
      </c>
      <c r="C79" s="324" t="s">
        <v>502</v>
      </c>
      <c r="D79" s="324">
        <v>2</v>
      </c>
      <c r="E79" s="352">
        <v>649.95</v>
      </c>
      <c r="F79" s="353">
        <v>1299.9</v>
      </c>
      <c r="G79" s="333"/>
    </row>
    <row r="80" spans="1:7" ht="22.5">
      <c r="A80" s="358">
        <v>8.14</v>
      </c>
      <c r="B80" s="351" t="s">
        <v>573</v>
      </c>
      <c r="C80" s="324" t="s">
        <v>507</v>
      </c>
      <c r="D80" s="324">
        <v>1</v>
      </c>
      <c r="E80" s="355">
        <v>6499.5</v>
      </c>
      <c r="F80" s="353">
        <v>6499.5</v>
      </c>
      <c r="G80" s="333"/>
    </row>
    <row r="81" spans="1:7" ht="22.5">
      <c r="A81" s="358">
        <v>8.15</v>
      </c>
      <c r="B81" s="351" t="s">
        <v>574</v>
      </c>
      <c r="C81" s="324" t="s">
        <v>502</v>
      </c>
      <c r="D81" s="324">
        <v>3</v>
      </c>
      <c r="E81" s="355">
        <v>1299.9</v>
      </c>
      <c r="F81" s="353">
        <v>3899.7</v>
      </c>
      <c r="G81" s="333"/>
    </row>
    <row r="82" spans="1:7" ht="56.25">
      <c r="A82" s="358">
        <v>8.16</v>
      </c>
      <c r="B82" s="351" t="s">
        <v>591</v>
      </c>
      <c r="C82" s="324" t="s">
        <v>502</v>
      </c>
      <c r="D82" s="324">
        <v>1</v>
      </c>
      <c r="E82" s="355">
        <v>6499.5</v>
      </c>
      <c r="F82" s="353">
        <v>6499.5</v>
      </c>
      <c r="G82" s="333"/>
    </row>
    <row r="83" spans="1:7" ht="33.75">
      <c r="A83" s="358">
        <v>8.17</v>
      </c>
      <c r="B83" s="351" t="s">
        <v>575</v>
      </c>
      <c r="C83" s="324" t="s">
        <v>502</v>
      </c>
      <c r="D83" s="324">
        <v>1</v>
      </c>
      <c r="E83" s="355">
        <v>1429.89</v>
      </c>
      <c r="F83" s="353">
        <v>1429.89</v>
      </c>
      <c r="G83" s="333"/>
    </row>
    <row r="84" spans="1:7" ht="70.5" customHeight="1">
      <c r="A84" s="342"/>
      <c r="B84" s="387" t="s">
        <v>589</v>
      </c>
      <c r="C84" s="351"/>
      <c r="D84" s="351"/>
      <c r="E84" s="351"/>
      <c r="F84" s="361"/>
      <c r="G84" s="333"/>
    </row>
    <row r="85" spans="1:7" ht="12.75">
      <c r="A85" s="358">
        <v>8.18</v>
      </c>
      <c r="B85" s="387"/>
      <c r="C85" s="362" t="s">
        <v>502</v>
      </c>
      <c r="D85" s="322">
        <v>2</v>
      </c>
      <c r="E85" s="323">
        <v>1364.9</v>
      </c>
      <c r="F85" s="353">
        <v>2729.79</v>
      </c>
      <c r="G85" s="333"/>
    </row>
    <row r="86" spans="1:7" ht="22.5">
      <c r="A86" s="358">
        <v>8.19</v>
      </c>
      <c r="B86" s="351" t="s">
        <v>576</v>
      </c>
      <c r="C86" s="362" t="s">
        <v>502</v>
      </c>
      <c r="D86" s="322">
        <v>2</v>
      </c>
      <c r="E86" s="323">
        <v>1299.9</v>
      </c>
      <c r="F86" s="353">
        <v>2599.8</v>
      </c>
      <c r="G86" s="333"/>
    </row>
    <row r="87" spans="1:7" ht="33.75">
      <c r="A87" s="358">
        <v>8.2</v>
      </c>
      <c r="B87" s="351" t="s">
        <v>577</v>
      </c>
      <c r="C87" s="362" t="s">
        <v>502</v>
      </c>
      <c r="D87" s="322">
        <v>1</v>
      </c>
      <c r="E87" s="323">
        <v>3899.7</v>
      </c>
      <c r="F87" s="353">
        <v>3899.7</v>
      </c>
      <c r="G87" s="333"/>
    </row>
    <row r="88" spans="1:7" ht="22.5">
      <c r="A88" s="358">
        <v>8.21</v>
      </c>
      <c r="B88" s="351" t="s">
        <v>578</v>
      </c>
      <c r="C88" s="362" t="s">
        <v>502</v>
      </c>
      <c r="D88" s="322">
        <v>2</v>
      </c>
      <c r="E88" s="323">
        <v>1949.85</v>
      </c>
      <c r="F88" s="353">
        <v>3899.7</v>
      </c>
      <c r="G88" s="333"/>
    </row>
    <row r="89" spans="1:7" ht="22.5">
      <c r="A89" s="358">
        <v>8.22</v>
      </c>
      <c r="B89" s="351" t="s">
        <v>579</v>
      </c>
      <c r="C89" s="362" t="s">
        <v>502</v>
      </c>
      <c r="D89" s="322">
        <v>1</v>
      </c>
      <c r="E89" s="323">
        <v>909.93</v>
      </c>
      <c r="F89" s="353">
        <v>909.93</v>
      </c>
      <c r="G89" s="333"/>
    </row>
    <row r="90" spans="1:7" ht="33.75">
      <c r="A90" s="358">
        <v>8.23</v>
      </c>
      <c r="B90" s="351" t="s">
        <v>580</v>
      </c>
      <c r="C90" s="362" t="s">
        <v>502</v>
      </c>
      <c r="D90" s="322">
        <v>1</v>
      </c>
      <c r="E90" s="323">
        <v>4549.65</v>
      </c>
      <c r="F90" s="353">
        <v>4549.65</v>
      </c>
      <c r="G90" s="333"/>
    </row>
    <row r="91" spans="1:7" ht="33.75">
      <c r="A91" s="358">
        <v>8.24</v>
      </c>
      <c r="B91" s="351" t="s">
        <v>581</v>
      </c>
      <c r="C91" s="362" t="s">
        <v>502</v>
      </c>
      <c r="D91" s="322">
        <v>1</v>
      </c>
      <c r="E91" s="323">
        <v>1429.89</v>
      </c>
      <c r="F91" s="353">
        <v>1429.89</v>
      </c>
      <c r="G91" s="333"/>
    </row>
    <row r="92" spans="1:7" ht="45">
      <c r="A92" s="358">
        <v>8.25</v>
      </c>
      <c r="B92" s="351" t="s">
        <v>582</v>
      </c>
      <c r="C92" s="362" t="s">
        <v>502</v>
      </c>
      <c r="D92" s="322">
        <v>1</v>
      </c>
      <c r="E92" s="323">
        <v>4549.65</v>
      </c>
      <c r="F92" s="353">
        <v>4549.65</v>
      </c>
      <c r="G92" s="333"/>
    </row>
    <row r="93" spans="1:7" ht="22.5">
      <c r="A93" s="358">
        <v>8.26</v>
      </c>
      <c r="B93" s="351" t="s">
        <v>583</v>
      </c>
      <c r="C93" s="362" t="s">
        <v>502</v>
      </c>
      <c r="D93" s="322">
        <v>1</v>
      </c>
      <c r="E93" s="323">
        <v>2339.82</v>
      </c>
      <c r="F93" s="353">
        <v>2339.82</v>
      </c>
      <c r="G93" s="333"/>
    </row>
    <row r="94" spans="1:7" ht="45">
      <c r="A94" s="358">
        <v>8.27</v>
      </c>
      <c r="B94" s="351" t="s">
        <v>584</v>
      </c>
      <c r="C94" s="362" t="s">
        <v>502</v>
      </c>
      <c r="D94" s="322">
        <v>7</v>
      </c>
      <c r="E94" s="323">
        <v>259.98</v>
      </c>
      <c r="F94" s="353">
        <v>1819.86</v>
      </c>
      <c r="G94" s="333"/>
    </row>
    <row r="95" spans="1:7" ht="45">
      <c r="A95" s="342">
        <v>8.28</v>
      </c>
      <c r="B95" s="351" t="s">
        <v>597</v>
      </c>
      <c r="C95" s="351" t="s">
        <v>502</v>
      </c>
      <c r="D95" s="351">
        <v>3</v>
      </c>
      <c r="E95" s="359">
        <v>233.98</v>
      </c>
      <c r="F95" s="360">
        <v>701.95</v>
      </c>
      <c r="G95" s="333"/>
    </row>
    <row r="96" spans="1:9" ht="23.25" thickBot="1">
      <c r="A96" s="346">
        <v>9</v>
      </c>
      <c r="B96" s="347" t="s">
        <v>585</v>
      </c>
      <c r="C96" s="348"/>
      <c r="D96" s="348"/>
      <c r="E96" s="348"/>
      <c r="F96" s="349">
        <f>SUM(F97:F98)</f>
        <v>3119.76</v>
      </c>
      <c r="G96" s="333"/>
      <c r="I96" s="326"/>
    </row>
    <row r="97" spans="1:9" ht="45">
      <c r="A97" s="350">
        <v>9.1</v>
      </c>
      <c r="B97" s="351" t="s">
        <v>590</v>
      </c>
      <c r="C97" s="362" t="s">
        <v>507</v>
      </c>
      <c r="D97" s="322">
        <v>1</v>
      </c>
      <c r="E97" s="323">
        <v>1559.88</v>
      </c>
      <c r="F97" s="353">
        <v>1559.88</v>
      </c>
      <c r="G97" s="363"/>
      <c r="I97" s="326"/>
    </row>
    <row r="98" spans="1:7" ht="33.75">
      <c r="A98" s="350">
        <v>9.2</v>
      </c>
      <c r="B98" s="364" t="s">
        <v>586</v>
      </c>
      <c r="C98" s="365" t="s">
        <v>507</v>
      </c>
      <c r="D98" s="366">
        <v>1</v>
      </c>
      <c r="E98" s="367">
        <v>1559.88</v>
      </c>
      <c r="F98" s="353">
        <v>1559.88</v>
      </c>
      <c r="G98" s="333"/>
    </row>
    <row r="99" spans="1:8" ht="12.75">
      <c r="A99" s="388" t="s">
        <v>587</v>
      </c>
      <c r="B99" s="388"/>
      <c r="C99" s="388"/>
      <c r="D99" s="388"/>
      <c r="E99" s="388"/>
      <c r="F99" s="368">
        <f>F6+F15+F27+F41+F54+F60+F64+F66+F96</f>
        <v>3279491.7299999986</v>
      </c>
      <c r="G99" s="333"/>
      <c r="H99" s="326"/>
    </row>
    <row r="100" spans="1:8" ht="12.75">
      <c r="A100" s="388" t="s">
        <v>588</v>
      </c>
      <c r="B100" s="388"/>
      <c r="C100" s="388"/>
      <c r="D100" s="388"/>
      <c r="E100" s="388"/>
      <c r="F100" s="369">
        <f>F99*0.18</f>
        <v>590308.5113999997</v>
      </c>
      <c r="G100" s="333"/>
      <c r="H100" s="326"/>
    </row>
    <row r="101" spans="1:9" ht="12.75">
      <c r="A101" s="388" t="s">
        <v>64</v>
      </c>
      <c r="B101" s="388"/>
      <c r="C101" s="388"/>
      <c r="D101" s="388"/>
      <c r="E101" s="388"/>
      <c r="F101" s="368">
        <f>F99+F100</f>
        <v>3869800.2413999983</v>
      </c>
      <c r="G101" s="333"/>
      <c r="H101" s="326"/>
      <c r="I101" s="326"/>
    </row>
    <row r="102" spans="1:7" ht="12.75">
      <c r="A102" s="333"/>
      <c r="B102" s="333"/>
      <c r="C102" s="333"/>
      <c r="D102" s="333"/>
      <c r="E102" s="333"/>
      <c r="F102" s="363"/>
      <c r="G102" s="333"/>
    </row>
    <row r="103" spans="1:7" ht="12.75">
      <c r="A103" s="333"/>
      <c r="B103" s="333"/>
      <c r="C103" s="333"/>
      <c r="D103" s="333"/>
      <c r="E103" s="333"/>
      <c r="F103" s="333"/>
      <c r="G103" s="333"/>
    </row>
    <row r="104" spans="1:7" ht="12.75">
      <c r="A104" s="333"/>
      <c r="B104" s="333"/>
      <c r="C104" s="333"/>
      <c r="D104" s="333"/>
      <c r="E104" s="333"/>
      <c r="F104" s="333"/>
      <c r="G104" s="333"/>
    </row>
    <row r="105" spans="1:7" ht="12.75">
      <c r="A105" s="333"/>
      <c r="B105" s="333"/>
      <c r="C105" s="333"/>
      <c r="D105" s="333"/>
      <c r="E105" s="333"/>
      <c r="F105" s="333"/>
      <c r="G105" s="333"/>
    </row>
    <row r="106" spans="1:7" ht="12.75">
      <c r="A106" s="333"/>
      <c r="B106" s="333"/>
      <c r="C106" s="333"/>
      <c r="D106" s="333"/>
      <c r="E106" s="333"/>
      <c r="F106" s="333"/>
      <c r="G106" s="333"/>
    </row>
    <row r="107" spans="1:7" ht="12.75">
      <c r="A107" s="333"/>
      <c r="B107" s="333"/>
      <c r="C107" s="333"/>
      <c r="D107" s="333"/>
      <c r="E107" s="333"/>
      <c r="F107" s="333"/>
      <c r="G107" s="333"/>
    </row>
    <row r="108" spans="1:7" ht="12.75">
      <c r="A108" s="333"/>
      <c r="B108" s="333"/>
      <c r="C108" s="333"/>
      <c r="D108" s="333"/>
      <c r="E108" s="333"/>
      <c r="F108" s="333"/>
      <c r="G108" s="333"/>
    </row>
    <row r="109" spans="1:7" ht="12.75">
      <c r="A109" s="333"/>
      <c r="B109" s="333"/>
      <c r="C109" s="333"/>
      <c r="D109" s="333"/>
      <c r="E109" s="333"/>
      <c r="F109" s="333"/>
      <c r="G109" s="333"/>
    </row>
    <row r="113" ht="12.75">
      <c r="F113" s="326"/>
    </row>
  </sheetData>
  <sheetProtection/>
  <mergeCells count="4">
    <mergeCell ref="B84:B85"/>
    <mergeCell ref="A99:E99"/>
    <mergeCell ref="A100:E100"/>
    <mergeCell ref="A101:E10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8"/>
  <sheetViews>
    <sheetView zoomScalePageLayoutView="0" workbookViewId="0" topLeftCell="A1">
      <selection activeCell="G18" sqref="G18"/>
    </sheetView>
  </sheetViews>
  <sheetFormatPr defaultColWidth="11.421875" defaultRowHeight="15"/>
  <cols>
    <col min="1" max="1" width="19.57421875" style="252" customWidth="1"/>
    <col min="2" max="2" width="11.421875" style="255" customWidth="1"/>
    <col min="3" max="3" width="11.421875" style="292" customWidth="1"/>
    <col min="4" max="4" width="11.421875" style="289" customWidth="1"/>
    <col min="5" max="5" width="14.421875" style="289" customWidth="1"/>
    <col min="6" max="6" width="20.00390625" style="252" customWidth="1"/>
    <col min="7" max="10" width="11.421875" style="252" customWidth="1"/>
    <col min="11" max="11" width="16.421875" style="252" customWidth="1"/>
    <col min="12" max="12" width="22.421875" style="252" customWidth="1"/>
    <col min="13" max="16384" width="11.421875" style="252" customWidth="1"/>
  </cols>
  <sheetData>
    <row r="1" spans="1:10" ht="72">
      <c r="A1" s="209" t="s">
        <v>266</v>
      </c>
      <c r="B1" s="251" t="s">
        <v>280</v>
      </c>
      <c r="F1" s="251" t="s">
        <v>14</v>
      </c>
      <c r="G1" s="301" t="s">
        <v>274</v>
      </c>
      <c r="H1" s="251" t="s">
        <v>479</v>
      </c>
      <c r="I1" s="251" t="s">
        <v>123</v>
      </c>
      <c r="J1" s="251" t="s">
        <v>480</v>
      </c>
    </row>
    <row r="2" spans="1:10" ht="204">
      <c r="A2" s="286" t="s">
        <v>276</v>
      </c>
      <c r="B2" s="259">
        <f>E14+J2</f>
        <v>196872.16</v>
      </c>
      <c r="F2" s="286" t="s">
        <v>481</v>
      </c>
      <c r="G2" s="253" t="s">
        <v>36</v>
      </c>
      <c r="H2" s="258">
        <v>790</v>
      </c>
      <c r="I2" s="258">
        <v>2</v>
      </c>
      <c r="J2" s="258">
        <f>H2*I2</f>
        <v>1580</v>
      </c>
    </row>
    <row r="3" spans="1:10" ht="48">
      <c r="A3" s="286" t="s">
        <v>277</v>
      </c>
      <c r="B3" s="259">
        <f>E49</f>
        <v>96566.15999999999</v>
      </c>
      <c r="F3" s="286" t="s">
        <v>482</v>
      </c>
      <c r="G3" s="253" t="s">
        <v>36</v>
      </c>
      <c r="H3" s="258">
        <v>11150</v>
      </c>
      <c r="I3" s="258">
        <v>2</v>
      </c>
      <c r="J3" s="258">
        <f>H3*I3</f>
        <v>22300</v>
      </c>
    </row>
    <row r="4" spans="1:2" ht="36">
      <c r="A4" s="286" t="s">
        <v>272</v>
      </c>
      <c r="B4" s="259">
        <f>E108</f>
        <v>80325.40000000001</v>
      </c>
    </row>
    <row r="5" spans="6:7" ht="12">
      <c r="F5" s="306"/>
      <c r="G5" s="306"/>
    </row>
    <row r="7" spans="1:5" ht="38.25" customHeight="1">
      <c r="A7" s="393" t="s">
        <v>285</v>
      </c>
      <c r="B7" s="394"/>
      <c r="C7" s="394"/>
      <c r="D7" s="394"/>
      <c r="E7" s="394"/>
    </row>
    <row r="8" spans="1:5" ht="12">
      <c r="A8" s="219" t="s">
        <v>281</v>
      </c>
      <c r="B8" s="253" t="s">
        <v>407</v>
      </c>
      <c r="C8" s="258" t="s">
        <v>282</v>
      </c>
      <c r="D8" s="258" t="s">
        <v>283</v>
      </c>
      <c r="E8" s="258" t="s">
        <v>64</v>
      </c>
    </row>
    <row r="9" spans="1:9" ht="22.5" customHeight="1">
      <c r="A9" s="395" t="s">
        <v>287</v>
      </c>
      <c r="B9" s="395"/>
      <c r="C9" s="395"/>
      <c r="D9" s="395"/>
      <c r="E9" s="395"/>
      <c r="G9" s="252" t="s">
        <v>592</v>
      </c>
      <c r="H9" s="306" t="s">
        <v>594</v>
      </c>
      <c r="I9" s="252" t="s">
        <v>593</v>
      </c>
    </row>
    <row r="10" spans="1:9" ht="30" customHeight="1">
      <c r="A10" s="286" t="s">
        <v>150</v>
      </c>
      <c r="B10" s="253" t="s">
        <v>36</v>
      </c>
      <c r="C10" s="266">
        <f>I10</f>
        <v>153562.5</v>
      </c>
      <c r="D10" s="266">
        <v>1</v>
      </c>
      <c r="E10" s="290">
        <f>C10*D10</f>
        <v>153562.5</v>
      </c>
      <c r="G10" s="292">
        <v>47250</v>
      </c>
      <c r="H10" s="252">
        <v>3.25</v>
      </c>
      <c r="I10" s="330">
        <f>G10*H10</f>
        <v>153562.5</v>
      </c>
    </row>
    <row r="11" spans="1:5" ht="36">
      <c r="A11" s="286" t="s">
        <v>368</v>
      </c>
      <c r="B11" s="253" t="s">
        <v>131</v>
      </c>
      <c r="C11" s="266">
        <v>16216.62</v>
      </c>
      <c r="D11" s="266">
        <v>2</v>
      </c>
      <c r="E11" s="290">
        <f>C11*D11</f>
        <v>32433.24</v>
      </c>
    </row>
    <row r="12" spans="1:5" ht="36">
      <c r="A12" s="286" t="s">
        <v>369</v>
      </c>
      <c r="B12" s="253" t="s">
        <v>131</v>
      </c>
      <c r="C12" s="266">
        <v>3898.21</v>
      </c>
      <c r="D12" s="266">
        <v>2</v>
      </c>
      <c r="E12" s="290">
        <f>C12*D12</f>
        <v>7796.42</v>
      </c>
    </row>
    <row r="13" spans="1:5" ht="24">
      <c r="A13" s="286" t="s">
        <v>370</v>
      </c>
      <c r="B13" s="253" t="s">
        <v>131</v>
      </c>
      <c r="C13" s="266">
        <v>750</v>
      </c>
      <c r="D13" s="266">
        <v>2</v>
      </c>
      <c r="E13" s="290">
        <f>C13*D13</f>
        <v>1500</v>
      </c>
    </row>
    <row r="14" spans="1:5" ht="12">
      <c r="A14" s="396" t="s">
        <v>403</v>
      </c>
      <c r="B14" s="396"/>
      <c r="C14" s="396"/>
      <c r="D14" s="396"/>
      <c r="E14" s="300">
        <f>SUM(E10:E13)</f>
        <v>195292.16</v>
      </c>
    </row>
    <row r="15" spans="1:4" ht="12">
      <c r="A15" s="228"/>
      <c r="B15" s="257"/>
      <c r="D15" s="297"/>
    </row>
    <row r="17" spans="1:5" ht="30.75" customHeight="1">
      <c r="A17" s="393" t="s">
        <v>277</v>
      </c>
      <c r="B17" s="394"/>
      <c r="C17" s="394"/>
      <c r="D17" s="394"/>
      <c r="E17" s="394"/>
    </row>
    <row r="18" spans="1:5" ht="24">
      <c r="A18" s="220" t="s">
        <v>281</v>
      </c>
      <c r="B18" s="256" t="s">
        <v>397</v>
      </c>
      <c r="C18" s="258" t="s">
        <v>282</v>
      </c>
      <c r="D18" s="258" t="s">
        <v>283</v>
      </c>
      <c r="E18" s="258" t="s">
        <v>64</v>
      </c>
    </row>
    <row r="19" spans="1:5" ht="12">
      <c r="A19" s="390" t="s">
        <v>400</v>
      </c>
      <c r="B19" s="391"/>
      <c r="C19" s="391"/>
      <c r="D19" s="391"/>
      <c r="E19" s="291"/>
    </row>
    <row r="20" spans="1:5" ht="12">
      <c r="A20" s="286" t="s">
        <v>371</v>
      </c>
      <c r="B20" s="253" t="s">
        <v>36</v>
      </c>
      <c r="C20" s="258">
        <v>80.38</v>
      </c>
      <c r="D20" s="258">
        <f>'ANALISIS DE OFERTA '!E52+'ANALISIS DE OFERTA '!K54</f>
        <v>27</v>
      </c>
      <c r="E20" s="258">
        <f>C20*D20</f>
        <v>2170.2599999999998</v>
      </c>
    </row>
    <row r="21" spans="1:5" ht="36">
      <c r="A21" s="286" t="s">
        <v>372</v>
      </c>
      <c r="B21" s="253" t="s">
        <v>36</v>
      </c>
      <c r="C21" s="258">
        <v>26.82</v>
      </c>
      <c r="D21" s="258">
        <f aca="true" t="shared" si="0" ref="D21:D36">$D$20</f>
        <v>27</v>
      </c>
      <c r="E21" s="258">
        <f aca="true" t="shared" si="1" ref="E21:E35">C21*D21</f>
        <v>724.14</v>
      </c>
    </row>
    <row r="22" spans="1:5" ht="24">
      <c r="A22" s="286" t="s">
        <v>373</v>
      </c>
      <c r="B22" s="253" t="s">
        <v>36</v>
      </c>
      <c r="C22" s="258">
        <v>133.94</v>
      </c>
      <c r="D22" s="258">
        <f t="shared" si="0"/>
        <v>27</v>
      </c>
      <c r="E22" s="258">
        <f t="shared" si="1"/>
        <v>3616.38</v>
      </c>
    </row>
    <row r="23" spans="1:5" ht="12">
      <c r="A23" s="286" t="s">
        <v>374</v>
      </c>
      <c r="B23" s="253" t="s">
        <v>36</v>
      </c>
      <c r="C23" s="258">
        <v>80.38</v>
      </c>
      <c r="D23" s="258">
        <f t="shared" si="0"/>
        <v>27</v>
      </c>
      <c r="E23" s="258">
        <f t="shared" si="1"/>
        <v>2170.2599999999998</v>
      </c>
    </row>
    <row r="24" spans="1:5" ht="12">
      <c r="A24" s="286" t="s">
        <v>375</v>
      </c>
      <c r="B24" s="253" t="s">
        <v>36</v>
      </c>
      <c r="C24" s="258">
        <v>26.82</v>
      </c>
      <c r="D24" s="258">
        <f t="shared" si="0"/>
        <v>27</v>
      </c>
      <c r="E24" s="258">
        <f t="shared" si="1"/>
        <v>724.14</v>
      </c>
    </row>
    <row r="25" spans="1:5" ht="24">
      <c r="A25" s="286" t="s">
        <v>376</v>
      </c>
      <c r="B25" s="253" t="s">
        <v>36</v>
      </c>
      <c r="C25" s="258">
        <v>124.98</v>
      </c>
      <c r="D25" s="258">
        <f t="shared" si="0"/>
        <v>27</v>
      </c>
      <c r="E25" s="258">
        <f t="shared" si="1"/>
        <v>3374.46</v>
      </c>
    </row>
    <row r="26" spans="1:5" ht="12">
      <c r="A26" s="286" t="s">
        <v>377</v>
      </c>
      <c r="B26" s="253" t="s">
        <v>36</v>
      </c>
      <c r="C26" s="258">
        <v>33.71</v>
      </c>
      <c r="D26" s="258">
        <f t="shared" si="0"/>
        <v>27</v>
      </c>
      <c r="E26" s="258">
        <f t="shared" si="1"/>
        <v>910.1700000000001</v>
      </c>
    </row>
    <row r="27" spans="1:5" ht="24">
      <c r="A27" s="286" t="s">
        <v>382</v>
      </c>
      <c r="B27" s="253" t="s">
        <v>36</v>
      </c>
      <c r="C27" s="258">
        <v>3.59</v>
      </c>
      <c r="D27" s="258">
        <f t="shared" si="0"/>
        <v>27</v>
      </c>
      <c r="E27" s="258">
        <f t="shared" si="1"/>
        <v>96.92999999999999</v>
      </c>
    </row>
    <row r="28" spans="1:5" ht="24">
      <c r="A28" s="286" t="s">
        <v>383</v>
      </c>
      <c r="B28" s="253" t="s">
        <v>36</v>
      </c>
      <c r="C28" s="258">
        <v>44.6</v>
      </c>
      <c r="D28" s="258">
        <f t="shared" si="0"/>
        <v>27</v>
      </c>
      <c r="E28" s="258">
        <f t="shared" si="1"/>
        <v>1204.2</v>
      </c>
    </row>
    <row r="29" spans="1:5" ht="24">
      <c r="A29" s="286" t="s">
        <v>384</v>
      </c>
      <c r="B29" s="253" t="s">
        <v>36</v>
      </c>
      <c r="C29" s="258">
        <v>1875</v>
      </c>
      <c r="D29" s="258">
        <f t="shared" si="0"/>
        <v>27</v>
      </c>
      <c r="E29" s="258">
        <f t="shared" si="1"/>
        <v>50625</v>
      </c>
    </row>
    <row r="30" spans="1:5" ht="24">
      <c r="A30" s="286" t="s">
        <v>385</v>
      </c>
      <c r="B30" s="253" t="s">
        <v>36</v>
      </c>
      <c r="C30" s="258">
        <v>133.94</v>
      </c>
      <c r="D30" s="258">
        <f t="shared" si="0"/>
        <v>27</v>
      </c>
      <c r="E30" s="258">
        <f t="shared" si="1"/>
        <v>3616.38</v>
      </c>
    </row>
    <row r="31" spans="1:5" ht="36">
      <c r="A31" s="286" t="s">
        <v>386</v>
      </c>
      <c r="B31" s="253" t="s">
        <v>398</v>
      </c>
      <c r="C31" s="258">
        <v>124.98</v>
      </c>
      <c r="D31" s="258">
        <f t="shared" si="0"/>
        <v>27</v>
      </c>
      <c r="E31" s="258">
        <f t="shared" si="1"/>
        <v>3374.46</v>
      </c>
    </row>
    <row r="32" spans="1:5" ht="12">
      <c r="A32" s="286" t="s">
        <v>387</v>
      </c>
      <c r="B32" s="253" t="s">
        <v>36</v>
      </c>
      <c r="C32" s="258">
        <v>17.85</v>
      </c>
      <c r="D32" s="258">
        <f t="shared" si="0"/>
        <v>27</v>
      </c>
      <c r="E32" s="258">
        <f t="shared" si="1"/>
        <v>481.95000000000005</v>
      </c>
    </row>
    <row r="33" spans="1:5" ht="12">
      <c r="A33" s="286" t="s">
        <v>388</v>
      </c>
      <c r="B33" s="253" t="s">
        <v>36</v>
      </c>
      <c r="C33" s="258">
        <v>17.85</v>
      </c>
      <c r="D33" s="258">
        <f t="shared" si="0"/>
        <v>27</v>
      </c>
      <c r="E33" s="258">
        <f t="shared" si="1"/>
        <v>481.95000000000005</v>
      </c>
    </row>
    <row r="34" spans="1:5" ht="24">
      <c r="A34" s="286" t="s">
        <v>389</v>
      </c>
      <c r="B34" s="253" t="s">
        <v>398</v>
      </c>
      <c r="C34" s="258">
        <v>16.84</v>
      </c>
      <c r="D34" s="258">
        <f t="shared" si="0"/>
        <v>27</v>
      </c>
      <c r="E34" s="258">
        <f t="shared" si="1"/>
        <v>454.68</v>
      </c>
    </row>
    <row r="35" spans="1:5" ht="12">
      <c r="A35" s="286" t="s">
        <v>390</v>
      </c>
      <c r="B35" s="253" t="s">
        <v>398</v>
      </c>
      <c r="C35" s="258">
        <v>62.53</v>
      </c>
      <c r="D35" s="258">
        <f t="shared" si="0"/>
        <v>27</v>
      </c>
      <c r="E35" s="258">
        <f t="shared" si="1"/>
        <v>1688.31</v>
      </c>
    </row>
    <row r="36" spans="1:5" ht="12">
      <c r="A36" s="286" t="s">
        <v>391</v>
      </c>
      <c r="B36" s="253" t="s">
        <v>36</v>
      </c>
      <c r="C36" s="258">
        <v>17.85</v>
      </c>
      <c r="D36" s="258">
        <f t="shared" si="0"/>
        <v>27</v>
      </c>
      <c r="E36" s="258">
        <f>C36*D36</f>
        <v>481.95000000000005</v>
      </c>
    </row>
    <row r="37" spans="1:5" ht="12">
      <c r="A37" s="390" t="s">
        <v>401</v>
      </c>
      <c r="B37" s="391"/>
      <c r="C37" s="391"/>
      <c r="D37" s="391"/>
      <c r="E37" s="291"/>
    </row>
    <row r="38" spans="1:5" ht="24">
      <c r="A38" s="286" t="s">
        <v>399</v>
      </c>
      <c r="B38" s="253" t="s">
        <v>36</v>
      </c>
      <c r="C38" s="258">
        <v>187.5</v>
      </c>
      <c r="D38" s="258">
        <v>10</v>
      </c>
      <c r="E38" s="258">
        <f>C38*D38</f>
        <v>1875</v>
      </c>
    </row>
    <row r="39" spans="1:5" ht="36">
      <c r="A39" s="286" t="s">
        <v>378</v>
      </c>
      <c r="B39" s="253" t="s">
        <v>36</v>
      </c>
      <c r="C39" s="258">
        <v>267.81</v>
      </c>
      <c r="D39" s="258">
        <f>'ANALISIS DE OFERTA '!E52</f>
        <v>12</v>
      </c>
      <c r="E39" s="258">
        <f>C39*D39</f>
        <v>3213.7200000000003</v>
      </c>
    </row>
    <row r="40" spans="1:5" ht="48">
      <c r="A40" s="286" t="s">
        <v>379</v>
      </c>
      <c r="B40" s="253" t="s">
        <v>36</v>
      </c>
      <c r="C40" s="258">
        <v>1426.79</v>
      </c>
      <c r="D40" s="258">
        <v>4</v>
      </c>
      <c r="E40" s="258">
        <f>C40*D40</f>
        <v>5707.16</v>
      </c>
    </row>
    <row r="41" spans="1:5" ht="24">
      <c r="A41" s="286" t="s">
        <v>380</v>
      </c>
      <c r="B41" s="253" t="s">
        <v>36</v>
      </c>
      <c r="C41" s="258">
        <v>196.39</v>
      </c>
      <c r="D41" s="258">
        <f>D39</f>
        <v>12</v>
      </c>
      <c r="E41" s="258">
        <f>C41*D41</f>
        <v>2356.68</v>
      </c>
    </row>
    <row r="42" spans="1:5" ht="36">
      <c r="A42" s="286" t="s">
        <v>381</v>
      </c>
      <c r="B42" s="253" t="s">
        <v>36</v>
      </c>
      <c r="C42" s="258">
        <v>160.14</v>
      </c>
      <c r="D42" s="258">
        <f>7</f>
        <v>7</v>
      </c>
      <c r="E42" s="258">
        <f>C42*D42</f>
        <v>1120.98</v>
      </c>
    </row>
    <row r="43" spans="1:5" ht="12">
      <c r="A43" s="390" t="s">
        <v>402</v>
      </c>
      <c r="B43" s="391"/>
      <c r="C43" s="391"/>
      <c r="D43" s="391"/>
      <c r="E43" s="291"/>
    </row>
    <row r="44" spans="1:5" ht="12">
      <c r="A44" s="286" t="s">
        <v>392</v>
      </c>
      <c r="B44" s="253" t="s">
        <v>36</v>
      </c>
      <c r="C44" s="258">
        <v>3.9</v>
      </c>
      <c r="D44" s="258">
        <v>50</v>
      </c>
      <c r="E44" s="258">
        <f>C44*D44</f>
        <v>195</v>
      </c>
    </row>
    <row r="45" spans="1:5" ht="24">
      <c r="A45" s="286" t="s">
        <v>393</v>
      </c>
      <c r="B45" s="253" t="s">
        <v>36</v>
      </c>
      <c r="C45" s="258">
        <v>12.63</v>
      </c>
      <c r="D45" s="258">
        <v>50</v>
      </c>
      <c r="E45" s="258">
        <f>C45*D45</f>
        <v>631.5</v>
      </c>
    </row>
    <row r="46" spans="1:5" ht="12">
      <c r="A46" s="286" t="s">
        <v>394</v>
      </c>
      <c r="B46" s="253" t="s">
        <v>36</v>
      </c>
      <c r="C46" s="258">
        <v>80.38</v>
      </c>
      <c r="D46" s="258">
        <v>50</v>
      </c>
      <c r="E46" s="258">
        <f>C46*D46</f>
        <v>4019</v>
      </c>
    </row>
    <row r="47" spans="1:5" ht="12">
      <c r="A47" s="286" t="s">
        <v>395</v>
      </c>
      <c r="B47" s="253" t="s">
        <v>36</v>
      </c>
      <c r="C47" s="258">
        <v>21.44</v>
      </c>
      <c r="D47" s="258">
        <v>50</v>
      </c>
      <c r="E47" s="258">
        <f>C47*D47</f>
        <v>1072</v>
      </c>
    </row>
    <row r="48" spans="1:5" ht="12">
      <c r="A48" s="286" t="s">
        <v>396</v>
      </c>
      <c r="B48" s="253" t="s">
        <v>36</v>
      </c>
      <c r="C48" s="258">
        <v>3.59</v>
      </c>
      <c r="D48" s="258">
        <v>50</v>
      </c>
      <c r="E48" s="258">
        <f>C48*D48</f>
        <v>179.5</v>
      </c>
    </row>
    <row r="49" spans="1:5" ht="12">
      <c r="A49" s="389" t="s">
        <v>403</v>
      </c>
      <c r="B49" s="389"/>
      <c r="C49" s="389"/>
      <c r="D49" s="389"/>
      <c r="E49" s="299">
        <f>SUM(E20:E48)</f>
        <v>96566.15999999999</v>
      </c>
    </row>
    <row r="50" ht="12">
      <c r="B50" s="252"/>
    </row>
    <row r="51" ht="12">
      <c r="B51" s="252"/>
    </row>
    <row r="52" spans="1:5" ht="12" customHeight="1">
      <c r="A52" s="397" t="s">
        <v>272</v>
      </c>
      <c r="B52" s="398"/>
      <c r="C52" s="398"/>
      <c r="D52" s="398"/>
      <c r="E52" s="399"/>
    </row>
    <row r="53" spans="1:5" ht="24">
      <c r="A53" s="219" t="s">
        <v>281</v>
      </c>
      <c r="B53" s="283" t="s">
        <v>397</v>
      </c>
      <c r="C53" s="258" t="s">
        <v>282</v>
      </c>
      <c r="D53" s="258" t="s">
        <v>283</v>
      </c>
      <c r="E53" s="258" t="s">
        <v>64</v>
      </c>
    </row>
    <row r="54" spans="1:5" ht="21.75" customHeight="1">
      <c r="A54" s="395" t="s">
        <v>284</v>
      </c>
      <c r="B54" s="395"/>
      <c r="C54" s="395"/>
      <c r="D54" s="395"/>
      <c r="E54" s="290"/>
    </row>
    <row r="55" spans="1:5" ht="12">
      <c r="A55" s="287" t="s">
        <v>445</v>
      </c>
      <c r="B55" s="254"/>
      <c r="C55" s="294"/>
      <c r="D55" s="294"/>
      <c r="E55" s="290"/>
    </row>
    <row r="56" spans="1:5" ht="12">
      <c r="A56" s="286" t="s">
        <v>443</v>
      </c>
      <c r="B56" s="256" t="s">
        <v>36</v>
      </c>
      <c r="C56" s="266">
        <v>69.9</v>
      </c>
      <c r="D56" s="266">
        <v>3</v>
      </c>
      <c r="E56" s="290">
        <f>C56*D56</f>
        <v>209.70000000000002</v>
      </c>
    </row>
    <row r="57" spans="1:5" ht="12">
      <c r="A57" s="287" t="s">
        <v>446</v>
      </c>
      <c r="B57" s="256"/>
      <c r="C57" s="266"/>
      <c r="D57" s="266"/>
      <c r="E57" s="290"/>
    </row>
    <row r="58" spans="1:5" ht="12">
      <c r="A58" s="286" t="s">
        <v>423</v>
      </c>
      <c r="B58" s="256" t="s">
        <v>36</v>
      </c>
      <c r="C58" s="266">
        <v>490</v>
      </c>
      <c r="D58" s="266">
        <v>1</v>
      </c>
      <c r="E58" s="290">
        <f>C58*D58</f>
        <v>490</v>
      </c>
    </row>
    <row r="59" spans="1:5" ht="12">
      <c r="A59" s="286" t="s">
        <v>443</v>
      </c>
      <c r="B59" s="256" t="s">
        <v>36</v>
      </c>
      <c r="C59" s="266">
        <v>69.9</v>
      </c>
      <c r="D59" s="266">
        <v>2</v>
      </c>
      <c r="E59" s="290">
        <f>C59*D59</f>
        <v>139.8</v>
      </c>
    </row>
    <row r="60" spans="1:5" ht="12">
      <c r="A60" s="286" t="s">
        <v>424</v>
      </c>
      <c r="B60" s="256" t="s">
        <v>36</v>
      </c>
      <c r="C60" s="266">
        <v>179.9</v>
      </c>
      <c r="D60" s="266">
        <v>1</v>
      </c>
      <c r="E60" s="290">
        <f>C60*D60</f>
        <v>179.9</v>
      </c>
    </row>
    <row r="61" spans="1:5" ht="12">
      <c r="A61" s="286" t="s">
        <v>455</v>
      </c>
      <c r="B61" s="256" t="s">
        <v>36</v>
      </c>
      <c r="C61" s="266">
        <v>3800</v>
      </c>
      <c r="D61" s="266">
        <v>1</v>
      </c>
      <c r="E61" s="290">
        <f>C61*D61</f>
        <v>3800</v>
      </c>
    </row>
    <row r="62" spans="1:5" ht="12">
      <c r="A62" s="287" t="s">
        <v>452</v>
      </c>
      <c r="B62" s="256"/>
      <c r="C62" s="266"/>
      <c r="D62" s="266"/>
      <c r="E62" s="290"/>
    </row>
    <row r="63" spans="1:5" ht="36">
      <c r="A63" s="286" t="s">
        <v>444</v>
      </c>
      <c r="B63" s="256" t="s">
        <v>36</v>
      </c>
      <c r="C63" s="266">
        <v>363</v>
      </c>
      <c r="D63" s="266">
        <v>1</v>
      </c>
      <c r="E63" s="290">
        <f>C63*D63</f>
        <v>363</v>
      </c>
    </row>
    <row r="64" spans="1:5" ht="12">
      <c r="A64" s="286" t="s">
        <v>454</v>
      </c>
      <c r="B64" s="256" t="s">
        <v>36</v>
      </c>
      <c r="C64" s="266">
        <v>200</v>
      </c>
      <c r="D64" s="266">
        <v>1</v>
      </c>
      <c r="E64" s="290">
        <f>C64*D64</f>
        <v>200</v>
      </c>
    </row>
    <row r="65" spans="1:5" ht="12">
      <c r="A65" s="288" t="s">
        <v>453</v>
      </c>
      <c r="B65" s="252"/>
      <c r="C65" s="295"/>
      <c r="D65" s="266"/>
      <c r="E65" s="290"/>
    </row>
    <row r="66" spans="1:5" ht="36">
      <c r="A66" s="286" t="s">
        <v>444</v>
      </c>
      <c r="B66" s="256" t="s">
        <v>36</v>
      </c>
      <c r="C66" s="266">
        <v>363</v>
      </c>
      <c r="D66" s="266">
        <v>1</v>
      </c>
      <c r="E66" s="290">
        <f>C66*D66</f>
        <v>363</v>
      </c>
    </row>
    <row r="67" spans="1:5" ht="12">
      <c r="A67" s="286" t="s">
        <v>454</v>
      </c>
      <c r="B67" s="256" t="s">
        <v>36</v>
      </c>
      <c r="C67" s="266">
        <v>200</v>
      </c>
      <c r="D67" s="266">
        <v>1</v>
      </c>
      <c r="E67" s="290">
        <f>C67*D67</f>
        <v>200</v>
      </c>
    </row>
    <row r="68" spans="1:5" ht="12">
      <c r="A68" s="287" t="s">
        <v>447</v>
      </c>
      <c r="C68" s="266"/>
      <c r="D68" s="266"/>
      <c r="E68" s="290"/>
    </row>
    <row r="69" spans="1:5" ht="12">
      <c r="A69" s="286" t="s">
        <v>424</v>
      </c>
      <c r="B69" s="256" t="s">
        <v>36</v>
      </c>
      <c r="C69" s="266">
        <v>179.9</v>
      </c>
      <c r="D69" s="266">
        <v>5</v>
      </c>
      <c r="E69" s="290">
        <f>C69*D69</f>
        <v>899.5</v>
      </c>
    </row>
    <row r="70" spans="1:5" ht="36">
      <c r="A70" s="286" t="s">
        <v>434</v>
      </c>
      <c r="B70" s="256" t="s">
        <v>36</v>
      </c>
      <c r="C70" s="266">
        <v>449.9</v>
      </c>
      <c r="D70" s="266">
        <v>5</v>
      </c>
      <c r="E70" s="290">
        <f aca="true" t="shared" si="2" ref="E70:E75">C70*D70</f>
        <v>2249.5</v>
      </c>
    </row>
    <row r="71" spans="1:5" ht="12">
      <c r="A71" s="286" t="s">
        <v>425</v>
      </c>
      <c r="B71" s="256" t="s">
        <v>36</v>
      </c>
      <c r="C71" s="266">
        <v>725</v>
      </c>
      <c r="D71" s="266">
        <v>5</v>
      </c>
      <c r="E71" s="290">
        <f t="shared" si="2"/>
        <v>3625</v>
      </c>
    </row>
    <row r="72" spans="1:5" ht="12">
      <c r="A72" s="286" t="s">
        <v>435</v>
      </c>
      <c r="B72" s="256" t="s">
        <v>36</v>
      </c>
      <c r="C72" s="266">
        <v>279.9</v>
      </c>
      <c r="D72" s="266">
        <v>5</v>
      </c>
      <c r="E72" s="290">
        <f t="shared" si="2"/>
        <v>1399.5</v>
      </c>
    </row>
    <row r="73" spans="1:5" ht="12">
      <c r="A73" s="286" t="s">
        <v>426</v>
      </c>
      <c r="B73" s="256" t="s">
        <v>36</v>
      </c>
      <c r="C73" s="266">
        <v>159.9</v>
      </c>
      <c r="D73" s="266">
        <v>1</v>
      </c>
      <c r="E73" s="290">
        <f t="shared" si="2"/>
        <v>159.9</v>
      </c>
    </row>
    <row r="74" spans="1:5" ht="12">
      <c r="A74" s="286" t="s">
        <v>436</v>
      </c>
      <c r="B74" s="256" t="s">
        <v>36</v>
      </c>
      <c r="C74" s="266">
        <v>74.9</v>
      </c>
      <c r="D74" s="266">
        <v>1</v>
      </c>
      <c r="E74" s="290">
        <f t="shared" si="2"/>
        <v>74.9</v>
      </c>
    </row>
    <row r="75" spans="1:5" ht="24">
      <c r="A75" s="286" t="s">
        <v>432</v>
      </c>
      <c r="B75" s="256" t="s">
        <v>36</v>
      </c>
      <c r="C75" s="266">
        <v>100</v>
      </c>
      <c r="D75" s="266">
        <v>1</v>
      </c>
      <c r="E75" s="290">
        <f t="shared" si="2"/>
        <v>100</v>
      </c>
    </row>
    <row r="76" spans="1:5" ht="12">
      <c r="A76" s="286" t="str">
        <f>A61</f>
        <v>Computadora </v>
      </c>
      <c r="B76" s="256" t="s">
        <v>36</v>
      </c>
      <c r="C76" s="266">
        <f>C61</f>
        <v>3800</v>
      </c>
      <c r="D76" s="266">
        <v>5</v>
      </c>
      <c r="E76" s="290">
        <f>C76*D76</f>
        <v>19000</v>
      </c>
    </row>
    <row r="77" spans="1:5" ht="12">
      <c r="A77" s="287" t="s">
        <v>448</v>
      </c>
      <c r="B77" s="256"/>
      <c r="C77" s="266"/>
      <c r="D77" s="266"/>
      <c r="E77" s="290"/>
    </row>
    <row r="78" spans="1:5" ht="12">
      <c r="A78" s="286" t="s">
        <v>423</v>
      </c>
      <c r="B78" s="253" t="s">
        <v>36</v>
      </c>
      <c r="C78" s="284">
        <v>490</v>
      </c>
      <c r="D78" s="284">
        <v>2</v>
      </c>
      <c r="E78" s="290">
        <f>C78*D78</f>
        <v>980</v>
      </c>
    </row>
    <row r="79" spans="1:5" ht="12">
      <c r="A79" s="286" t="s">
        <v>443</v>
      </c>
      <c r="B79" s="253" t="s">
        <v>36</v>
      </c>
      <c r="C79" s="284">
        <v>69.9</v>
      </c>
      <c r="D79" s="284">
        <v>2</v>
      </c>
      <c r="E79" s="290">
        <f>C79*D79</f>
        <v>139.8</v>
      </c>
    </row>
    <row r="80" spans="1:5" ht="12">
      <c r="A80" s="286" t="str">
        <f>A76</f>
        <v>Computadora </v>
      </c>
      <c r="B80" s="256" t="str">
        <f aca="true" t="shared" si="3" ref="B80:C82">B76</f>
        <v>Unidad</v>
      </c>
      <c r="C80" s="296">
        <f t="shared" si="3"/>
        <v>3800</v>
      </c>
      <c r="D80" s="296">
        <v>2</v>
      </c>
      <c r="E80" s="290">
        <f>C80*D80</f>
        <v>7600</v>
      </c>
    </row>
    <row r="81" spans="1:5" ht="12">
      <c r="A81" s="287" t="s">
        <v>449</v>
      </c>
      <c r="B81" s="256"/>
      <c r="C81" s="266"/>
      <c r="D81" s="266"/>
      <c r="E81" s="290"/>
    </row>
    <row r="82" spans="1:5" ht="12">
      <c r="A82" s="293" t="s">
        <v>427</v>
      </c>
      <c r="B82" s="256" t="str">
        <f t="shared" si="3"/>
        <v>Unidad</v>
      </c>
      <c r="C82" s="266">
        <v>209.9</v>
      </c>
      <c r="D82" s="266">
        <v>1</v>
      </c>
      <c r="E82" s="290">
        <f aca="true" t="shared" si="4" ref="E82:E87">C82*D82</f>
        <v>209.9</v>
      </c>
    </row>
    <row r="83" spans="1:5" ht="12">
      <c r="A83" s="293" t="s">
        <v>428</v>
      </c>
      <c r="B83" s="256" t="str">
        <f>B79</f>
        <v>Unidad</v>
      </c>
      <c r="C83" s="266">
        <v>129</v>
      </c>
      <c r="D83" s="266">
        <v>1</v>
      </c>
      <c r="E83" s="290">
        <f t="shared" si="4"/>
        <v>129</v>
      </c>
    </row>
    <row r="84" spans="1:5" ht="24">
      <c r="A84" s="293" t="s">
        <v>429</v>
      </c>
      <c r="B84" s="256" t="str">
        <f>B80</f>
        <v>Unidad</v>
      </c>
      <c r="C84" s="266">
        <v>18.9</v>
      </c>
      <c r="D84" s="266">
        <v>1</v>
      </c>
      <c r="E84" s="290">
        <f t="shared" si="4"/>
        <v>18.9</v>
      </c>
    </row>
    <row r="85" spans="1:5" ht="12">
      <c r="A85" s="293" t="s">
        <v>430</v>
      </c>
      <c r="B85" s="256">
        <f>B81</f>
        <v>0</v>
      </c>
      <c r="C85" s="266">
        <v>11.9</v>
      </c>
      <c r="D85" s="266">
        <v>1</v>
      </c>
      <c r="E85" s="290">
        <f t="shared" si="4"/>
        <v>11.9</v>
      </c>
    </row>
    <row r="86" spans="1:5" ht="24">
      <c r="A86" s="293" t="s">
        <v>431</v>
      </c>
      <c r="B86" s="256" t="str">
        <f>B82</f>
        <v>Unidad</v>
      </c>
      <c r="C86" s="266">
        <v>39.9</v>
      </c>
      <c r="D86" s="266">
        <v>1</v>
      </c>
      <c r="E86" s="290">
        <f t="shared" si="4"/>
        <v>39.9</v>
      </c>
    </row>
    <row r="87" spans="1:5" ht="12">
      <c r="A87" s="293" t="s">
        <v>426</v>
      </c>
      <c r="B87" s="256" t="str">
        <f>B83</f>
        <v>Unidad</v>
      </c>
      <c r="C87" s="266">
        <v>159.9</v>
      </c>
      <c r="D87" s="266">
        <v>1</v>
      </c>
      <c r="E87" s="290">
        <f t="shared" si="4"/>
        <v>159.9</v>
      </c>
    </row>
    <row r="88" spans="1:5" ht="12">
      <c r="A88" s="287" t="s">
        <v>450</v>
      </c>
      <c r="B88" s="252"/>
      <c r="C88" s="266"/>
      <c r="D88" s="266"/>
      <c r="E88" s="290"/>
    </row>
    <row r="89" spans="1:5" ht="12">
      <c r="A89" s="286" t="s">
        <v>437</v>
      </c>
      <c r="B89" s="256" t="s">
        <v>36</v>
      </c>
      <c r="C89" s="266">
        <v>699.9</v>
      </c>
      <c r="D89" s="290">
        <v>1</v>
      </c>
      <c r="E89" s="290">
        <f>C89*D89</f>
        <v>699.9</v>
      </c>
    </row>
    <row r="90" spans="1:5" ht="12">
      <c r="A90" s="286" t="s">
        <v>438</v>
      </c>
      <c r="B90" s="256" t="s">
        <v>36</v>
      </c>
      <c r="C90" s="266">
        <v>179.9</v>
      </c>
      <c r="D90" s="290">
        <v>1</v>
      </c>
      <c r="E90" s="290">
        <f>C90*D90</f>
        <v>179.9</v>
      </c>
    </row>
    <row r="91" spans="1:5" ht="24">
      <c r="A91" s="286" t="s">
        <v>433</v>
      </c>
      <c r="B91" s="256" t="s">
        <v>36</v>
      </c>
      <c r="C91" s="266">
        <v>69.9</v>
      </c>
      <c r="D91" s="290">
        <v>2</v>
      </c>
      <c r="E91" s="290">
        <f>C91*D91</f>
        <v>139.8</v>
      </c>
    </row>
    <row r="92" spans="1:5" ht="36">
      <c r="A92" s="286" t="s">
        <v>439</v>
      </c>
      <c r="B92" s="256" t="s">
        <v>36</v>
      </c>
      <c r="C92" s="266">
        <v>363</v>
      </c>
      <c r="D92" s="290">
        <v>1</v>
      </c>
      <c r="E92" s="290">
        <f>C92*D92</f>
        <v>363</v>
      </c>
    </row>
    <row r="93" spans="1:5" ht="12">
      <c r="A93" s="286" t="str">
        <f>A80</f>
        <v>Computadora </v>
      </c>
      <c r="B93" s="256" t="s">
        <v>36</v>
      </c>
      <c r="C93" s="298">
        <f>C80</f>
        <v>3800</v>
      </c>
      <c r="D93" s="266">
        <v>1</v>
      </c>
      <c r="E93" s="290">
        <f>C93*D93</f>
        <v>3800</v>
      </c>
    </row>
    <row r="94" spans="1:5" ht="12">
      <c r="A94" s="287" t="s">
        <v>451</v>
      </c>
      <c r="B94" s="256"/>
      <c r="C94" s="266"/>
      <c r="D94" s="266"/>
      <c r="E94" s="290"/>
    </row>
    <row r="95" spans="1:5" ht="12">
      <c r="A95" s="286" t="s">
        <v>424</v>
      </c>
      <c r="B95" s="256" t="s">
        <v>36</v>
      </c>
      <c r="C95" s="266">
        <v>179.9</v>
      </c>
      <c r="D95" s="266">
        <v>8</v>
      </c>
      <c r="E95" s="290">
        <f>C95*D95</f>
        <v>1439.2</v>
      </c>
    </row>
    <row r="96" spans="1:5" ht="24">
      <c r="A96" s="286" t="s">
        <v>440</v>
      </c>
      <c r="B96" s="256" t="s">
        <v>36</v>
      </c>
      <c r="C96" s="266">
        <v>2700</v>
      </c>
      <c r="D96" s="266">
        <v>1</v>
      </c>
      <c r="E96" s="290">
        <f>C96*D96</f>
        <v>2700</v>
      </c>
    </row>
    <row r="97" spans="1:5" ht="12">
      <c r="A97" s="286" t="s">
        <v>441</v>
      </c>
      <c r="B97" s="256" t="s">
        <v>36</v>
      </c>
      <c r="C97" s="266">
        <v>3099</v>
      </c>
      <c r="D97" s="266">
        <v>1</v>
      </c>
      <c r="E97" s="290">
        <f>C97*D97</f>
        <v>3099</v>
      </c>
    </row>
    <row r="98" spans="1:5" ht="24">
      <c r="A98" s="286" t="s">
        <v>442</v>
      </c>
      <c r="B98" s="256" t="s">
        <v>36</v>
      </c>
      <c r="C98" s="266">
        <v>1677</v>
      </c>
      <c r="D98" s="266">
        <v>1</v>
      </c>
      <c r="E98" s="290">
        <f>C98*D98</f>
        <v>1677</v>
      </c>
    </row>
    <row r="99" spans="1:5" ht="12">
      <c r="A99" s="286" t="str">
        <f>A93</f>
        <v>Computadora </v>
      </c>
      <c r="B99" s="256" t="s">
        <v>36</v>
      </c>
      <c r="C99" s="266">
        <f>C93</f>
        <v>3800</v>
      </c>
      <c r="D99" s="266">
        <v>1</v>
      </c>
      <c r="E99" s="290">
        <f>C99*D99</f>
        <v>3800</v>
      </c>
    </row>
    <row r="100" spans="1:5" ht="12">
      <c r="A100" s="392" t="s">
        <v>286</v>
      </c>
      <c r="B100" s="392"/>
      <c r="C100" s="392"/>
      <c r="D100" s="392"/>
      <c r="E100" s="290"/>
    </row>
    <row r="101" spans="1:5" ht="12">
      <c r="A101" s="286" t="s">
        <v>423</v>
      </c>
      <c r="B101" s="253" t="s">
        <v>36</v>
      </c>
      <c r="C101" s="285">
        <v>490</v>
      </c>
      <c r="D101" s="285">
        <v>4</v>
      </c>
      <c r="E101" s="290">
        <f aca="true" t="shared" si="5" ref="E101:E107">C101*D101</f>
        <v>1960</v>
      </c>
    </row>
    <row r="102" spans="1:5" ht="12">
      <c r="A102" s="286" t="s">
        <v>424</v>
      </c>
      <c r="B102" s="253" t="s">
        <v>36</v>
      </c>
      <c r="C102" s="285">
        <v>179.9</v>
      </c>
      <c r="D102" s="285">
        <v>4</v>
      </c>
      <c r="E102" s="290">
        <f t="shared" si="5"/>
        <v>719.6</v>
      </c>
    </row>
    <row r="103" spans="1:5" ht="36" customHeight="1">
      <c r="A103" s="286" t="s">
        <v>444</v>
      </c>
      <c r="B103" s="253" t="s">
        <v>36</v>
      </c>
      <c r="C103" s="285">
        <v>363</v>
      </c>
      <c r="D103" s="285">
        <v>2</v>
      </c>
      <c r="E103" s="290">
        <f t="shared" si="5"/>
        <v>726</v>
      </c>
    </row>
    <row r="104" spans="1:5" ht="12">
      <c r="A104" s="286" t="s">
        <v>443</v>
      </c>
      <c r="B104" s="253" t="s">
        <v>36</v>
      </c>
      <c r="C104" s="285">
        <v>69.9</v>
      </c>
      <c r="D104" s="285">
        <v>8</v>
      </c>
      <c r="E104" s="290">
        <f t="shared" si="5"/>
        <v>559.2</v>
      </c>
    </row>
    <row r="105" spans="1:5" ht="24">
      <c r="A105" s="286" t="s">
        <v>432</v>
      </c>
      <c r="B105" s="253" t="s">
        <v>36</v>
      </c>
      <c r="C105" s="285">
        <v>100</v>
      </c>
      <c r="D105" s="285">
        <v>2</v>
      </c>
      <c r="E105" s="290">
        <f t="shared" si="5"/>
        <v>200</v>
      </c>
    </row>
    <row r="106" spans="1:5" ht="12">
      <c r="A106" s="286" t="s">
        <v>426</v>
      </c>
      <c r="B106" s="253" t="s">
        <v>36</v>
      </c>
      <c r="C106" s="285">
        <v>159.9</v>
      </c>
      <c r="D106" s="285">
        <v>2</v>
      </c>
      <c r="E106" s="290">
        <f t="shared" si="5"/>
        <v>319.8</v>
      </c>
    </row>
    <row r="107" spans="1:5" ht="12">
      <c r="A107" s="286" t="str">
        <f>A99</f>
        <v>Computadora </v>
      </c>
      <c r="B107" s="253" t="str">
        <f>B99</f>
        <v>Unidad</v>
      </c>
      <c r="C107" s="285">
        <f>C99</f>
        <v>3800</v>
      </c>
      <c r="D107" s="285">
        <v>4</v>
      </c>
      <c r="E107" s="290">
        <f t="shared" si="5"/>
        <v>15200</v>
      </c>
    </row>
    <row r="108" spans="1:5" ht="12">
      <c r="A108" s="389" t="s">
        <v>403</v>
      </c>
      <c r="B108" s="389"/>
      <c r="C108" s="389"/>
      <c r="D108" s="389"/>
      <c r="E108" s="299">
        <f>SUM(E55:E107)</f>
        <v>80325.40000000001</v>
      </c>
    </row>
  </sheetData>
  <sheetProtection/>
  <mergeCells count="12">
    <mergeCell ref="A7:E7"/>
    <mergeCell ref="A9:E9"/>
    <mergeCell ref="A14:D14"/>
    <mergeCell ref="A54:D54"/>
    <mergeCell ref="A52:E52"/>
    <mergeCell ref="A108:D108"/>
    <mergeCell ref="A19:D19"/>
    <mergeCell ref="A100:D100"/>
    <mergeCell ref="A37:D37"/>
    <mergeCell ref="A17:E17"/>
    <mergeCell ref="A43:D43"/>
    <mergeCell ref="A49:D4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47"/>
  <sheetViews>
    <sheetView zoomScalePageLayoutView="0" workbookViewId="0" topLeftCell="A1">
      <selection activeCell="L16" sqref="L16"/>
    </sheetView>
  </sheetViews>
  <sheetFormatPr defaultColWidth="11.421875" defaultRowHeight="15"/>
  <cols>
    <col min="1" max="3" width="11.421875" style="230" customWidth="1"/>
    <col min="4" max="8" width="0" style="230" hidden="1" customWidth="1"/>
    <col min="9" max="16384" width="11.421875" style="230" customWidth="1"/>
  </cols>
  <sheetData>
    <row r="2" spans="1:11" ht="12.75">
      <c r="A2" s="229" t="s">
        <v>288</v>
      </c>
      <c r="J2" s="231" t="s">
        <v>289</v>
      </c>
      <c r="K2" s="232">
        <v>1</v>
      </c>
    </row>
    <row r="5" ht="15">
      <c r="F5" s="233"/>
    </row>
    <row r="8" spans="1:4" ht="12.75">
      <c r="A8" s="234" t="s">
        <v>291</v>
      </c>
      <c r="C8" s="235" t="s">
        <v>292</v>
      </c>
      <c r="D8" s="236" t="s">
        <v>293</v>
      </c>
    </row>
    <row r="9" spans="1:11" ht="12.75">
      <c r="A9" s="234" t="s">
        <v>294</v>
      </c>
      <c r="C9" s="235" t="s">
        <v>295</v>
      </c>
      <c r="D9" s="236" t="s">
        <v>296</v>
      </c>
      <c r="J9" s="231" t="s">
        <v>297</v>
      </c>
      <c r="K9" s="237">
        <v>43130</v>
      </c>
    </row>
    <row r="10" spans="1:5" ht="12.75">
      <c r="A10" s="238" t="s">
        <v>298</v>
      </c>
      <c r="C10" s="236" t="s">
        <v>299</v>
      </c>
      <c r="E10" s="236" t="s">
        <v>300</v>
      </c>
    </row>
    <row r="12" spans="1:12" ht="12.75">
      <c r="A12" s="239" t="s">
        <v>301</v>
      </c>
      <c r="C12" s="236" t="s">
        <v>302</v>
      </c>
      <c r="E12" s="240" t="s">
        <v>303</v>
      </c>
      <c r="I12" s="240" t="s">
        <v>304</v>
      </c>
      <c r="J12" s="241">
        <f>+K23</f>
        <v>33524.520000000004</v>
      </c>
      <c r="L12" s="249">
        <f>J12+J27+J40</f>
        <v>38315.520000000004</v>
      </c>
    </row>
    <row r="14" spans="1:11" ht="12.75">
      <c r="A14" s="242" t="s">
        <v>305</v>
      </c>
      <c r="C14" s="242" t="s">
        <v>306</v>
      </c>
      <c r="F14" s="242" t="s">
        <v>36</v>
      </c>
      <c r="H14" s="235" t="s">
        <v>307</v>
      </c>
      <c r="I14" s="235" t="s">
        <v>123</v>
      </c>
      <c r="J14" s="235" t="s">
        <v>308</v>
      </c>
      <c r="K14" s="235" t="s">
        <v>309</v>
      </c>
    </row>
    <row r="15" ht="12.75">
      <c r="D15" s="243" t="s">
        <v>310</v>
      </c>
    </row>
    <row r="16" spans="1:11" ht="51">
      <c r="A16" s="234" t="s">
        <v>311</v>
      </c>
      <c r="C16" s="244" t="s">
        <v>312</v>
      </c>
      <c r="D16" s="244"/>
      <c r="E16" s="244"/>
      <c r="F16" s="244"/>
      <c r="G16" s="244"/>
      <c r="I16" s="245">
        <v>18</v>
      </c>
      <c r="J16" s="246">
        <v>389.82</v>
      </c>
      <c r="K16" s="246">
        <f>+I16*J16</f>
        <v>7016.76</v>
      </c>
    </row>
    <row r="17" spans="1:11" ht="51">
      <c r="A17" s="234" t="s">
        <v>313</v>
      </c>
      <c r="C17" s="244" t="s">
        <v>314</v>
      </c>
      <c r="D17" s="244"/>
      <c r="E17" s="244"/>
      <c r="F17" s="244"/>
      <c r="G17" s="244"/>
      <c r="I17" s="245">
        <v>8</v>
      </c>
      <c r="J17" s="246">
        <v>389.82</v>
      </c>
      <c r="K17" s="246">
        <f aca="true" t="shared" si="0" ref="K17:K22">+I17*J17</f>
        <v>3118.56</v>
      </c>
    </row>
    <row r="18" spans="1:11" ht="51">
      <c r="A18" s="234" t="s">
        <v>315</v>
      </c>
      <c r="C18" s="244" t="s">
        <v>316</v>
      </c>
      <c r="D18" s="244"/>
      <c r="E18" s="244"/>
      <c r="F18" s="244"/>
      <c r="G18" s="244"/>
      <c r="I18" s="245">
        <v>12</v>
      </c>
      <c r="J18" s="246">
        <v>389.82</v>
      </c>
      <c r="K18" s="246">
        <f t="shared" si="0"/>
        <v>4677.84</v>
      </c>
    </row>
    <row r="19" spans="1:11" ht="51">
      <c r="A19" s="234" t="s">
        <v>317</v>
      </c>
      <c r="C19" s="244" t="s">
        <v>318</v>
      </c>
      <c r="D19" s="244"/>
      <c r="E19" s="244"/>
      <c r="F19" s="244"/>
      <c r="G19" s="244"/>
      <c r="I19" s="245">
        <v>12</v>
      </c>
      <c r="J19" s="246">
        <v>389.82</v>
      </c>
      <c r="K19" s="246">
        <f t="shared" si="0"/>
        <v>4677.84</v>
      </c>
    </row>
    <row r="20" spans="1:11" ht="51">
      <c r="A20" s="234" t="s">
        <v>319</v>
      </c>
      <c r="C20" s="244" t="s">
        <v>320</v>
      </c>
      <c r="D20" s="244"/>
      <c r="E20" s="244"/>
      <c r="F20" s="244"/>
      <c r="G20" s="244"/>
      <c r="I20" s="245">
        <v>8</v>
      </c>
      <c r="J20" s="246">
        <v>389.82</v>
      </c>
      <c r="K20" s="246">
        <f t="shared" si="0"/>
        <v>3118.56</v>
      </c>
    </row>
    <row r="21" spans="1:11" ht="63.75">
      <c r="A21" s="234" t="s">
        <v>321</v>
      </c>
      <c r="C21" s="244" t="s">
        <v>322</v>
      </c>
      <c r="D21" s="244"/>
      <c r="E21" s="244"/>
      <c r="F21" s="244"/>
      <c r="G21" s="244"/>
      <c r="I21" s="245">
        <v>10</v>
      </c>
      <c r="J21" s="246">
        <v>389.82</v>
      </c>
      <c r="K21" s="246">
        <f t="shared" si="0"/>
        <v>3898.2</v>
      </c>
    </row>
    <row r="22" spans="1:11" ht="51">
      <c r="A22" s="234" t="s">
        <v>323</v>
      </c>
      <c r="C22" s="244" t="s">
        <v>324</v>
      </c>
      <c r="D22" s="244"/>
      <c r="E22" s="244"/>
      <c r="F22" s="244"/>
      <c r="G22" s="244"/>
      <c r="I22" s="245">
        <v>18</v>
      </c>
      <c r="J22" s="246">
        <v>389.82</v>
      </c>
      <c r="K22" s="246">
        <f t="shared" si="0"/>
        <v>7016.76</v>
      </c>
    </row>
    <row r="23" ht="12.75">
      <c r="K23" s="247">
        <f>SUM(K16:K22)</f>
        <v>33524.520000000004</v>
      </c>
    </row>
    <row r="25" spans="1:5" ht="12.75">
      <c r="A25" s="238" t="s">
        <v>298</v>
      </c>
      <c r="C25" s="236" t="s">
        <v>325</v>
      </c>
      <c r="E25" s="236" t="s">
        <v>326</v>
      </c>
    </row>
    <row r="27" spans="1:10" ht="12.75">
      <c r="A27" s="239" t="s">
        <v>301</v>
      </c>
      <c r="C27" s="236" t="s">
        <v>302</v>
      </c>
      <c r="E27" s="240" t="s">
        <v>303</v>
      </c>
      <c r="I27" s="240" t="s">
        <v>304</v>
      </c>
      <c r="J27" s="241">
        <v>425</v>
      </c>
    </row>
    <row r="29" spans="1:11" ht="12.75">
      <c r="A29" s="242" t="s">
        <v>305</v>
      </c>
      <c r="C29" s="242" t="s">
        <v>306</v>
      </c>
      <c r="F29" s="242" t="s">
        <v>36</v>
      </c>
      <c r="H29" s="235" t="s">
        <v>307</v>
      </c>
      <c r="I29" s="235" t="s">
        <v>123</v>
      </c>
      <c r="J29" s="235" t="s">
        <v>308</v>
      </c>
      <c r="K29" s="235" t="s">
        <v>309</v>
      </c>
    </row>
    <row r="30" ht="12.75">
      <c r="D30" s="243" t="s">
        <v>327</v>
      </c>
    </row>
    <row r="31" spans="1:11" ht="12.75">
      <c r="A31" s="234" t="s">
        <v>328</v>
      </c>
      <c r="C31" s="234" t="s">
        <v>329</v>
      </c>
      <c r="F31" s="234" t="s">
        <v>330</v>
      </c>
      <c r="I31" s="245">
        <v>4</v>
      </c>
      <c r="J31" s="246">
        <v>35</v>
      </c>
      <c r="K31" s="246">
        <v>140</v>
      </c>
    </row>
    <row r="32" spans="1:11" ht="12.75">
      <c r="A32" s="234" t="s">
        <v>331</v>
      </c>
      <c r="C32" s="234" t="s">
        <v>332</v>
      </c>
      <c r="F32" s="234" t="s">
        <v>330</v>
      </c>
      <c r="I32" s="245">
        <v>2</v>
      </c>
      <c r="J32" s="246">
        <v>30</v>
      </c>
      <c r="K32" s="246">
        <v>60</v>
      </c>
    </row>
    <row r="33" spans="1:11" ht="12.75">
      <c r="A33" s="234" t="s">
        <v>333</v>
      </c>
      <c r="C33" s="234" t="s">
        <v>334</v>
      </c>
      <c r="F33" s="234" t="s">
        <v>335</v>
      </c>
      <c r="I33" s="245">
        <v>50</v>
      </c>
      <c r="J33" s="246">
        <v>0.5</v>
      </c>
      <c r="K33" s="246">
        <v>25</v>
      </c>
    </row>
    <row r="34" spans="1:11" ht="12.75">
      <c r="A34" s="234" t="s">
        <v>336</v>
      </c>
      <c r="C34" s="234" t="s">
        <v>337</v>
      </c>
      <c r="F34" s="234" t="s">
        <v>335</v>
      </c>
      <c r="I34" s="245">
        <v>30</v>
      </c>
      <c r="J34" s="246">
        <v>5</v>
      </c>
      <c r="K34" s="246">
        <v>150</v>
      </c>
    </row>
    <row r="35" spans="1:11" ht="12.75">
      <c r="A35" s="234" t="s">
        <v>338</v>
      </c>
      <c r="C35" s="234" t="s">
        <v>339</v>
      </c>
      <c r="F35" s="234" t="s">
        <v>340</v>
      </c>
      <c r="I35" s="245">
        <v>2</v>
      </c>
      <c r="J35" s="246">
        <v>25</v>
      </c>
      <c r="K35" s="246">
        <v>50</v>
      </c>
    </row>
    <row r="36" ht="12.75">
      <c r="K36" s="247">
        <v>425</v>
      </c>
    </row>
    <row r="38" spans="1:5" ht="12.75">
      <c r="A38" s="238" t="s">
        <v>298</v>
      </c>
      <c r="C38" s="242">
        <v>1.03</v>
      </c>
      <c r="E38" s="236" t="s">
        <v>341</v>
      </c>
    </row>
    <row r="40" spans="1:10" ht="12.75">
      <c r="A40" s="239" t="s">
        <v>301</v>
      </c>
      <c r="C40" s="236" t="s">
        <v>342</v>
      </c>
      <c r="E40" s="240" t="s">
        <v>303</v>
      </c>
      <c r="I40" s="240" t="s">
        <v>343</v>
      </c>
      <c r="J40" s="241">
        <v>4366</v>
      </c>
    </row>
    <row r="42" spans="1:11" ht="12.75">
      <c r="A42" s="242" t="s">
        <v>305</v>
      </c>
      <c r="C42" s="242" t="s">
        <v>306</v>
      </c>
      <c r="F42" s="242" t="s">
        <v>36</v>
      </c>
      <c r="H42" s="235" t="s">
        <v>307</v>
      </c>
      <c r="I42" s="235" t="s">
        <v>123</v>
      </c>
      <c r="J42" s="235" t="s">
        <v>308</v>
      </c>
      <c r="K42" s="235" t="s">
        <v>309</v>
      </c>
    </row>
    <row r="43" ht="12.75">
      <c r="D43" s="243" t="s">
        <v>310</v>
      </c>
    </row>
    <row r="44" spans="1:11" ht="12.75">
      <c r="A44" s="234" t="s">
        <v>344</v>
      </c>
      <c r="C44" s="234" t="s">
        <v>345</v>
      </c>
      <c r="F44" s="234" t="s">
        <v>346</v>
      </c>
      <c r="I44" s="245">
        <v>1</v>
      </c>
      <c r="J44" s="246">
        <v>4366</v>
      </c>
      <c r="K44" s="246">
        <v>4366</v>
      </c>
    </row>
    <row r="45" ht="12.75">
      <c r="K45" s="247">
        <v>4366</v>
      </c>
    </row>
    <row r="47" spans="9:10" ht="12.75">
      <c r="I47" s="240"/>
      <c r="J47" s="248"/>
    </row>
  </sheetData>
  <sheetProtection/>
  <printOptions/>
  <pageMargins left="0.16664583593717452" right="0.16664583593717452" top="0.16664583593717452" bottom="0.16664583593717452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M40"/>
  <sheetViews>
    <sheetView zoomScalePageLayoutView="0" workbookViewId="0" topLeftCell="B13">
      <selection activeCell="M41" sqref="M41"/>
    </sheetView>
  </sheetViews>
  <sheetFormatPr defaultColWidth="11.421875" defaultRowHeight="15"/>
  <cols>
    <col min="1" max="3" width="11.421875" style="230" customWidth="1"/>
    <col min="4" max="8" width="0" style="230" hidden="1" customWidth="1"/>
    <col min="9" max="9" width="11.421875" style="230" customWidth="1"/>
    <col min="10" max="10" width="19.28125" style="230" customWidth="1"/>
    <col min="11" max="16384" width="11.421875" style="230" customWidth="1"/>
  </cols>
  <sheetData>
    <row r="2" spans="1:11" ht="12.75">
      <c r="A2" s="229" t="s">
        <v>288</v>
      </c>
      <c r="J2" s="231" t="s">
        <v>289</v>
      </c>
      <c r="K2" s="232">
        <v>1</v>
      </c>
    </row>
    <row r="5" ht="15">
      <c r="F5" s="233" t="s">
        <v>290</v>
      </c>
    </row>
    <row r="8" spans="1:4" ht="12.75">
      <c r="A8" s="234" t="s">
        <v>291</v>
      </c>
      <c r="C8" s="235" t="s">
        <v>292</v>
      </c>
      <c r="D8" s="236" t="s">
        <v>293</v>
      </c>
    </row>
    <row r="9" spans="1:11" ht="12.75">
      <c r="A9" s="234" t="s">
        <v>294</v>
      </c>
      <c r="C9" s="235" t="s">
        <v>347</v>
      </c>
      <c r="D9" s="236" t="s">
        <v>348</v>
      </c>
      <c r="J9" s="231" t="s">
        <v>297</v>
      </c>
      <c r="K9" s="237">
        <v>43130</v>
      </c>
    </row>
    <row r="10" spans="1:5" ht="12.75">
      <c r="A10" s="238" t="s">
        <v>298</v>
      </c>
      <c r="C10" s="236" t="s">
        <v>299</v>
      </c>
      <c r="E10" s="236" t="s">
        <v>349</v>
      </c>
    </row>
    <row r="12" spans="1:13" ht="12.75">
      <c r="A12" s="239" t="s">
        <v>301</v>
      </c>
      <c r="C12" s="236" t="s">
        <v>342</v>
      </c>
      <c r="E12" s="240" t="s">
        <v>303</v>
      </c>
      <c r="I12" s="240" t="s">
        <v>343</v>
      </c>
      <c r="J12" s="241">
        <f>+K17</f>
        <v>3118.56</v>
      </c>
      <c r="M12" s="249">
        <f>J12+J21+J33</f>
        <v>17313.16</v>
      </c>
    </row>
    <row r="14" spans="1:11" ht="12.75">
      <c r="A14" s="242" t="s">
        <v>305</v>
      </c>
      <c r="C14" s="242" t="s">
        <v>306</v>
      </c>
      <c r="F14" s="242" t="s">
        <v>36</v>
      </c>
      <c r="H14" s="235" t="s">
        <v>307</v>
      </c>
      <c r="I14" s="235" t="s">
        <v>123</v>
      </c>
      <c r="J14" s="235" t="s">
        <v>308</v>
      </c>
      <c r="K14" s="235" t="s">
        <v>309</v>
      </c>
    </row>
    <row r="15" ht="12.75">
      <c r="D15" s="243" t="s">
        <v>310</v>
      </c>
    </row>
    <row r="16" spans="1:11" ht="12.75">
      <c r="A16" s="234">
        <v>428020004</v>
      </c>
      <c r="C16" s="234" t="s">
        <v>350</v>
      </c>
      <c r="F16" s="234" t="s">
        <v>351</v>
      </c>
      <c r="I16" s="245">
        <v>8</v>
      </c>
      <c r="J16" s="246">
        <v>389.82</v>
      </c>
      <c r="K16" s="246">
        <f>+I16*J16</f>
        <v>3118.56</v>
      </c>
    </row>
    <row r="17" ht="12.75">
      <c r="K17" s="247">
        <f>+K16</f>
        <v>3118.56</v>
      </c>
    </row>
    <row r="19" spans="1:5" ht="12.75">
      <c r="A19" s="238" t="s">
        <v>298</v>
      </c>
      <c r="C19" s="236" t="s">
        <v>325</v>
      </c>
      <c r="E19" s="236" t="s">
        <v>352</v>
      </c>
    </row>
    <row r="21" spans="1:10" ht="12.75">
      <c r="A21" s="239" t="s">
        <v>301</v>
      </c>
      <c r="C21" s="236" t="s">
        <v>342</v>
      </c>
      <c r="E21" s="240" t="s">
        <v>303</v>
      </c>
      <c r="I21" s="240" t="s">
        <v>343</v>
      </c>
      <c r="J21" s="241">
        <f>+K30</f>
        <v>11694.6</v>
      </c>
    </row>
    <row r="23" spans="1:11" ht="12.75">
      <c r="A23" s="242" t="s">
        <v>305</v>
      </c>
      <c r="C23" s="242" t="s">
        <v>306</v>
      </c>
      <c r="F23" s="242" t="s">
        <v>36</v>
      </c>
      <c r="H23" s="235" t="s">
        <v>307</v>
      </c>
      <c r="I23" s="235" t="s">
        <v>123</v>
      </c>
      <c r="J23" s="235" t="s">
        <v>308</v>
      </c>
      <c r="K23" s="235" t="s">
        <v>309</v>
      </c>
    </row>
    <row r="24" ht="12.75">
      <c r="D24" s="243" t="s">
        <v>310</v>
      </c>
    </row>
    <row r="25" spans="1:11" ht="12.75">
      <c r="A25" s="234" t="s">
        <v>353</v>
      </c>
      <c r="C25" s="234" t="s">
        <v>354</v>
      </c>
      <c r="F25" s="234" t="s">
        <v>351</v>
      </c>
      <c r="I25" s="246">
        <v>6</v>
      </c>
      <c r="J25" s="246">
        <v>389.82</v>
      </c>
      <c r="K25" s="246">
        <f>+I25*J25</f>
        <v>2338.92</v>
      </c>
    </row>
    <row r="26" spans="1:11" ht="12.75">
      <c r="A26" s="234" t="s">
        <v>355</v>
      </c>
      <c r="C26" s="234" t="s">
        <v>356</v>
      </c>
      <c r="F26" s="234" t="s">
        <v>351</v>
      </c>
      <c r="I26" s="246">
        <v>6</v>
      </c>
      <c r="J26" s="246">
        <v>389.82</v>
      </c>
      <c r="K26" s="246">
        <f>+I26*J26</f>
        <v>2338.92</v>
      </c>
    </row>
    <row r="27" spans="1:11" ht="12.75">
      <c r="A27" s="234" t="s">
        <v>357</v>
      </c>
      <c r="C27" s="234" t="s">
        <v>358</v>
      </c>
      <c r="F27" s="234" t="s">
        <v>351</v>
      </c>
      <c r="I27" s="246">
        <v>6</v>
      </c>
      <c r="J27" s="246">
        <v>389.82</v>
      </c>
      <c r="K27" s="246">
        <f>+I27*J27</f>
        <v>2338.92</v>
      </c>
    </row>
    <row r="28" spans="1:11" ht="12.75">
      <c r="A28" s="234" t="s">
        <v>359</v>
      </c>
      <c r="C28" s="234" t="s">
        <v>360</v>
      </c>
      <c r="F28" s="234" t="s">
        <v>351</v>
      </c>
      <c r="I28" s="246">
        <v>6</v>
      </c>
      <c r="J28" s="246">
        <v>389.82</v>
      </c>
      <c r="K28" s="246">
        <f>+I28*J28</f>
        <v>2338.92</v>
      </c>
    </row>
    <row r="29" spans="1:11" ht="12.75">
      <c r="A29" s="234" t="s">
        <v>361</v>
      </c>
      <c r="C29" s="250" t="s">
        <v>362</v>
      </c>
      <c r="F29" s="234" t="s">
        <v>351</v>
      </c>
      <c r="I29" s="246">
        <v>6</v>
      </c>
      <c r="J29" s="246">
        <v>389.82</v>
      </c>
      <c r="K29" s="246">
        <f>+I29*J29</f>
        <v>2338.92</v>
      </c>
    </row>
    <row r="30" spans="3:11" ht="12.75">
      <c r="C30" s="250"/>
      <c r="F30" s="234"/>
      <c r="K30" s="247">
        <f>SUM(K25:K29)</f>
        <v>11694.6</v>
      </c>
    </row>
    <row r="31" spans="1:5" ht="12.75">
      <c r="A31" s="238" t="s">
        <v>298</v>
      </c>
      <c r="C31" s="236" t="s">
        <v>363</v>
      </c>
      <c r="E31" s="236" t="s">
        <v>364</v>
      </c>
    </row>
    <row r="33" spans="1:10" ht="12.75">
      <c r="A33" s="239" t="s">
        <v>301</v>
      </c>
      <c r="C33" s="236" t="s">
        <v>342</v>
      </c>
      <c r="E33" s="240" t="s">
        <v>303</v>
      </c>
      <c r="I33" s="240" t="s">
        <v>343</v>
      </c>
      <c r="J33" s="241">
        <v>2500</v>
      </c>
    </row>
    <row r="35" spans="1:11" ht="12.75">
      <c r="A35" s="242" t="s">
        <v>305</v>
      </c>
      <c r="C35" s="242" t="s">
        <v>306</v>
      </c>
      <c r="F35" s="242" t="s">
        <v>36</v>
      </c>
      <c r="H35" s="235" t="s">
        <v>307</v>
      </c>
      <c r="I35" s="235" t="s">
        <v>123</v>
      </c>
      <c r="J35" s="235" t="s">
        <v>308</v>
      </c>
      <c r="K35" s="235" t="s">
        <v>309</v>
      </c>
    </row>
    <row r="36" ht="12.75">
      <c r="D36" s="243" t="s">
        <v>310</v>
      </c>
    </row>
    <row r="37" spans="1:11" ht="12.75">
      <c r="A37" s="234" t="s">
        <v>365</v>
      </c>
      <c r="C37" s="234" t="s">
        <v>366</v>
      </c>
      <c r="F37" s="234" t="s">
        <v>346</v>
      </c>
      <c r="I37" s="245">
        <v>1</v>
      </c>
      <c r="J37" s="246">
        <v>2500</v>
      </c>
      <c r="K37" s="246">
        <v>2500</v>
      </c>
    </row>
    <row r="38" ht="12.75">
      <c r="K38" s="247">
        <v>2500</v>
      </c>
    </row>
    <row r="40" spans="9:10" ht="12.75">
      <c r="I40" s="240" t="s">
        <v>367</v>
      </c>
      <c r="J40" s="248">
        <v>43130.63719907407</v>
      </c>
    </row>
  </sheetData>
  <sheetProtection/>
  <printOptions/>
  <pageMargins left="0.16664583593717452" right="0.16664583593717452" top="0.16664583593717452" bottom="0.16664583593717452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/>
  </sheetPr>
  <dimension ref="A1:H27"/>
  <sheetViews>
    <sheetView zoomScalePageLayoutView="0" workbookViewId="0" topLeftCell="A10">
      <selection activeCell="F28" sqref="F28"/>
    </sheetView>
  </sheetViews>
  <sheetFormatPr defaultColWidth="11.421875" defaultRowHeight="15"/>
  <cols>
    <col min="2" max="2" width="27.8515625" style="0" customWidth="1"/>
    <col min="3" max="3" width="11.421875" style="216" customWidth="1"/>
    <col min="4" max="4" width="11.140625" style="216" customWidth="1"/>
    <col min="5" max="5" width="14.57421875" style="216" bestFit="1" customWidth="1"/>
    <col min="6" max="6" width="11.7109375" style="0" bestFit="1" customWidth="1"/>
    <col min="8" max="8" width="16.140625" style="0" customWidth="1"/>
  </cols>
  <sheetData>
    <row r="1" spans="1:8" ht="36">
      <c r="A1" s="215" t="s">
        <v>257</v>
      </c>
      <c r="B1" s="215" t="s">
        <v>10</v>
      </c>
      <c r="C1" s="215" t="s">
        <v>123</v>
      </c>
      <c r="D1" s="215" t="s">
        <v>274</v>
      </c>
      <c r="E1" s="215" t="s">
        <v>278</v>
      </c>
      <c r="F1" s="215" t="s">
        <v>260</v>
      </c>
      <c r="G1" s="215" t="s">
        <v>261</v>
      </c>
      <c r="H1" s="215" t="s">
        <v>262</v>
      </c>
    </row>
    <row r="2" spans="1:8" ht="24">
      <c r="A2" s="208">
        <v>1</v>
      </c>
      <c r="B2" s="209" t="s">
        <v>263</v>
      </c>
      <c r="C2" s="214"/>
      <c r="D2" s="214"/>
      <c r="E2" s="214"/>
      <c r="F2" s="210">
        <f>SUM(F3:F4)</f>
        <v>499885.52400000003</v>
      </c>
      <c r="G2" s="223"/>
      <c r="H2" s="210">
        <f>SUM(H3:H4)</f>
        <v>423403.038828</v>
      </c>
    </row>
    <row r="3" spans="1:8" s="216" customFormat="1" ht="36">
      <c r="A3" s="208"/>
      <c r="B3" s="219" t="s">
        <v>273</v>
      </c>
      <c r="C3" s="212">
        <v>1</v>
      </c>
      <c r="D3" s="212" t="s">
        <v>36</v>
      </c>
      <c r="E3" s="262">
        <f>'COMPONENTE 1'!C3</f>
        <v>222469.3176</v>
      </c>
      <c r="F3" s="213">
        <f>C3*E3</f>
        <v>222469.3176</v>
      </c>
      <c r="G3" s="224">
        <v>0.847</v>
      </c>
      <c r="H3" s="225">
        <f>F3*G3</f>
        <v>188431.5120072</v>
      </c>
    </row>
    <row r="4" spans="1:8" s="216" customFormat="1" ht="24">
      <c r="A4" s="208"/>
      <c r="B4" s="219" t="s">
        <v>271</v>
      </c>
      <c r="C4" s="212">
        <f>'BALANCE OFERTA-DEMANDA'!D11*-1</f>
        <v>2</v>
      </c>
      <c r="D4" s="212" t="s">
        <v>36</v>
      </c>
      <c r="E4" s="262">
        <f>'COMPONENTE 1'!C4</f>
        <v>138708.1032</v>
      </c>
      <c r="F4" s="213">
        <f>C4*E4</f>
        <v>277416.2064</v>
      </c>
      <c r="G4" s="224">
        <v>0.847</v>
      </c>
      <c r="H4" s="225">
        <f>F4*G4</f>
        <v>234971.5268208</v>
      </c>
    </row>
    <row r="5" spans="1:8" ht="48">
      <c r="A5" s="208">
        <v>2</v>
      </c>
      <c r="B5" s="209" t="s">
        <v>264</v>
      </c>
      <c r="C5" s="214"/>
      <c r="D5" s="214"/>
      <c r="E5" s="214"/>
      <c r="F5" s="210">
        <f>F6</f>
        <v>3869800.2413999983</v>
      </c>
      <c r="G5" s="223"/>
      <c r="H5" s="210">
        <f>H6</f>
        <v>3277720.8044657987</v>
      </c>
    </row>
    <row r="6" spans="1:8" s="216" customFormat="1" ht="36">
      <c r="A6" s="208"/>
      <c r="B6" s="219" t="s">
        <v>265</v>
      </c>
      <c r="C6" s="212">
        <v>1</v>
      </c>
      <c r="D6" s="212" t="s">
        <v>275</v>
      </c>
      <c r="E6" s="321">
        <f>'COMPONENTE 2'!B2</f>
        <v>3869800.2413999983</v>
      </c>
      <c r="F6" s="213">
        <f>C6*E6</f>
        <v>3869800.2413999983</v>
      </c>
      <c r="G6" s="224">
        <v>0.847</v>
      </c>
      <c r="H6" s="225">
        <f>F6*G6</f>
        <v>3277720.8044657987</v>
      </c>
    </row>
    <row r="7" spans="1:8" ht="48">
      <c r="A7" s="208">
        <v>3</v>
      </c>
      <c r="B7" s="209" t="s">
        <v>266</v>
      </c>
      <c r="C7" s="214"/>
      <c r="D7" s="214"/>
      <c r="E7" s="214"/>
      <c r="F7" s="210">
        <f>SUM(F8:F10)</f>
        <v>176891.56</v>
      </c>
      <c r="G7" s="224"/>
      <c r="H7" s="210">
        <f>SUM(H8:H10)</f>
        <v>149827.15132</v>
      </c>
    </row>
    <row r="8" spans="1:8" s="216" customFormat="1" ht="24">
      <c r="A8" s="208"/>
      <c r="B8" s="219" t="s">
        <v>276</v>
      </c>
      <c r="C8" s="212">
        <f>'BALANCE OFERTA-DEMANDA'!D10*-1</f>
        <v>0</v>
      </c>
      <c r="D8" s="212" t="s">
        <v>36</v>
      </c>
      <c r="E8" s="260">
        <f>'COMPONENTE 3'!B2</f>
        <v>196872.16</v>
      </c>
      <c r="F8" s="213">
        <f>C8*E8</f>
        <v>0</v>
      </c>
      <c r="G8" s="224">
        <v>0.847</v>
      </c>
      <c r="H8" s="225">
        <f>F8*G8</f>
        <v>0</v>
      </c>
    </row>
    <row r="9" spans="1:8" s="216" customFormat="1" ht="36">
      <c r="A9" s="208"/>
      <c r="B9" s="219" t="s">
        <v>277</v>
      </c>
      <c r="C9" s="212">
        <v>1</v>
      </c>
      <c r="D9" s="212" t="s">
        <v>275</v>
      </c>
      <c r="E9" s="260">
        <f>'COMPONENTE 3'!B3</f>
        <v>96566.15999999999</v>
      </c>
      <c r="F9" s="213">
        <f>C9*E9</f>
        <v>96566.15999999999</v>
      </c>
      <c r="G9" s="224">
        <v>0.847</v>
      </c>
      <c r="H9" s="225">
        <f>F9*G9</f>
        <v>81791.53751999998</v>
      </c>
    </row>
    <row r="10" spans="1:8" s="216" customFormat="1" ht="24">
      <c r="A10" s="208"/>
      <c r="B10" s="219" t="s">
        <v>272</v>
      </c>
      <c r="C10" s="212">
        <v>1</v>
      </c>
      <c r="D10" s="212" t="s">
        <v>275</v>
      </c>
      <c r="E10" s="260">
        <f>'COMPONENTE 3'!B4</f>
        <v>80325.40000000001</v>
      </c>
      <c r="F10" s="213">
        <f>C10*E10</f>
        <v>80325.40000000001</v>
      </c>
      <c r="G10" s="224">
        <v>0.847</v>
      </c>
      <c r="H10" s="225">
        <f>F10*G10</f>
        <v>68035.6138</v>
      </c>
    </row>
    <row r="11" spans="1:8" ht="36">
      <c r="A11" s="208">
        <v>4</v>
      </c>
      <c r="B11" s="209" t="s">
        <v>267</v>
      </c>
      <c r="C11" s="214"/>
      <c r="D11" s="214"/>
      <c r="E11" s="214"/>
      <c r="F11" s="210">
        <f>E12</f>
        <v>38315.520000000004</v>
      </c>
      <c r="G11" s="224"/>
      <c r="H11" s="226">
        <f>H12</f>
        <v>34828.807680000005</v>
      </c>
    </row>
    <row r="12" spans="1:8" s="216" customFormat="1" ht="24">
      <c r="A12" s="208"/>
      <c r="B12" s="219" t="s">
        <v>268</v>
      </c>
      <c r="C12" s="212">
        <v>1</v>
      </c>
      <c r="D12" s="212" t="s">
        <v>275</v>
      </c>
      <c r="E12" s="213">
        <f>'COMPONENTE 4'!L12</f>
        <v>38315.520000000004</v>
      </c>
      <c r="F12" s="227">
        <f>C12*E12</f>
        <v>38315.520000000004</v>
      </c>
      <c r="G12" s="224">
        <v>0.909</v>
      </c>
      <c r="H12" s="225">
        <f>E12*G12</f>
        <v>34828.807680000005</v>
      </c>
    </row>
    <row r="13" spans="1:8" ht="60">
      <c r="A13" s="208">
        <v>5</v>
      </c>
      <c r="B13" s="209" t="s">
        <v>269</v>
      </c>
      <c r="C13" s="214"/>
      <c r="D13" s="214"/>
      <c r="E13" s="214"/>
      <c r="F13" s="210">
        <f>E14</f>
        <v>17313.16</v>
      </c>
      <c r="G13" s="224"/>
      <c r="H13" s="226">
        <f>H14</f>
        <v>15737.66244</v>
      </c>
    </row>
    <row r="14" spans="1:8" s="216" customFormat="1" ht="24">
      <c r="A14" s="208"/>
      <c r="B14" s="219" t="s">
        <v>270</v>
      </c>
      <c r="C14" s="212">
        <v>1</v>
      </c>
      <c r="D14" s="212" t="s">
        <v>275</v>
      </c>
      <c r="E14" s="213">
        <f>'COMPONENTE 5'!M12</f>
        <v>17313.16</v>
      </c>
      <c r="F14" s="227">
        <f>C14*E14</f>
        <v>17313.16</v>
      </c>
      <c r="G14" s="224">
        <v>0.909</v>
      </c>
      <c r="H14" s="225">
        <f>E14*G14</f>
        <v>15737.66244</v>
      </c>
    </row>
    <row r="15" spans="1:8" ht="15">
      <c r="A15" s="211"/>
      <c r="B15" s="214" t="s">
        <v>258</v>
      </c>
      <c r="C15" s="214"/>
      <c r="D15" s="214"/>
      <c r="E15" s="214"/>
      <c r="F15" s="210">
        <f>F2+F5+F7+F11+F13</f>
        <v>4602206.005399997</v>
      </c>
      <c r="G15" s="210"/>
      <c r="H15" s="210">
        <f>H2+H5+H7+H11+H13</f>
        <v>3901517.464733799</v>
      </c>
    </row>
    <row r="16" spans="1:8" ht="15">
      <c r="A16" s="211"/>
      <c r="B16" s="212" t="s">
        <v>406</v>
      </c>
      <c r="C16" s="212">
        <v>1</v>
      </c>
      <c r="D16" s="212" t="s">
        <v>275</v>
      </c>
      <c r="E16" s="213">
        <f>E26</f>
        <v>70691.21059999998</v>
      </c>
      <c r="F16" s="222">
        <f>C16*E16</f>
        <v>70691.21059999998</v>
      </c>
      <c r="G16" s="224">
        <v>0.909</v>
      </c>
      <c r="H16" s="225">
        <f>F16*G16</f>
        <v>64258.31043539998</v>
      </c>
    </row>
    <row r="17" spans="1:8" ht="24">
      <c r="A17" s="211"/>
      <c r="B17" s="212" t="s">
        <v>279</v>
      </c>
      <c r="C17" s="212">
        <v>1</v>
      </c>
      <c r="D17" s="212" t="s">
        <v>404</v>
      </c>
      <c r="E17" s="213">
        <f>E16</f>
        <v>70691.21059999998</v>
      </c>
      <c r="F17" s="222">
        <f>C17*E17</f>
        <v>70691.21059999998</v>
      </c>
      <c r="G17" s="224">
        <v>0.909</v>
      </c>
      <c r="H17" s="225">
        <f>F17*G17</f>
        <v>64258.31043539998</v>
      </c>
    </row>
    <row r="18" spans="1:8" s="216" customFormat="1" ht="15">
      <c r="A18" s="211"/>
      <c r="B18" s="212" t="s">
        <v>405</v>
      </c>
      <c r="C18" s="212">
        <v>1</v>
      </c>
      <c r="D18" s="212" t="s">
        <v>275</v>
      </c>
      <c r="E18" s="213">
        <f>F15*0.5%</f>
        <v>23011.030026999986</v>
      </c>
      <c r="F18" s="222">
        <f>C18*E18</f>
        <v>23011.030026999986</v>
      </c>
      <c r="G18" s="224">
        <v>0.909</v>
      </c>
      <c r="H18" s="225">
        <f>F18*G18</f>
        <v>20917.02629454299</v>
      </c>
    </row>
    <row r="19" spans="1:8" ht="15">
      <c r="A19" s="208"/>
      <c r="B19" s="214" t="s">
        <v>259</v>
      </c>
      <c r="C19" s="214"/>
      <c r="D19" s="214"/>
      <c r="E19" s="214"/>
      <c r="F19" s="210">
        <f>SUM(F15:F18)</f>
        <v>4766599.456626997</v>
      </c>
      <c r="G19" s="1"/>
      <c r="H19" s="210">
        <f>SUM(H15:H18)</f>
        <v>4050951.1118991417</v>
      </c>
    </row>
    <row r="23" ht="15">
      <c r="F23" s="375"/>
    </row>
    <row r="24" ht="15">
      <c r="F24" s="375"/>
    </row>
    <row r="25" spans="5:6" ht="15">
      <c r="E25" s="380">
        <f>'COMPONENTE 1'!F12+'COMPONENTE 2'!F99</f>
        <v>3534560.5299999984</v>
      </c>
      <c r="F25" s="374"/>
    </row>
    <row r="26" spans="5:6" ht="15">
      <c r="E26" s="380">
        <f>E25*2%</f>
        <v>70691.21059999998</v>
      </c>
      <c r="F26" s="374"/>
    </row>
    <row r="27" ht="15">
      <c r="F27" s="373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</sheetPr>
  <dimension ref="A2:K36"/>
  <sheetViews>
    <sheetView zoomScale="68" zoomScaleNormal="68" zoomScalePageLayoutView="0" workbookViewId="0" topLeftCell="A9">
      <selection activeCell="E22" sqref="E22"/>
    </sheetView>
  </sheetViews>
  <sheetFormatPr defaultColWidth="11.421875" defaultRowHeight="15"/>
  <cols>
    <col min="1" max="2" width="11.421875" style="1" customWidth="1"/>
    <col min="3" max="3" width="25.57421875" style="1" customWidth="1"/>
    <col min="4" max="4" width="28.8515625" style="1" customWidth="1"/>
    <col min="5" max="5" width="23.421875" style="1" customWidth="1"/>
    <col min="6" max="6" width="14.421875" style="1" bestFit="1" customWidth="1"/>
    <col min="7" max="16384" width="11.421875" style="1" customWidth="1"/>
  </cols>
  <sheetData>
    <row r="1" ht="15" customHeight="1"/>
    <row r="2" spans="2:6" ht="15">
      <c r="B2" s="403" t="s">
        <v>494</v>
      </c>
      <c r="C2" s="403"/>
      <c r="D2" s="404"/>
      <c r="E2" s="405"/>
      <c r="F2" s="406"/>
    </row>
    <row r="3" spans="2:6" ht="30">
      <c r="B3" s="311" t="s">
        <v>55</v>
      </c>
      <c r="C3" s="312" t="s">
        <v>491</v>
      </c>
      <c r="D3" s="400" t="s">
        <v>490</v>
      </c>
      <c r="E3" s="401"/>
      <c r="F3" s="313" t="s">
        <v>492</v>
      </c>
    </row>
    <row r="4" spans="2:6" ht="45">
      <c r="B4" s="310">
        <f>SUBTOTAL(103,$D$4:D4)</f>
        <v>1</v>
      </c>
      <c r="C4" s="312" t="s">
        <v>68</v>
      </c>
      <c r="D4" s="314" t="s">
        <v>69</v>
      </c>
      <c r="E4" s="314" t="s">
        <v>70</v>
      </c>
      <c r="F4" s="315" t="s">
        <v>493</v>
      </c>
    </row>
    <row r="5" spans="2:6" ht="45">
      <c r="B5" s="310">
        <f>SUBTOTAL(103,$D$4:D5)</f>
        <v>2</v>
      </c>
      <c r="C5" s="312" t="s">
        <v>71</v>
      </c>
      <c r="D5" s="314" t="s">
        <v>72</v>
      </c>
      <c r="E5" s="314" t="s">
        <v>73</v>
      </c>
      <c r="F5" s="315" t="s">
        <v>493</v>
      </c>
    </row>
    <row r="6" spans="2:6" ht="30">
      <c r="B6" s="310">
        <f>SUBTOTAL(103,$D$4:D6)</f>
        <v>3</v>
      </c>
      <c r="C6" s="312" t="s">
        <v>456</v>
      </c>
      <c r="D6" s="314" t="s">
        <v>74</v>
      </c>
      <c r="E6" s="314" t="s">
        <v>75</v>
      </c>
      <c r="F6" s="315" t="s">
        <v>493</v>
      </c>
    </row>
    <row r="7" spans="2:6" ht="45">
      <c r="B7" s="310">
        <f>SUBTOTAL(103,$D$4:D7)</f>
        <v>4</v>
      </c>
      <c r="C7" s="312" t="s">
        <v>76</v>
      </c>
      <c r="D7" s="314" t="s">
        <v>77</v>
      </c>
      <c r="E7" s="314" t="s">
        <v>78</v>
      </c>
      <c r="F7" s="315" t="s">
        <v>493</v>
      </c>
    </row>
    <row r="8" spans="2:6" ht="45" customHeight="1">
      <c r="B8" s="310">
        <f>SUBTOTAL(103,$D$4:D8)</f>
        <v>5</v>
      </c>
      <c r="C8" s="312" t="s">
        <v>79</v>
      </c>
      <c r="D8" s="314" t="s">
        <v>80</v>
      </c>
      <c r="E8" s="314" t="s">
        <v>81</v>
      </c>
      <c r="F8" s="315" t="s">
        <v>493</v>
      </c>
    </row>
    <row r="9" spans="2:6" ht="30">
      <c r="B9" s="310">
        <f>SUBTOTAL(103,$D$4:D9)</f>
        <v>6</v>
      </c>
      <c r="C9" s="312" t="s">
        <v>82</v>
      </c>
      <c r="D9" s="314" t="s">
        <v>83</v>
      </c>
      <c r="E9" s="314" t="s">
        <v>84</v>
      </c>
      <c r="F9" s="315" t="s">
        <v>493</v>
      </c>
    </row>
    <row r="10" spans="2:6" ht="45">
      <c r="B10" s="310">
        <f>SUBTOTAL(103,$D$4:D10)</f>
        <v>7</v>
      </c>
      <c r="C10" s="312" t="s">
        <v>85</v>
      </c>
      <c r="D10" s="314" t="s">
        <v>86</v>
      </c>
      <c r="E10" s="314" t="s">
        <v>87</v>
      </c>
      <c r="F10" s="315" t="s">
        <v>493</v>
      </c>
    </row>
    <row r="11" spans="2:6" ht="30">
      <c r="B11" s="310">
        <f>SUBTOTAL(103,$D$4:D11)</f>
        <v>8</v>
      </c>
      <c r="C11" s="312" t="s">
        <v>88</v>
      </c>
      <c r="D11" s="314" t="s">
        <v>89</v>
      </c>
      <c r="E11" s="314" t="s">
        <v>90</v>
      </c>
      <c r="F11" s="315" t="s">
        <v>493</v>
      </c>
    </row>
    <row r="12" spans="2:6" ht="30">
      <c r="B12" s="310">
        <f>SUBTOTAL(103,$D$4:D12)</f>
        <v>9</v>
      </c>
      <c r="C12" s="312" t="s">
        <v>457</v>
      </c>
      <c r="D12" s="314" t="s">
        <v>464</v>
      </c>
      <c r="E12" s="314" t="s">
        <v>465</v>
      </c>
      <c r="F12" s="315" t="s">
        <v>493</v>
      </c>
    </row>
    <row r="13" spans="2:6" ht="45" customHeight="1">
      <c r="B13" s="310">
        <f>SUBTOTAL(103,$D$4:D13)</f>
        <v>10</v>
      </c>
      <c r="C13" s="312" t="s">
        <v>92</v>
      </c>
      <c r="D13" s="314" t="s">
        <v>93</v>
      </c>
      <c r="E13" s="314" t="s">
        <v>94</v>
      </c>
      <c r="F13" s="315" t="s">
        <v>493</v>
      </c>
    </row>
    <row r="14" spans="2:6" ht="45" customHeight="1">
      <c r="B14" s="310">
        <f>SUBTOTAL(103,$D$4:D14)</f>
        <v>11</v>
      </c>
      <c r="C14" s="312" t="s">
        <v>91</v>
      </c>
      <c r="D14" s="314" t="s">
        <v>95</v>
      </c>
      <c r="E14" s="314" t="s">
        <v>96</v>
      </c>
      <c r="F14" s="315" t="s">
        <v>493</v>
      </c>
    </row>
    <row r="15" spans="2:6" ht="45" customHeight="1">
      <c r="B15" s="310">
        <f>SUBTOTAL(103,$D$4:D15)</f>
        <v>12</v>
      </c>
      <c r="C15" s="312" t="s">
        <v>458</v>
      </c>
      <c r="D15" s="314" t="s">
        <v>466</v>
      </c>
      <c r="E15" s="314" t="s">
        <v>467</v>
      </c>
      <c r="F15" s="315" t="s">
        <v>493</v>
      </c>
    </row>
    <row r="16" spans="2:6" ht="45" customHeight="1">
      <c r="B16" s="310">
        <f>SUBTOTAL(103,$D$4:D16)</f>
        <v>13</v>
      </c>
      <c r="C16" s="312" t="s">
        <v>97</v>
      </c>
      <c r="D16" s="314" t="s">
        <v>99</v>
      </c>
      <c r="E16" s="314" t="s">
        <v>100</v>
      </c>
      <c r="F16" s="315" t="s">
        <v>493</v>
      </c>
    </row>
    <row r="17" spans="2:6" ht="45" customHeight="1">
      <c r="B17" s="310">
        <f>SUBTOTAL(103,$D$4:D17)</f>
        <v>14</v>
      </c>
      <c r="C17" s="312" t="s">
        <v>98</v>
      </c>
      <c r="D17" s="314" t="s">
        <v>102</v>
      </c>
      <c r="E17" s="314" t="s">
        <v>103</v>
      </c>
      <c r="F17" s="315" t="s">
        <v>493</v>
      </c>
    </row>
    <row r="18" spans="2:6" ht="45" customHeight="1">
      <c r="B18" s="310">
        <f>SUBTOTAL(103,$D$4:D18)</f>
        <v>15</v>
      </c>
      <c r="C18" s="312" t="s">
        <v>101</v>
      </c>
      <c r="D18" s="314" t="s">
        <v>104</v>
      </c>
      <c r="E18" s="314" t="s">
        <v>105</v>
      </c>
      <c r="F18" s="315" t="s">
        <v>493</v>
      </c>
    </row>
    <row r="19" spans="2:11" ht="45" customHeight="1">
      <c r="B19" s="310">
        <f>SUBTOTAL(103,$D$4:D19)</f>
        <v>16</v>
      </c>
      <c r="C19" s="312" t="s">
        <v>459</v>
      </c>
      <c r="D19" s="314" t="s">
        <v>468</v>
      </c>
      <c r="E19" s="314" t="s">
        <v>469</v>
      </c>
      <c r="F19" s="315" t="s">
        <v>493</v>
      </c>
      <c r="I19" s="329" t="s">
        <v>10</v>
      </c>
      <c r="J19" s="402" t="s">
        <v>119</v>
      </c>
      <c r="K19" s="402"/>
    </row>
    <row r="20" spans="2:11" ht="45" customHeight="1">
      <c r="B20" s="310">
        <f>SUBTOTAL(103,$D$4:D20)</f>
        <v>17</v>
      </c>
      <c r="C20" s="312" t="s">
        <v>460</v>
      </c>
      <c r="D20" s="314" t="s">
        <v>470</v>
      </c>
      <c r="E20" s="314" t="s">
        <v>471</v>
      </c>
      <c r="F20" s="315" t="s">
        <v>493</v>
      </c>
      <c r="I20" s="328" t="s">
        <v>106</v>
      </c>
      <c r="J20" s="378" t="s">
        <v>107</v>
      </c>
      <c r="K20" s="378" t="s">
        <v>108</v>
      </c>
    </row>
    <row r="21" spans="2:11" ht="45">
      <c r="B21" s="310">
        <f>SUBTOTAL(103,$D$4:D21)</f>
        <v>18</v>
      </c>
      <c r="C21" s="312" t="s">
        <v>461</v>
      </c>
      <c r="D21" s="314" t="s">
        <v>472</v>
      </c>
      <c r="E21" s="314" t="s">
        <v>473</v>
      </c>
      <c r="F21" s="315" t="s">
        <v>493</v>
      </c>
      <c r="I21" s="327" t="s">
        <v>109</v>
      </c>
      <c r="J21" s="379" t="s">
        <v>110</v>
      </c>
      <c r="K21" s="379" t="s">
        <v>111</v>
      </c>
    </row>
    <row r="22" spans="2:11" ht="30">
      <c r="B22" s="310">
        <f>SUBTOTAL(103,$D$4:D22)</f>
        <v>19</v>
      </c>
      <c r="C22" s="312" t="s">
        <v>462</v>
      </c>
      <c r="D22" s="314" t="s">
        <v>474</v>
      </c>
      <c r="E22" s="314" t="s">
        <v>475</v>
      </c>
      <c r="F22" s="315" t="s">
        <v>493</v>
      </c>
      <c r="I22" s="327" t="s">
        <v>112</v>
      </c>
      <c r="J22" s="378" t="s">
        <v>113</v>
      </c>
      <c r="K22" s="378" t="s">
        <v>114</v>
      </c>
    </row>
    <row r="23" spans="2:6" ht="30">
      <c r="B23" s="310">
        <f>SUBTOTAL(103,$D$4:D23)</f>
        <v>20</v>
      </c>
      <c r="C23" s="312" t="s">
        <v>463</v>
      </c>
      <c r="D23" s="314" t="s">
        <v>476</v>
      </c>
      <c r="E23" s="314" t="s">
        <v>477</v>
      </c>
      <c r="F23" s="314" t="s">
        <v>493</v>
      </c>
    </row>
    <row r="24" spans="2:6" ht="15">
      <c r="B24" s="407" t="s">
        <v>601</v>
      </c>
      <c r="C24" s="407"/>
      <c r="D24" s="376" t="s">
        <v>107</v>
      </c>
      <c r="E24" s="376" t="s">
        <v>108</v>
      </c>
      <c r="F24" s="408"/>
    </row>
    <row r="25" spans="1:6" ht="15">
      <c r="A25" s="325"/>
      <c r="B25" s="407" t="s">
        <v>603</v>
      </c>
      <c r="C25" s="407"/>
      <c r="D25" s="377" t="s">
        <v>110</v>
      </c>
      <c r="E25" s="377" t="s">
        <v>111</v>
      </c>
      <c r="F25" s="409"/>
    </row>
    <row r="26" spans="1:6" ht="15" customHeight="1">
      <c r="A26" s="325"/>
      <c r="B26" s="407" t="s">
        <v>602</v>
      </c>
      <c r="C26" s="407"/>
      <c r="D26" s="376" t="s">
        <v>113</v>
      </c>
      <c r="E26" s="376" t="s">
        <v>114</v>
      </c>
      <c r="F26" s="410"/>
    </row>
    <row r="27" ht="15">
      <c r="A27" s="325"/>
    </row>
    <row r="28" ht="15">
      <c r="A28" s="325"/>
    </row>
    <row r="29" ht="15">
      <c r="A29" s="325"/>
    </row>
    <row r="30" ht="15">
      <c r="A30" s="325"/>
    </row>
    <row r="31" spans="1:3" ht="15">
      <c r="A31" s="325"/>
      <c r="B31" s="325"/>
      <c r="C31" s="325"/>
    </row>
    <row r="32" spans="1:3" ht="15">
      <c r="A32" s="325"/>
      <c r="B32" s="325"/>
      <c r="C32" s="325"/>
    </row>
    <row r="33" spans="1:3" ht="15">
      <c r="A33" s="325"/>
      <c r="B33" s="325"/>
      <c r="C33" s="325"/>
    </row>
    <row r="34" spans="1:3" ht="15">
      <c r="A34" s="325"/>
      <c r="B34" s="325"/>
      <c r="C34" s="325"/>
    </row>
    <row r="35" spans="1:3" ht="15">
      <c r="A35" s="325"/>
      <c r="B35" s="325"/>
      <c r="C35" s="325"/>
    </row>
    <row r="36" spans="1:3" ht="15">
      <c r="A36" s="325"/>
      <c r="B36" s="325"/>
      <c r="C36" s="325"/>
    </row>
  </sheetData>
  <sheetProtection/>
  <mergeCells count="7">
    <mergeCell ref="D3:E3"/>
    <mergeCell ref="J19:K19"/>
    <mergeCell ref="B2:F2"/>
    <mergeCell ref="B24:C24"/>
    <mergeCell ref="B25:C25"/>
    <mergeCell ref="B26:C26"/>
    <mergeCell ref="F24:F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/>
  </sheetPr>
  <dimension ref="A1:IV73"/>
  <sheetViews>
    <sheetView zoomScalePageLayoutView="0" workbookViewId="0" topLeftCell="A1">
      <selection activeCell="J58" sqref="J58"/>
    </sheetView>
  </sheetViews>
  <sheetFormatPr defaultColWidth="11.421875" defaultRowHeight="15"/>
  <cols>
    <col min="2" max="2" width="13.00390625" style="0" bestFit="1" customWidth="1"/>
    <col min="3" max="3" width="12.00390625" style="0" bestFit="1" customWidth="1"/>
    <col min="10" max="10" width="13.00390625" style="0" customWidth="1"/>
  </cols>
  <sheetData>
    <row r="1" s="415" customFormat="1" ht="15">
      <c r="A1" s="414" t="s">
        <v>0</v>
      </c>
    </row>
    <row r="2" s="415" customFormat="1" ht="15.75">
      <c r="A2" s="416" t="s">
        <v>1</v>
      </c>
    </row>
    <row r="3" spans="1:256" ht="38.25">
      <c r="A3" s="2" t="s">
        <v>2</v>
      </c>
      <c r="B3" s="2" t="s">
        <v>5</v>
      </c>
      <c r="C3" s="2" t="s">
        <v>7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" ht="15">
      <c r="A4" s="4">
        <v>2000</v>
      </c>
      <c r="B4" s="16">
        <v>19283</v>
      </c>
    </row>
    <row r="5" spans="1:3" ht="15">
      <c r="A5" s="4">
        <v>2001</v>
      </c>
      <c r="B5" s="16">
        <v>19031</v>
      </c>
      <c r="C5" s="8">
        <f>((B5/B4)^(1/(A5-A4)))-1</f>
        <v>-0.013068505937872787</v>
      </c>
    </row>
    <row r="6" spans="1:10" ht="45">
      <c r="A6" s="4">
        <v>2002</v>
      </c>
      <c r="B6" s="16">
        <v>18772</v>
      </c>
      <c r="C6" s="8">
        <f aca="true" t="shared" si="0" ref="C6:C21">((B6/B5)^(1/(A6-A5)))-1</f>
        <v>-0.013609374178971123</v>
      </c>
      <c r="H6" s="12" t="s">
        <v>2</v>
      </c>
      <c r="I6" s="12" t="s">
        <v>6</v>
      </c>
      <c r="J6" s="13" t="s">
        <v>7</v>
      </c>
    </row>
    <row r="7" spans="1:10" ht="15">
      <c r="A7" s="4">
        <v>2003</v>
      </c>
      <c r="B7" s="16">
        <v>18499</v>
      </c>
      <c r="C7" s="8">
        <f t="shared" si="0"/>
        <v>-0.01454293628808867</v>
      </c>
      <c r="H7" s="14">
        <v>1993</v>
      </c>
      <c r="I7" s="14">
        <v>19275</v>
      </c>
      <c r="J7" s="412">
        <f>((I8/I7)^(1/(H8-H7)))-1</f>
        <v>-0.010939371515099938</v>
      </c>
    </row>
    <row r="8" spans="1:10" ht="15">
      <c r="A8" s="4">
        <v>2004</v>
      </c>
      <c r="B8" s="16">
        <v>18216</v>
      </c>
      <c r="C8" s="8">
        <f t="shared" si="0"/>
        <v>-0.015298124222930976</v>
      </c>
      <c r="H8" s="14">
        <v>2007</v>
      </c>
      <c r="I8" s="15">
        <v>16524</v>
      </c>
      <c r="J8" s="412"/>
    </row>
    <row r="9" spans="1:3" ht="15">
      <c r="A9" s="4">
        <v>2005</v>
      </c>
      <c r="B9" s="16">
        <v>17928</v>
      </c>
      <c r="C9" s="8">
        <f t="shared" si="0"/>
        <v>-0.015810276679841917</v>
      </c>
    </row>
    <row r="10" spans="1:10" ht="15">
      <c r="A10" s="4">
        <v>2006</v>
      </c>
      <c r="B10" s="16">
        <v>17619</v>
      </c>
      <c r="C10" s="8">
        <f t="shared" si="0"/>
        <v>-0.017235609103078975</v>
      </c>
      <c r="H10" s="14">
        <v>2018</v>
      </c>
      <c r="I10" s="22">
        <f>ROUNDUP(I8*((1+E70)^(H10-H8)),0)</f>
        <v>18021</v>
      </c>
      <c r="J10" s="8"/>
    </row>
    <row r="11" spans="1:3" ht="15">
      <c r="A11" s="4">
        <v>2007</v>
      </c>
      <c r="B11" s="16">
        <v>17308</v>
      </c>
      <c r="C11" s="8">
        <f t="shared" si="0"/>
        <v>-0.017651399057835304</v>
      </c>
    </row>
    <row r="12" spans="1:3" ht="15">
      <c r="A12" s="4">
        <v>2008</v>
      </c>
      <c r="B12" s="16">
        <v>16985</v>
      </c>
      <c r="C12" s="8">
        <f t="shared" si="0"/>
        <v>-0.018661890455280772</v>
      </c>
    </row>
    <row r="13" spans="1:3" ht="15">
      <c r="A13" s="4">
        <v>2009</v>
      </c>
      <c r="B13" s="16">
        <v>16664</v>
      </c>
      <c r="C13" s="8">
        <f t="shared" si="0"/>
        <v>-0.01889902855460701</v>
      </c>
    </row>
    <row r="14" spans="1:3" ht="15">
      <c r="A14" s="4">
        <v>2010</v>
      </c>
      <c r="B14" s="16">
        <v>16340</v>
      </c>
      <c r="C14" s="8">
        <f t="shared" si="0"/>
        <v>-0.019443110897743643</v>
      </c>
    </row>
    <row r="15" spans="1:3" ht="15">
      <c r="A15" s="4">
        <v>2011</v>
      </c>
      <c r="B15" s="16">
        <v>16017</v>
      </c>
      <c r="C15" s="8">
        <f t="shared" si="0"/>
        <v>-0.019767441860465085</v>
      </c>
    </row>
    <row r="16" spans="1:3" ht="15">
      <c r="A16" s="4">
        <v>2012</v>
      </c>
      <c r="B16" s="16">
        <v>15687</v>
      </c>
      <c r="C16" s="8">
        <f t="shared" si="0"/>
        <v>-0.020603109196478786</v>
      </c>
    </row>
    <row r="17" spans="1:3" ht="15">
      <c r="A17" s="4">
        <v>2013</v>
      </c>
      <c r="B17" s="16">
        <v>15371</v>
      </c>
      <c r="C17" s="8">
        <f t="shared" si="0"/>
        <v>-0.02014406833683946</v>
      </c>
    </row>
    <row r="18" spans="1:3" ht="15">
      <c r="A18" s="4">
        <v>2014</v>
      </c>
      <c r="B18" s="16">
        <v>15051</v>
      </c>
      <c r="C18" s="8">
        <f t="shared" si="0"/>
        <v>-0.020818424305510397</v>
      </c>
    </row>
    <row r="19" spans="1:3" ht="15">
      <c r="A19" s="4">
        <v>2015</v>
      </c>
      <c r="B19" s="16">
        <v>14717</v>
      </c>
      <c r="C19" s="8">
        <f t="shared" si="0"/>
        <v>-0.022191216530463076</v>
      </c>
    </row>
    <row r="20" spans="1:3" ht="15">
      <c r="A20" s="4">
        <v>2016</v>
      </c>
      <c r="B20" s="16">
        <v>14573</v>
      </c>
      <c r="C20" s="8">
        <f t="shared" si="0"/>
        <v>-0.009784602840252732</v>
      </c>
    </row>
    <row r="21" spans="1:3" ht="15">
      <c r="A21" s="4">
        <v>2017</v>
      </c>
      <c r="B21" s="16">
        <v>14433</v>
      </c>
      <c r="C21" s="8">
        <f t="shared" si="0"/>
        <v>-0.009606807109037274</v>
      </c>
    </row>
    <row r="22" spans="1:3" ht="15">
      <c r="A22" s="4"/>
      <c r="B22" s="4"/>
      <c r="C22" s="5"/>
    </row>
    <row r="23" spans="1:256" s="415" customFormat="1" ht="15">
      <c r="A23" s="417" t="s">
        <v>3</v>
      </c>
      <c r="B23" s="417"/>
      <c r="C23" s="417"/>
      <c r="D23" s="417"/>
      <c r="E23" s="417"/>
      <c r="F23" s="417"/>
      <c r="G23" s="417"/>
      <c r="H23" s="417"/>
      <c r="I23" s="417"/>
      <c r="J23" s="417"/>
      <c r="K23" s="417"/>
      <c r="L23" s="417"/>
      <c r="M23" s="417"/>
      <c r="N23" s="417"/>
      <c r="O23" s="417"/>
      <c r="P23" s="417"/>
      <c r="Q23" s="417"/>
      <c r="R23" s="417"/>
      <c r="S23" s="417"/>
      <c r="T23" s="417"/>
      <c r="U23" s="417"/>
      <c r="V23" s="417"/>
      <c r="W23" s="417"/>
      <c r="X23" s="417"/>
      <c r="Y23" s="417"/>
      <c r="Z23" s="417"/>
      <c r="AA23" s="417"/>
      <c r="AB23" s="417"/>
      <c r="AC23" s="417"/>
      <c r="AD23" s="417"/>
      <c r="AE23" s="417"/>
      <c r="AF23" s="417"/>
      <c r="AG23" s="417"/>
      <c r="AH23" s="417"/>
      <c r="AI23" s="417"/>
      <c r="AJ23" s="417"/>
      <c r="AK23" s="417"/>
      <c r="AL23" s="417"/>
      <c r="AM23" s="417"/>
      <c r="AN23" s="417"/>
      <c r="AO23" s="417"/>
      <c r="AP23" s="417"/>
      <c r="AQ23" s="417"/>
      <c r="AR23" s="417"/>
      <c r="AS23" s="417"/>
      <c r="AT23" s="417"/>
      <c r="AU23" s="417"/>
      <c r="AV23" s="417"/>
      <c r="AW23" s="417"/>
      <c r="AX23" s="417"/>
      <c r="AY23" s="417"/>
      <c r="AZ23" s="417"/>
      <c r="BA23" s="417"/>
      <c r="BB23" s="417"/>
      <c r="BC23" s="417"/>
      <c r="BD23" s="417"/>
      <c r="BE23" s="417"/>
      <c r="BF23" s="417"/>
      <c r="BG23" s="417"/>
      <c r="BH23" s="417"/>
      <c r="BI23" s="417"/>
      <c r="BJ23" s="417"/>
      <c r="BK23" s="417"/>
      <c r="BL23" s="417"/>
      <c r="BM23" s="417"/>
      <c r="BN23" s="417"/>
      <c r="BO23" s="417"/>
      <c r="BP23" s="417"/>
      <c r="BQ23" s="417"/>
      <c r="BR23" s="417"/>
      <c r="BS23" s="417"/>
      <c r="BT23" s="417"/>
      <c r="BU23" s="417"/>
      <c r="BV23" s="417"/>
      <c r="BW23" s="417"/>
      <c r="BX23" s="417"/>
      <c r="BY23" s="417"/>
      <c r="BZ23" s="417"/>
      <c r="CA23" s="417"/>
      <c r="CB23" s="417"/>
      <c r="CC23" s="417"/>
      <c r="CD23" s="417"/>
      <c r="CE23" s="417"/>
      <c r="CF23" s="417"/>
      <c r="CG23" s="417"/>
      <c r="CH23" s="417"/>
      <c r="CI23" s="417"/>
      <c r="CJ23" s="417"/>
      <c r="CK23" s="417"/>
      <c r="CL23" s="417"/>
      <c r="CM23" s="417"/>
      <c r="CN23" s="417"/>
      <c r="CO23" s="417"/>
      <c r="CP23" s="417"/>
      <c r="CQ23" s="417"/>
      <c r="CR23" s="417"/>
      <c r="CS23" s="417"/>
      <c r="CT23" s="417"/>
      <c r="CU23" s="417"/>
      <c r="CV23" s="417"/>
      <c r="CW23" s="417"/>
      <c r="CX23" s="417"/>
      <c r="CY23" s="417"/>
      <c r="CZ23" s="417"/>
      <c r="DA23" s="417"/>
      <c r="DB23" s="417"/>
      <c r="DC23" s="417"/>
      <c r="DD23" s="417"/>
      <c r="DE23" s="417"/>
      <c r="DF23" s="417"/>
      <c r="DG23" s="417"/>
      <c r="DH23" s="417"/>
      <c r="DI23" s="417"/>
      <c r="DJ23" s="417"/>
      <c r="DK23" s="417"/>
      <c r="DL23" s="417"/>
      <c r="DM23" s="417"/>
      <c r="DN23" s="417"/>
      <c r="DO23" s="417"/>
      <c r="DP23" s="417"/>
      <c r="DQ23" s="417"/>
      <c r="DR23" s="417"/>
      <c r="DS23" s="417"/>
      <c r="DT23" s="417"/>
      <c r="DU23" s="417"/>
      <c r="DV23" s="417"/>
      <c r="DW23" s="417"/>
      <c r="DX23" s="417"/>
      <c r="DY23" s="417"/>
      <c r="DZ23" s="417"/>
      <c r="EA23" s="417"/>
      <c r="EB23" s="417"/>
      <c r="EC23" s="417"/>
      <c r="ED23" s="417"/>
      <c r="EE23" s="417"/>
      <c r="EF23" s="417"/>
      <c r="EG23" s="417"/>
      <c r="EH23" s="417"/>
      <c r="EI23" s="417"/>
      <c r="EJ23" s="417"/>
      <c r="EK23" s="417"/>
      <c r="EL23" s="417"/>
      <c r="EM23" s="417"/>
      <c r="EN23" s="417"/>
      <c r="EO23" s="417"/>
      <c r="EP23" s="417"/>
      <c r="EQ23" s="417"/>
      <c r="ER23" s="417"/>
      <c r="ES23" s="417"/>
      <c r="ET23" s="417"/>
      <c r="EU23" s="417"/>
      <c r="EV23" s="417"/>
      <c r="EW23" s="417"/>
      <c r="EX23" s="417"/>
      <c r="EY23" s="417"/>
      <c r="EZ23" s="417"/>
      <c r="FA23" s="417"/>
      <c r="FB23" s="417"/>
      <c r="FC23" s="417"/>
      <c r="FD23" s="417"/>
      <c r="FE23" s="417"/>
      <c r="FF23" s="417"/>
      <c r="FG23" s="417"/>
      <c r="FH23" s="417"/>
      <c r="FI23" s="417"/>
      <c r="FJ23" s="417"/>
      <c r="FK23" s="417"/>
      <c r="FL23" s="417"/>
      <c r="FM23" s="417"/>
      <c r="FN23" s="417"/>
      <c r="FO23" s="417"/>
      <c r="FP23" s="417"/>
      <c r="FQ23" s="417"/>
      <c r="FR23" s="417"/>
      <c r="FS23" s="417"/>
      <c r="FT23" s="417"/>
      <c r="FU23" s="417"/>
      <c r="FV23" s="417"/>
      <c r="FW23" s="417"/>
      <c r="FX23" s="417"/>
      <c r="FY23" s="417"/>
      <c r="FZ23" s="417"/>
      <c r="GA23" s="417"/>
      <c r="GB23" s="417"/>
      <c r="GC23" s="417"/>
      <c r="GD23" s="417"/>
      <c r="GE23" s="417"/>
      <c r="GF23" s="417"/>
      <c r="GG23" s="417"/>
      <c r="GH23" s="417"/>
      <c r="GI23" s="417"/>
      <c r="GJ23" s="417"/>
      <c r="GK23" s="417"/>
      <c r="GL23" s="417"/>
      <c r="GM23" s="417"/>
      <c r="GN23" s="417"/>
      <c r="GO23" s="417"/>
      <c r="GP23" s="417"/>
      <c r="GQ23" s="417"/>
      <c r="GR23" s="417"/>
      <c r="GS23" s="417"/>
      <c r="GT23" s="417"/>
      <c r="GU23" s="417"/>
      <c r="GV23" s="417"/>
      <c r="GW23" s="417"/>
      <c r="GX23" s="417"/>
      <c r="GY23" s="417"/>
      <c r="GZ23" s="417"/>
      <c r="HA23" s="417"/>
      <c r="HB23" s="417"/>
      <c r="HC23" s="417"/>
      <c r="HD23" s="417"/>
      <c r="HE23" s="417"/>
      <c r="HF23" s="417"/>
      <c r="HG23" s="417"/>
      <c r="HH23" s="417"/>
      <c r="HI23" s="417"/>
      <c r="HJ23" s="417"/>
      <c r="HK23" s="417"/>
      <c r="HL23" s="417"/>
      <c r="HM23" s="417"/>
      <c r="HN23" s="417"/>
      <c r="HO23" s="417"/>
      <c r="HP23" s="417"/>
      <c r="HQ23" s="417"/>
      <c r="HR23" s="417"/>
      <c r="HS23" s="417"/>
      <c r="HT23" s="417"/>
      <c r="HU23" s="417"/>
      <c r="HV23" s="417"/>
      <c r="HW23" s="417"/>
      <c r="HX23" s="417"/>
      <c r="HY23" s="417"/>
      <c r="HZ23" s="417"/>
      <c r="IA23" s="417"/>
      <c r="IB23" s="417"/>
      <c r="IC23" s="417"/>
      <c r="ID23" s="417"/>
      <c r="IE23" s="417"/>
      <c r="IF23" s="417"/>
      <c r="IG23" s="417"/>
      <c r="IH23" s="417"/>
      <c r="II23" s="417"/>
      <c r="IJ23" s="417"/>
      <c r="IK23" s="417"/>
      <c r="IL23" s="417"/>
      <c r="IM23" s="417"/>
      <c r="IN23" s="417"/>
      <c r="IO23" s="417"/>
      <c r="IP23" s="417"/>
      <c r="IQ23" s="417"/>
      <c r="IR23" s="417"/>
      <c r="IS23" s="417"/>
      <c r="IT23" s="417"/>
      <c r="IU23" s="417"/>
      <c r="IV23" s="417"/>
    </row>
    <row r="24" spans="1:256" s="415" customFormat="1" ht="15">
      <c r="A24" s="417" t="s">
        <v>4</v>
      </c>
      <c r="B24" s="417"/>
      <c r="C24" s="417"/>
      <c r="D24" s="417"/>
      <c r="E24" s="417"/>
      <c r="F24" s="417"/>
      <c r="G24" s="417"/>
      <c r="H24" s="417"/>
      <c r="I24" s="417"/>
      <c r="J24" s="417"/>
      <c r="K24" s="417"/>
      <c r="L24" s="417"/>
      <c r="M24" s="417"/>
      <c r="N24" s="417"/>
      <c r="O24" s="417"/>
      <c r="P24" s="417"/>
      <c r="Q24" s="417"/>
      <c r="R24" s="417"/>
      <c r="S24" s="417"/>
      <c r="T24" s="417"/>
      <c r="U24" s="417"/>
      <c r="V24" s="417"/>
      <c r="W24" s="417"/>
      <c r="X24" s="417"/>
      <c r="Y24" s="417"/>
      <c r="Z24" s="417"/>
      <c r="AA24" s="417"/>
      <c r="AB24" s="417"/>
      <c r="AC24" s="417"/>
      <c r="AD24" s="417"/>
      <c r="AE24" s="417"/>
      <c r="AF24" s="417"/>
      <c r="AG24" s="417"/>
      <c r="AH24" s="417"/>
      <c r="AI24" s="417"/>
      <c r="AJ24" s="417"/>
      <c r="AK24" s="417"/>
      <c r="AL24" s="417"/>
      <c r="AM24" s="417"/>
      <c r="AN24" s="417"/>
      <c r="AO24" s="417"/>
      <c r="AP24" s="417"/>
      <c r="AQ24" s="417"/>
      <c r="AR24" s="417"/>
      <c r="AS24" s="417"/>
      <c r="AT24" s="417"/>
      <c r="AU24" s="417"/>
      <c r="AV24" s="417"/>
      <c r="AW24" s="417"/>
      <c r="AX24" s="417"/>
      <c r="AY24" s="417"/>
      <c r="AZ24" s="417"/>
      <c r="BA24" s="417"/>
      <c r="BB24" s="417"/>
      <c r="BC24" s="417"/>
      <c r="BD24" s="417"/>
      <c r="BE24" s="417"/>
      <c r="BF24" s="417"/>
      <c r="BG24" s="417"/>
      <c r="BH24" s="417"/>
      <c r="BI24" s="417"/>
      <c r="BJ24" s="417"/>
      <c r="BK24" s="417"/>
      <c r="BL24" s="417"/>
      <c r="BM24" s="417"/>
      <c r="BN24" s="417"/>
      <c r="BO24" s="417"/>
      <c r="BP24" s="417"/>
      <c r="BQ24" s="417"/>
      <c r="BR24" s="417"/>
      <c r="BS24" s="417"/>
      <c r="BT24" s="417"/>
      <c r="BU24" s="417"/>
      <c r="BV24" s="417"/>
      <c r="BW24" s="417"/>
      <c r="BX24" s="417"/>
      <c r="BY24" s="417"/>
      <c r="BZ24" s="417"/>
      <c r="CA24" s="417"/>
      <c r="CB24" s="417"/>
      <c r="CC24" s="417"/>
      <c r="CD24" s="417"/>
      <c r="CE24" s="417"/>
      <c r="CF24" s="417"/>
      <c r="CG24" s="417"/>
      <c r="CH24" s="417"/>
      <c r="CI24" s="417"/>
      <c r="CJ24" s="417"/>
      <c r="CK24" s="417"/>
      <c r="CL24" s="417"/>
      <c r="CM24" s="417"/>
      <c r="CN24" s="417"/>
      <c r="CO24" s="417"/>
      <c r="CP24" s="417"/>
      <c r="CQ24" s="417"/>
      <c r="CR24" s="417"/>
      <c r="CS24" s="417"/>
      <c r="CT24" s="417"/>
      <c r="CU24" s="417"/>
      <c r="CV24" s="417"/>
      <c r="CW24" s="417"/>
      <c r="CX24" s="417"/>
      <c r="CY24" s="417"/>
      <c r="CZ24" s="417"/>
      <c r="DA24" s="417"/>
      <c r="DB24" s="417"/>
      <c r="DC24" s="417"/>
      <c r="DD24" s="417"/>
      <c r="DE24" s="417"/>
      <c r="DF24" s="417"/>
      <c r="DG24" s="417"/>
      <c r="DH24" s="417"/>
      <c r="DI24" s="417"/>
      <c r="DJ24" s="417"/>
      <c r="DK24" s="417"/>
      <c r="DL24" s="417"/>
      <c r="DM24" s="417"/>
      <c r="DN24" s="417"/>
      <c r="DO24" s="417"/>
      <c r="DP24" s="417"/>
      <c r="DQ24" s="417"/>
      <c r="DR24" s="417"/>
      <c r="DS24" s="417"/>
      <c r="DT24" s="417"/>
      <c r="DU24" s="417"/>
      <c r="DV24" s="417"/>
      <c r="DW24" s="417"/>
      <c r="DX24" s="417"/>
      <c r="DY24" s="417"/>
      <c r="DZ24" s="417"/>
      <c r="EA24" s="417"/>
      <c r="EB24" s="417"/>
      <c r="EC24" s="417"/>
      <c r="ED24" s="417"/>
      <c r="EE24" s="417"/>
      <c r="EF24" s="417"/>
      <c r="EG24" s="417"/>
      <c r="EH24" s="417"/>
      <c r="EI24" s="417"/>
      <c r="EJ24" s="417"/>
      <c r="EK24" s="417"/>
      <c r="EL24" s="417"/>
      <c r="EM24" s="417"/>
      <c r="EN24" s="417"/>
      <c r="EO24" s="417"/>
      <c r="EP24" s="417"/>
      <c r="EQ24" s="417"/>
      <c r="ER24" s="417"/>
      <c r="ES24" s="417"/>
      <c r="ET24" s="417"/>
      <c r="EU24" s="417"/>
      <c r="EV24" s="417"/>
      <c r="EW24" s="417"/>
      <c r="EX24" s="417"/>
      <c r="EY24" s="417"/>
      <c r="EZ24" s="417"/>
      <c r="FA24" s="417"/>
      <c r="FB24" s="417"/>
      <c r="FC24" s="417"/>
      <c r="FD24" s="417"/>
      <c r="FE24" s="417"/>
      <c r="FF24" s="417"/>
      <c r="FG24" s="417"/>
      <c r="FH24" s="417"/>
      <c r="FI24" s="417"/>
      <c r="FJ24" s="417"/>
      <c r="FK24" s="417"/>
      <c r="FL24" s="417"/>
      <c r="FM24" s="417"/>
      <c r="FN24" s="417"/>
      <c r="FO24" s="417"/>
      <c r="FP24" s="417"/>
      <c r="FQ24" s="417"/>
      <c r="FR24" s="417"/>
      <c r="FS24" s="417"/>
      <c r="FT24" s="417"/>
      <c r="FU24" s="417"/>
      <c r="FV24" s="417"/>
      <c r="FW24" s="417"/>
      <c r="FX24" s="417"/>
      <c r="FY24" s="417"/>
      <c r="FZ24" s="417"/>
      <c r="GA24" s="417"/>
      <c r="GB24" s="417"/>
      <c r="GC24" s="417"/>
      <c r="GD24" s="417"/>
      <c r="GE24" s="417"/>
      <c r="GF24" s="417"/>
      <c r="GG24" s="417"/>
      <c r="GH24" s="417"/>
      <c r="GI24" s="417"/>
      <c r="GJ24" s="417"/>
      <c r="GK24" s="417"/>
      <c r="GL24" s="417"/>
      <c r="GM24" s="417"/>
      <c r="GN24" s="417"/>
      <c r="GO24" s="417"/>
      <c r="GP24" s="417"/>
      <c r="GQ24" s="417"/>
      <c r="GR24" s="417"/>
      <c r="GS24" s="417"/>
      <c r="GT24" s="417"/>
      <c r="GU24" s="417"/>
      <c r="GV24" s="417"/>
      <c r="GW24" s="417"/>
      <c r="GX24" s="417"/>
      <c r="GY24" s="417"/>
      <c r="GZ24" s="417"/>
      <c r="HA24" s="417"/>
      <c r="HB24" s="417"/>
      <c r="HC24" s="417"/>
      <c r="HD24" s="417"/>
      <c r="HE24" s="417"/>
      <c r="HF24" s="417"/>
      <c r="HG24" s="417"/>
      <c r="HH24" s="417"/>
      <c r="HI24" s="417"/>
      <c r="HJ24" s="417"/>
      <c r="HK24" s="417"/>
      <c r="HL24" s="417"/>
      <c r="HM24" s="417"/>
      <c r="HN24" s="417"/>
      <c r="HO24" s="417"/>
      <c r="HP24" s="417"/>
      <c r="HQ24" s="417"/>
      <c r="HR24" s="417"/>
      <c r="HS24" s="417"/>
      <c r="HT24" s="417"/>
      <c r="HU24" s="417"/>
      <c r="HV24" s="417"/>
      <c r="HW24" s="417"/>
      <c r="HX24" s="417"/>
      <c r="HY24" s="417"/>
      <c r="HZ24" s="417"/>
      <c r="IA24" s="417"/>
      <c r="IB24" s="417"/>
      <c r="IC24" s="417"/>
      <c r="ID24" s="417"/>
      <c r="IE24" s="417"/>
      <c r="IF24" s="417"/>
      <c r="IG24" s="417"/>
      <c r="IH24" s="417"/>
      <c r="II24" s="417"/>
      <c r="IJ24" s="417"/>
      <c r="IK24" s="417"/>
      <c r="IL24" s="417"/>
      <c r="IM24" s="417"/>
      <c r="IN24" s="417"/>
      <c r="IO24" s="417"/>
      <c r="IP24" s="417"/>
      <c r="IQ24" s="417"/>
      <c r="IR24" s="417"/>
      <c r="IS24" s="417"/>
      <c r="IT24" s="417"/>
      <c r="IU24" s="417"/>
      <c r="IV24" s="417"/>
    </row>
    <row r="26" spans="1:11" ht="15">
      <c r="A26" s="9" t="s">
        <v>0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</row>
    <row r="27" spans="1:11" ht="15.75">
      <c r="A27" s="11" t="s">
        <v>1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</row>
    <row r="28" spans="1:2" ht="25.5">
      <c r="A28" s="2" t="s">
        <v>2</v>
      </c>
      <c r="B28" s="2" t="s">
        <v>8</v>
      </c>
    </row>
    <row r="29" spans="1:2" ht="15">
      <c r="A29" s="4">
        <v>2000</v>
      </c>
      <c r="B29" s="16">
        <v>105792</v>
      </c>
    </row>
    <row r="30" spans="1:3" ht="15">
      <c r="A30" s="4">
        <v>2001</v>
      </c>
      <c r="B30" s="16">
        <v>104599</v>
      </c>
      <c r="C30" s="8">
        <f>((B30/B29)^(1/(A30-A29)))-1</f>
        <v>-0.011276845130066548</v>
      </c>
    </row>
    <row r="31" spans="1:10" ht="45">
      <c r="A31" s="4">
        <v>2002</v>
      </c>
      <c r="B31" s="16">
        <v>103356</v>
      </c>
      <c r="C31" s="8">
        <f aca="true" t="shared" si="1" ref="C31:C46">((B31/B30)^(1/(A31-A30)))-1</f>
        <v>-0.011883478809548875</v>
      </c>
      <c r="H31" s="12" t="s">
        <v>2</v>
      </c>
      <c r="I31" s="12" t="s">
        <v>6</v>
      </c>
      <c r="J31" s="13" t="s">
        <v>7</v>
      </c>
    </row>
    <row r="32" spans="1:10" ht="15">
      <c r="A32" s="4">
        <v>2003</v>
      </c>
      <c r="B32" s="16">
        <v>102060</v>
      </c>
      <c r="C32" s="8">
        <f t="shared" si="1"/>
        <v>-0.01253918495297801</v>
      </c>
      <c r="H32" s="14">
        <v>1993</v>
      </c>
      <c r="I32" s="15">
        <v>104828</v>
      </c>
      <c r="J32" s="412">
        <f>((I33/I32)^(1/(H33-H32)))-1</f>
        <v>-0.009239650633788843</v>
      </c>
    </row>
    <row r="33" spans="1:10" ht="15">
      <c r="A33" s="4">
        <v>2004</v>
      </c>
      <c r="B33" s="16">
        <v>100711</v>
      </c>
      <c r="C33" s="8">
        <f t="shared" si="1"/>
        <v>-0.013217715069566927</v>
      </c>
      <c r="H33" s="14">
        <v>2007</v>
      </c>
      <c r="I33" s="15">
        <v>92053</v>
      </c>
      <c r="J33" s="412"/>
    </row>
    <row r="34" spans="1:3" ht="15">
      <c r="A34" s="4">
        <v>2005</v>
      </c>
      <c r="B34" s="16">
        <v>99309</v>
      </c>
      <c r="C34" s="8">
        <f t="shared" si="1"/>
        <v>-0.013921021536872802</v>
      </c>
    </row>
    <row r="35" spans="1:10" ht="15">
      <c r="A35" s="4">
        <v>2006</v>
      </c>
      <c r="B35" s="16">
        <v>97845</v>
      </c>
      <c r="C35" s="8">
        <f t="shared" si="1"/>
        <v>-0.014741866296106076</v>
      </c>
      <c r="D35" s="4"/>
      <c r="F35" s="4"/>
      <c r="G35" s="4"/>
      <c r="H35" s="4"/>
      <c r="I35" s="4"/>
      <c r="J35" s="4"/>
    </row>
    <row r="36" spans="1:10" ht="15">
      <c r="A36" s="4">
        <v>2007</v>
      </c>
      <c r="B36" s="16">
        <v>96328</v>
      </c>
      <c r="C36" s="8">
        <f t="shared" si="1"/>
        <v>-0.01550411364913895</v>
      </c>
      <c r="D36" s="4"/>
      <c r="F36" s="4"/>
      <c r="G36" s="4"/>
      <c r="H36" s="4"/>
      <c r="I36" s="4"/>
      <c r="J36" s="4"/>
    </row>
    <row r="37" spans="1:10" ht="15">
      <c r="A37" s="4">
        <v>2008</v>
      </c>
      <c r="B37" s="16">
        <v>94776</v>
      </c>
      <c r="C37" s="8">
        <f t="shared" si="1"/>
        <v>-0.01611161863632593</v>
      </c>
      <c r="D37" s="4"/>
      <c r="F37" s="4"/>
      <c r="G37" s="4"/>
      <c r="H37" s="4"/>
      <c r="I37" s="4"/>
      <c r="J37" s="4"/>
    </row>
    <row r="38" spans="1:10" ht="15">
      <c r="A38" s="4">
        <v>2009</v>
      </c>
      <c r="B38" s="16">
        <v>93209</v>
      </c>
      <c r="C38" s="8">
        <f t="shared" si="1"/>
        <v>-0.016533721617287056</v>
      </c>
      <c r="D38" s="4"/>
      <c r="F38" s="4"/>
      <c r="G38" s="4"/>
      <c r="H38" s="4"/>
      <c r="I38" s="4"/>
      <c r="J38" s="4"/>
    </row>
    <row r="39" spans="1:10" ht="15">
      <c r="A39" s="4">
        <v>2010</v>
      </c>
      <c r="B39" s="16">
        <v>91645</v>
      </c>
      <c r="C39" s="8">
        <f t="shared" si="1"/>
        <v>-0.01677949554227598</v>
      </c>
      <c r="D39" s="4"/>
      <c r="F39" s="4"/>
      <c r="G39" s="4"/>
      <c r="H39" s="4"/>
      <c r="I39" s="4"/>
      <c r="J39" s="4"/>
    </row>
    <row r="40" spans="1:10" ht="15">
      <c r="A40" s="4">
        <v>2011</v>
      </c>
      <c r="B40" s="16">
        <v>90086</v>
      </c>
      <c r="C40" s="8">
        <f t="shared" si="1"/>
        <v>-0.01701129357848219</v>
      </c>
      <c r="D40" s="4"/>
      <c r="F40" s="4"/>
      <c r="G40" s="4"/>
      <c r="H40" s="4"/>
      <c r="I40" s="4"/>
      <c r="J40" s="4"/>
    </row>
    <row r="41" spans="1:10" ht="15">
      <c r="A41" s="4">
        <v>2012</v>
      </c>
      <c r="B41" s="16">
        <v>88524</v>
      </c>
      <c r="C41" s="8">
        <f t="shared" si="1"/>
        <v>-0.017338987190018473</v>
      </c>
      <c r="D41" s="4"/>
      <c r="F41" s="4"/>
      <c r="G41" s="4"/>
      <c r="H41" s="4"/>
      <c r="I41" s="4"/>
      <c r="J41" s="4"/>
    </row>
    <row r="42" spans="1:10" ht="15">
      <c r="A42" s="4">
        <v>2013</v>
      </c>
      <c r="B42" s="16">
        <v>86957</v>
      </c>
      <c r="C42" s="8">
        <f t="shared" si="1"/>
        <v>-0.017701414305725027</v>
      </c>
      <c r="D42" s="4"/>
      <c r="F42" s="4"/>
      <c r="G42" s="4"/>
      <c r="H42" s="4"/>
      <c r="I42" s="4"/>
      <c r="J42" s="4"/>
    </row>
    <row r="43" spans="1:10" ht="15">
      <c r="A43" s="4">
        <v>2014</v>
      </c>
      <c r="B43" s="16">
        <v>85381</v>
      </c>
      <c r="C43" s="8">
        <f t="shared" si="1"/>
        <v>-0.01812390031854827</v>
      </c>
      <c r="D43" s="4"/>
      <c r="F43" s="4"/>
      <c r="G43" s="4"/>
      <c r="H43" s="4"/>
      <c r="I43" s="4"/>
      <c r="J43" s="4"/>
    </row>
    <row r="44" spans="1:10" ht="15">
      <c r="A44" s="4">
        <v>2015</v>
      </c>
      <c r="B44" s="16">
        <v>83796</v>
      </c>
      <c r="C44" s="8">
        <f t="shared" si="1"/>
        <v>-0.018563849099916818</v>
      </c>
      <c r="D44" s="4"/>
      <c r="F44" s="4"/>
      <c r="G44" s="4"/>
      <c r="H44" s="4"/>
      <c r="I44" s="4"/>
      <c r="J44" s="4"/>
    </row>
    <row r="45" spans="1:10" ht="15">
      <c r="A45" s="4">
        <v>2016</v>
      </c>
      <c r="B45" s="16">
        <v>83141</v>
      </c>
      <c r="C45" s="8">
        <f t="shared" si="1"/>
        <v>-0.007816602224449909</v>
      </c>
      <c r="D45" s="4"/>
      <c r="F45" s="4"/>
      <c r="G45" s="4"/>
      <c r="H45" s="4"/>
      <c r="I45" s="4"/>
      <c r="J45" s="4"/>
    </row>
    <row r="46" spans="1:10" ht="15">
      <c r="A46" s="4">
        <v>2017</v>
      </c>
      <c r="B46" s="16">
        <v>82483</v>
      </c>
      <c r="C46" s="8">
        <f t="shared" si="1"/>
        <v>-0.00791426612621926</v>
      </c>
      <c r="D46" s="4"/>
      <c r="F46" s="4"/>
      <c r="G46" s="4"/>
      <c r="H46" s="4"/>
      <c r="I46" s="4"/>
      <c r="J46" s="4"/>
    </row>
    <row r="47" spans="1:11" ht="15">
      <c r="A47" s="411" t="s">
        <v>3</v>
      </c>
      <c r="B47" s="411"/>
      <c r="C47" s="411"/>
      <c r="D47" s="411"/>
      <c r="E47" s="411"/>
      <c r="F47" s="411"/>
      <c r="G47" s="411"/>
      <c r="H47" s="411"/>
      <c r="I47" s="411"/>
      <c r="J47" s="411"/>
      <c r="K47" s="7"/>
    </row>
    <row r="48" spans="1:11" ht="15">
      <c r="A48" s="411" t="s">
        <v>4</v>
      </c>
      <c r="B48" s="411"/>
      <c r="C48" s="411"/>
      <c r="D48" s="411"/>
      <c r="E48" s="411"/>
      <c r="F48" s="411"/>
      <c r="G48" s="411"/>
      <c r="H48" s="411"/>
      <c r="I48" s="411"/>
      <c r="J48" s="411"/>
      <c r="K48" s="7"/>
    </row>
    <row r="51" spans="1:11" ht="15">
      <c r="A51" s="9" t="s">
        <v>0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1:11" ht="15.75">
      <c r="A52" s="11" t="s">
        <v>1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</row>
    <row r="53" spans="1:12" ht="38.25">
      <c r="A53" s="2" t="s">
        <v>2</v>
      </c>
      <c r="B53" s="2" t="s">
        <v>9</v>
      </c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2" ht="15">
      <c r="A54" s="4">
        <v>2000</v>
      </c>
      <c r="B54" s="6">
        <v>1198307</v>
      </c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2" ht="15">
      <c r="A55" s="4">
        <v>2001</v>
      </c>
      <c r="B55" s="6">
        <v>1209950</v>
      </c>
      <c r="C55" s="8">
        <f>((B55/B54)^(1/(A55-A54)))-1</f>
        <v>0.00971620795004946</v>
      </c>
      <c r="D55" s="4"/>
      <c r="E55" s="4"/>
      <c r="F55" s="4"/>
      <c r="G55" s="4"/>
      <c r="H55" s="4"/>
      <c r="I55" s="4"/>
      <c r="J55" s="4"/>
      <c r="K55" s="4"/>
      <c r="L55" s="4"/>
    </row>
    <row r="56" spans="1:12" ht="15">
      <c r="A56" s="4">
        <v>2002</v>
      </c>
      <c r="B56" s="6">
        <v>1221386</v>
      </c>
      <c r="C56" s="8">
        <f aca="true" t="shared" si="2" ref="C56:C71">((B56/B55)^(1/(A56-A55)))-1</f>
        <v>0.009451630232654162</v>
      </c>
      <c r="D56" s="4"/>
      <c r="E56" s="4"/>
      <c r="F56" s="4"/>
      <c r="G56" s="4"/>
      <c r="H56" s="4"/>
      <c r="I56" s="4"/>
      <c r="J56" s="4"/>
      <c r="K56" s="4"/>
      <c r="L56" s="4"/>
    </row>
    <row r="57" spans="1:10" ht="15">
      <c r="A57" s="4">
        <v>2003</v>
      </c>
      <c r="B57" s="6">
        <v>1232569</v>
      </c>
      <c r="C57" s="8">
        <f t="shared" si="2"/>
        <v>0.009155991635731775</v>
      </c>
      <c r="D57" s="4"/>
      <c r="E57" s="4"/>
      <c r="F57" s="4"/>
      <c r="G57" s="4"/>
      <c r="H57" s="4"/>
      <c r="I57" s="4"/>
      <c r="J57" s="4"/>
    </row>
    <row r="58" spans="1:10" ht="45">
      <c r="A58" s="4">
        <v>2004</v>
      </c>
      <c r="B58" s="6">
        <v>1243455</v>
      </c>
      <c r="C58" s="8">
        <f t="shared" si="2"/>
        <v>0.008831959914617382</v>
      </c>
      <c r="D58" s="4"/>
      <c r="E58" s="4"/>
      <c r="F58" s="4"/>
      <c r="G58" s="4"/>
      <c r="H58" s="12" t="s">
        <v>2</v>
      </c>
      <c r="I58" s="12" t="s">
        <v>6</v>
      </c>
      <c r="J58" s="13" t="s">
        <v>7</v>
      </c>
    </row>
    <row r="59" spans="1:10" ht="15">
      <c r="A59" s="4">
        <v>2005</v>
      </c>
      <c r="B59" s="6">
        <v>1253996</v>
      </c>
      <c r="C59" s="8">
        <f t="shared" si="2"/>
        <v>0.008477186548769389</v>
      </c>
      <c r="D59" s="4"/>
      <c r="E59" s="4"/>
      <c r="F59" s="4"/>
      <c r="G59" s="4"/>
      <c r="H59" s="14">
        <v>1993</v>
      </c>
      <c r="I59" s="15">
        <v>1035841</v>
      </c>
      <c r="J59" s="413">
        <f>((I60/I59)^(1/(H60-H59)))-1</f>
        <v>0.012080533730322918</v>
      </c>
    </row>
    <row r="60" spans="1:10" ht="15">
      <c r="A60" s="4">
        <v>2006</v>
      </c>
      <c r="B60" s="6">
        <v>1264050</v>
      </c>
      <c r="C60" s="8">
        <f t="shared" si="2"/>
        <v>0.0080175694340332</v>
      </c>
      <c r="D60" s="4"/>
      <c r="E60" s="4"/>
      <c r="F60" s="4"/>
      <c r="G60" s="4"/>
      <c r="H60" s="14">
        <v>2007</v>
      </c>
      <c r="I60" s="15">
        <v>1225474</v>
      </c>
      <c r="J60" s="413"/>
    </row>
    <row r="61" spans="1:10" ht="15">
      <c r="A61" s="4">
        <v>2007</v>
      </c>
      <c r="B61" s="6">
        <v>1273648</v>
      </c>
      <c r="C61" s="8">
        <f t="shared" si="2"/>
        <v>0.007593054072228211</v>
      </c>
      <c r="D61" s="4"/>
      <c r="E61" s="4"/>
      <c r="F61" s="4"/>
      <c r="G61" s="4"/>
      <c r="H61" s="4"/>
      <c r="I61" s="4"/>
      <c r="J61" s="4"/>
    </row>
    <row r="62" spans="1:10" ht="15">
      <c r="A62" s="4">
        <v>2008</v>
      </c>
      <c r="B62" s="6">
        <v>1283003</v>
      </c>
      <c r="C62" s="8">
        <f t="shared" si="2"/>
        <v>0.007345043528510287</v>
      </c>
      <c r="D62" s="4"/>
      <c r="E62" s="4"/>
      <c r="F62" s="4"/>
      <c r="G62" s="4"/>
      <c r="H62" s="4"/>
      <c r="I62" s="4"/>
      <c r="J62" s="4"/>
    </row>
    <row r="63" spans="1:10" ht="15">
      <c r="A63" s="4">
        <v>2009</v>
      </c>
      <c r="B63" s="6">
        <v>1292330</v>
      </c>
      <c r="C63" s="8">
        <f t="shared" si="2"/>
        <v>0.007269663438043361</v>
      </c>
      <c r="D63" s="4"/>
      <c r="E63" s="4"/>
      <c r="F63" s="4"/>
      <c r="G63" s="4"/>
      <c r="H63" s="4"/>
      <c r="I63" s="4"/>
      <c r="J63" s="4"/>
    </row>
    <row r="64" spans="1:10" ht="15">
      <c r="A64" s="4">
        <v>2010</v>
      </c>
      <c r="B64" s="6">
        <v>1301844</v>
      </c>
      <c r="C64" s="8">
        <f t="shared" si="2"/>
        <v>0.007361896729163542</v>
      </c>
      <c r="D64" s="4"/>
      <c r="E64" s="4"/>
      <c r="F64" s="4"/>
      <c r="G64" s="4"/>
      <c r="H64" s="4"/>
      <c r="I64" s="4"/>
      <c r="J64" s="4"/>
    </row>
    <row r="65" spans="1:10" ht="15">
      <c r="A65" s="4">
        <v>2011</v>
      </c>
      <c r="B65" s="6">
        <v>1311584</v>
      </c>
      <c r="C65" s="8">
        <f t="shared" si="2"/>
        <v>0.0074816951954304045</v>
      </c>
      <c r="D65" s="4"/>
      <c r="E65" s="4"/>
      <c r="F65" s="4"/>
      <c r="G65" s="4"/>
      <c r="H65" s="4"/>
      <c r="I65" s="4"/>
      <c r="J65" s="4"/>
    </row>
    <row r="66" spans="1:10" ht="15">
      <c r="A66" s="4">
        <v>2012</v>
      </c>
      <c r="B66" s="6">
        <v>1321407</v>
      </c>
      <c r="C66" s="8">
        <f t="shared" si="2"/>
        <v>0.007489417376241203</v>
      </c>
      <c r="D66" s="4"/>
      <c r="E66" s="4"/>
      <c r="F66" s="4"/>
      <c r="G66" s="4"/>
      <c r="H66" s="4"/>
      <c r="I66" s="4"/>
      <c r="J66" s="4"/>
    </row>
    <row r="67" spans="1:10" ht="15">
      <c r="A67" s="4">
        <v>2013</v>
      </c>
      <c r="B67" s="6">
        <v>1331253</v>
      </c>
      <c r="C67" s="8">
        <f t="shared" si="2"/>
        <v>0.007451148661994367</v>
      </c>
      <c r="D67" s="4"/>
      <c r="E67" s="4"/>
      <c r="F67" s="4"/>
      <c r="G67" s="4"/>
      <c r="H67" s="4"/>
      <c r="I67" s="4"/>
      <c r="J67" s="4"/>
    </row>
    <row r="68" spans="1:10" ht="15">
      <c r="A68" s="4">
        <v>2014</v>
      </c>
      <c r="B68" s="6">
        <v>1341064</v>
      </c>
      <c r="C68" s="8">
        <f t="shared" si="2"/>
        <v>0.007369748650331687</v>
      </c>
      <c r="D68" s="4"/>
      <c r="E68" s="4"/>
      <c r="F68" s="4"/>
      <c r="G68" s="4"/>
      <c r="H68" s="4"/>
      <c r="I68" s="4"/>
      <c r="J68" s="4"/>
    </row>
    <row r="69" spans="1:10" ht="15">
      <c r="A69" s="4">
        <v>2015</v>
      </c>
      <c r="B69" s="6">
        <v>1350783</v>
      </c>
      <c r="C69" s="8">
        <f t="shared" si="2"/>
        <v>0.00724723055722909</v>
      </c>
      <c r="D69" s="4"/>
      <c r="E69" s="4"/>
      <c r="F69" s="4"/>
      <c r="G69" s="4"/>
      <c r="H69" s="4"/>
      <c r="I69" s="4"/>
      <c r="J69" s="4"/>
    </row>
    <row r="70" spans="1:10" ht="15">
      <c r="A70" s="4">
        <v>2016</v>
      </c>
      <c r="B70" s="6">
        <v>1360382</v>
      </c>
      <c r="C70" s="8">
        <f t="shared" si="2"/>
        <v>0.007106248746097554</v>
      </c>
      <c r="D70" s="4"/>
      <c r="E70" s="17">
        <f>AVERAGE(C55:C71)</f>
        <v>0.0079140831172823</v>
      </c>
      <c r="F70" s="4"/>
      <c r="G70" s="4"/>
      <c r="H70" s="4"/>
      <c r="I70" s="4"/>
      <c r="J70" s="4"/>
    </row>
    <row r="71" spans="1:10" ht="15">
      <c r="A71" s="4">
        <v>2017</v>
      </c>
      <c r="B71" s="6">
        <v>1370141</v>
      </c>
      <c r="C71" s="8">
        <f t="shared" si="2"/>
        <v>0.007173720322674049</v>
      </c>
      <c r="D71" s="4"/>
      <c r="E71" s="4"/>
      <c r="F71" s="4"/>
      <c r="G71" s="4"/>
      <c r="H71" s="4"/>
      <c r="I71" s="4"/>
      <c r="J71" s="4"/>
    </row>
    <row r="72" spans="1:11" ht="15">
      <c r="A72" s="411" t="s">
        <v>3</v>
      </c>
      <c r="B72" s="411"/>
      <c r="C72" s="411"/>
      <c r="D72" s="411"/>
      <c r="E72" s="411"/>
      <c r="F72" s="411"/>
      <c r="G72" s="411"/>
      <c r="H72" s="411"/>
      <c r="I72" s="411"/>
      <c r="J72" s="411"/>
      <c r="K72" s="7"/>
    </row>
    <row r="73" spans="1:11" ht="15">
      <c r="A73" s="411" t="s">
        <v>4</v>
      </c>
      <c r="B73" s="411"/>
      <c r="C73" s="411"/>
      <c r="D73" s="411"/>
      <c r="E73" s="411"/>
      <c r="F73" s="411"/>
      <c r="G73" s="411"/>
      <c r="H73" s="411"/>
      <c r="I73" s="411"/>
      <c r="J73" s="411"/>
      <c r="K73" s="7"/>
    </row>
  </sheetData>
  <sheetProtection/>
  <mergeCells count="11">
    <mergeCell ref="A1:IV1"/>
    <mergeCell ref="A2:IV2"/>
    <mergeCell ref="A23:IV23"/>
    <mergeCell ref="A24:IV24"/>
    <mergeCell ref="J7:J8"/>
    <mergeCell ref="A47:J47"/>
    <mergeCell ref="A48:J48"/>
    <mergeCell ref="J32:J33"/>
    <mergeCell ref="A72:J72"/>
    <mergeCell ref="A73:J73"/>
    <mergeCell ref="J59:J60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1:L10"/>
  <sheetViews>
    <sheetView zoomScalePageLayoutView="0" workbookViewId="0" topLeftCell="A1">
      <selection activeCell="B3" sqref="B3"/>
    </sheetView>
  </sheetViews>
  <sheetFormatPr defaultColWidth="11.421875" defaultRowHeight="15"/>
  <cols>
    <col min="1" max="1" width="14.421875" style="0" customWidth="1"/>
  </cols>
  <sheetData>
    <row r="1" spans="1:12" ht="15.75" thickBot="1">
      <c r="A1" s="418" t="s">
        <v>10</v>
      </c>
      <c r="B1" s="18">
        <v>0</v>
      </c>
      <c r="C1" s="18">
        <v>1</v>
      </c>
      <c r="D1" s="18">
        <v>2</v>
      </c>
      <c r="E1" s="18">
        <v>3</v>
      </c>
      <c r="F1" s="18">
        <v>4</v>
      </c>
      <c r="G1" s="18">
        <v>5</v>
      </c>
      <c r="H1" s="18">
        <v>6</v>
      </c>
      <c r="I1" s="18">
        <v>7</v>
      </c>
      <c r="J1" s="18">
        <v>8</v>
      </c>
      <c r="K1" s="18">
        <v>9</v>
      </c>
      <c r="L1" s="18">
        <v>10</v>
      </c>
    </row>
    <row r="2" spans="1:12" ht="15.75" thickBot="1">
      <c r="A2" s="419"/>
      <c r="B2" s="19">
        <v>2018</v>
      </c>
      <c r="C2" s="20">
        <v>2019</v>
      </c>
      <c r="D2" s="19">
        <v>2020</v>
      </c>
      <c r="E2" s="20">
        <v>2021</v>
      </c>
      <c r="F2" s="19">
        <v>2022</v>
      </c>
      <c r="G2" s="20">
        <v>2023</v>
      </c>
      <c r="H2" s="19">
        <v>2024</v>
      </c>
      <c r="I2" s="20">
        <v>2025</v>
      </c>
      <c r="J2" s="19">
        <v>2026</v>
      </c>
      <c r="K2" s="20">
        <v>2027</v>
      </c>
      <c r="L2" s="19">
        <v>2028</v>
      </c>
    </row>
    <row r="3" spans="1:12" ht="15.75" thickBot="1">
      <c r="A3" s="21" t="s">
        <v>67</v>
      </c>
      <c r="B3" s="25">
        <f>'TASA DE CRECIMIENTO'!I10</f>
        <v>18021</v>
      </c>
      <c r="C3" s="25">
        <f aca="true" t="shared" si="0" ref="C3:L3">ROUNDUP($B$3*((1+$B$7)^(C2-$B$2)),0)</f>
        <v>18164</v>
      </c>
      <c r="D3" s="25">
        <f t="shared" si="0"/>
        <v>18308</v>
      </c>
      <c r="E3" s="25">
        <f t="shared" si="0"/>
        <v>18453</v>
      </c>
      <c r="F3" s="25">
        <f t="shared" si="0"/>
        <v>18599</v>
      </c>
      <c r="G3" s="25">
        <f t="shared" si="0"/>
        <v>18746</v>
      </c>
      <c r="H3" s="25">
        <f t="shared" si="0"/>
        <v>18894</v>
      </c>
      <c r="I3" s="25">
        <f t="shared" si="0"/>
        <v>19044</v>
      </c>
      <c r="J3" s="25">
        <f t="shared" si="0"/>
        <v>19195</v>
      </c>
      <c r="K3" s="25">
        <f t="shared" si="0"/>
        <v>19346</v>
      </c>
      <c r="L3" s="25">
        <f t="shared" si="0"/>
        <v>19500</v>
      </c>
    </row>
    <row r="4" spans="1:12" ht="15.75" thickBot="1">
      <c r="A4" s="420" t="s">
        <v>11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2"/>
    </row>
    <row r="6" spans="1:3" ht="15">
      <c r="A6" s="1"/>
      <c r="B6" s="1"/>
      <c r="C6" s="1"/>
    </row>
    <row r="7" spans="1:3" ht="30">
      <c r="A7" s="24" t="s">
        <v>7</v>
      </c>
      <c r="B7" s="23">
        <f>'TASA DE CRECIMIENTO'!E70</f>
        <v>0.0079140831172823</v>
      </c>
      <c r="C7" s="1"/>
    </row>
    <row r="8" spans="1:3" ht="15">
      <c r="A8" s="1"/>
      <c r="B8" s="1"/>
      <c r="C8" s="1"/>
    </row>
    <row r="9" spans="1:3" ht="15">
      <c r="A9" s="1"/>
      <c r="B9" s="1"/>
      <c r="C9" s="1"/>
    </row>
    <row r="10" spans="1:3" ht="15">
      <c r="A10" s="1"/>
      <c r="B10" s="1"/>
      <c r="C10" s="1"/>
    </row>
  </sheetData>
  <sheetProtection/>
  <mergeCells count="2">
    <mergeCell ref="A1:A2"/>
    <mergeCell ref="A4:L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Manuela Yesenia Asmat Otiniano</dc:creator>
  <cp:keywords/>
  <dc:description/>
  <cp:lastModifiedBy>Rosa Amelia Maza</cp:lastModifiedBy>
  <cp:lastPrinted>2018-02-23T23:08:10Z</cp:lastPrinted>
  <dcterms:created xsi:type="dcterms:W3CDTF">2018-02-05T23:33:19Z</dcterms:created>
  <dcterms:modified xsi:type="dcterms:W3CDTF">2020-10-30T04:16:34Z</dcterms:modified>
  <cp:category/>
  <cp:version/>
  <cp:contentType/>
  <cp:contentStatus/>
</cp:coreProperties>
</file>