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 localSheetId="11">#REF!</definedName>
    <definedName name="A_impresión_IM">#REF!</definedName>
    <definedName name="_xlnm.Print_Area" localSheetId="4">'DEP-C1'!$A$1:$AJ$49</definedName>
    <definedName name="_xlnm.Print_Area" localSheetId="5">'DEP-C2'!$B$1:$D$47</definedName>
    <definedName name="_xlnm.Print_Area" localSheetId="6">'DEP-C3'!$B$5:$D$62</definedName>
    <definedName name="_xlnm.Print_Area" localSheetId="7">'DEP-C4'!$B$1:$D$87</definedName>
    <definedName name="_xlnm.Print_Area" localSheetId="8">'DEP-C5'!$B$1:$D$51</definedName>
    <definedName name="_xlnm.Print_Area" localSheetId="9">'DEP-C6'!$B$1:$E$77</definedName>
    <definedName name="_xlnm.Print_Area" localSheetId="10">'DEP-C7'!$B$1:$E$87</definedName>
    <definedName name="_xlnm.Print_Area" localSheetId="11">'DEP-C8'!$B$1:$D$126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<sst xmlns="http://schemas.openxmlformats.org/spreadsheetml/2006/main" count="605" uniqueCount="260">
  <si>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</si>
  <si>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</si>
  <si>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</si>
  <si>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</si>
  <si>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</si>
  <si>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</si>
  <si>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</si>
  <si>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</si>
  <si>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</si>
  <si>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</si>
  <si>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</si>
  <si>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</si>
  <si>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</si>
  <si>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</si>
  <si>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</si>
  <si>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</si>
  <si>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</si>
  <si>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</si>
  <si>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</si>
  <si>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</si>
  <si>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</si>
  <si>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</si>
  <si>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</si>
  <si>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</si>
  <si>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</si>
  <si>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</si>
  <si>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</si>
  <si>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</si>
  <si>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</si>
  <si>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</si>
  <si>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</si>
  <si>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</si>
  <si>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</si>
  <si>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</si>
  <si>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</si>
  <si>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</si>
  <si>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</si>
  <si>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</si>
  <si>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</si>
  <si>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</si>
  <si>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</si>
  <si>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</si>
  <si>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</si>
  <si>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</si>
  <si>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</si>
  <si>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</si>
  <si>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</si>
  <si>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</si>
  <si>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</si>
  <si>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</si>
  <si>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</si>
  <si>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</si>
  <si>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</si>
  <si>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</si>
  <si>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</si>
  <si>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</si>
  <si>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</si>
  <si>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</si>
  <si>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</si>
  <si>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</si>
  <si>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</si>
  <si>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</si>
  <si>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</si>
  <si>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</si>
  <si>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</si>
  <si>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</si>
  <si>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</si>
  <si>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</si>
  <si>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</si>
  <si>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</si>
  <si>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</si>
  <si>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</si>
  <si>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</si>
  <si>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</si>
  <si>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</si>
  <si>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</si>
  <si>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</si>
  <si>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</si>
  <si>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</si>
  <si>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</si>
  <si>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</si>
  <si>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</si>
  <si>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</si>
  <si>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</si>
  <si>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</si>
  <si>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</si>
  <si>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</si>
  <si>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</si>
  <si>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</si>
  <si>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</si>
  <si>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</si>
  <si>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</si>
  <si>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</si>
  <si>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</si>
  <si>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</si>
  <si>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</si>
  <si>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</si>
  <si>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</si>
  <si>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</si>
  <si>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</si>
  <si>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</si>
  <si>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</si>
  <si>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</si>
  <si>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</si>
  <si>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</si>
  <si>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</si>
  <si>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</si>
  <si>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</si>
  <si>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</si>
  <si>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</si>
  <si>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</si>
  <si>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</si>
  <si>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</si>
  <si>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</si>
  <si>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</si>
  <si>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</si>
  <si>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</si>
  <si>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</si>
  <si>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</si>
  <si>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</si>
  <si>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</si>
  <si>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</si>
  <si>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</si>
  <si>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</si>
  <si>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</si>
  <si>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</si>
  <si>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</si>
  <si>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</si>
  <si>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</si>
  <si>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</si>
  <si>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</si>
  <si>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</si>
  <si>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</si>
  <si>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</si>
  <si>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</si>
  <si>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</si>
  <si>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</si>
  <si>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</si>
  <si>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</si>
  <si>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</si>
  <si>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</si>
  <si>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</si>
  <si>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</si>
  <si>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</si>
  <si>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</si>
  <si>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</si>
  <si>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</si>
  <si>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</si>
  <si>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</si>
  <si>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</si>
  <si>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</si>
  <si>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</si>
  <si>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</si>
  <si>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</si>
  <si>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</si>
  <si>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</si>
  <si>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</si>
  <si>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</si>
  <si>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</si>
  <si>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</si>
  <si>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</si>
  <si>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</si>
  <si>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</si>
  <si>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</si>
  <si>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</si>
  <si>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</si>
  <si>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</si>
  <si>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Corporacion Andina De Fomento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</si>
  <si>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</si>
  <si>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</si>
  <si>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</si>
  <si>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</si>
  <si>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</si>
  <si>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</si>
  <si>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</si>
  <si>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</si>
  <si>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</si>
  <si>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</si>
  <si>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</si>
  <si>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</si>
  <si>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</si>
  <si>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</si>
  <si>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</si>
  <si>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</si>
  <si>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</si>
  <si>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</si>
  <si>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</si>
  <si>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</si>
  <si>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</si>
  <si>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</si>
  <si>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</si>
  <si>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</si>
  <si>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</si>
  <si>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</si>
  <si>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</si>
  <si>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</si>
  <si>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</si>
  <si>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</si>
  <si>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</si>
  <si>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</si>
  <si>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</si>
  <si>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</si>
  <si>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</si>
  <si>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</si>
  <si>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</si>
  <si>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</si>
  <si>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</si>
  <si>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</si>
  <si>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</si>
  <si>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</si>
  <si>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</si>
  <si>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</si>
  <si>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</si>
  <si>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</si>
  <si>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</si>
  <si>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</si>
  <si>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</si>
  <si>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</si>
  <si>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</si>
  <si>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</si>
  <si>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</si>
  <si>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</si>
  <si>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t xml:space="preserve"> 1/  Incluye: Bonos PETROPERU por US$ 2 000,0 millones.</t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</si>
  <si>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</si>
  <si>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</si>
  <si>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</si>
  <si>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</si>
  <si>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</si>
  <si>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</si>
  <si>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</si>
  <si>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</si>
  <si>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</si>
  <si>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</si>
  <si>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</si>
  <si>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</si>
  <si>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</si>
  <si>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</si>
  <si>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</si>
  <si>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</si>
  <si>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</si>
  <si>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</si>
  <si>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Banco de La Nacion</t>
  </si>
  <si>
    <t>Empresa de Servicio Público de Electricidad del Sur</t>
  </si>
  <si>
    <t>Servicios Postales del Peru</t>
  </si>
  <si>
    <t>Empresa de Servicio Público de Electricidad Electro Norte Medio S.A.</t>
  </si>
  <si>
    <t>Empresa Regional de Servicio Público de Electricidad Electronoroeste S.A.</t>
  </si>
  <si>
    <t>Petroleos del Peru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</si>
  <si>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</si>
  <si>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</si>
  <si>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</si>
  <si>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Empresa Regional de Servicio Público de Electricidad del Sur S.A.</t>
  </si>
  <si>
    <t>Servicios Postales del Peru S.A.</t>
  </si>
  <si>
    <t>Sumitomo Mitsui Banking Corporation</t>
  </si>
  <si>
    <t>Banco Interamericano de Finanzas</t>
  </si>
  <si>
    <t>Sep</t>
  </si>
  <si>
    <t>AL 31 DE OCTUBRE 2020</t>
  </si>
  <si>
    <t>Al 31 de octubre de 2020</t>
  </si>
  <si>
    <t xml:space="preserve"> 3/  Incluye: Bonos COFIDE por US$ 1 347,8 millones y Bonos Fondo MIVIVIENDA por US$ 1 064,9 millones.</t>
  </si>
  <si>
    <t xml:space="preserve"> 4/  Incluye: Bonos COFIDE por US$ 343,0 millones y Bonos Fondo MIVIVIENDA por US$ 221,4 millones.</t>
  </si>
  <si>
    <t>Período: De 2009 al 31 de octubre de 2020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</si>
</sst>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 &quot;S/.&quot;\ * #,##0_ ;_ &quot;S/.&quot;\ * \-#,##0_ ;_ &quot;S/.&quot;\ * &quot;-&quot;_ ;_ @_ "/>
    <numFmt numFmtId="165" formatCode="_ * #,##0_ ;_ * \-#,##0_ ;_ * &quot;-&quot;_ ;_ @_ "/>
    <numFmt numFmtId="166" formatCode="_ &quot;S/.&quot;\ * #,##0.00_ ;_ &quot;S/.&quot;\ * \-#,##0.00_ ;_ &quot;S/.&quot;\ * &quot;-&quot;??_ ;_ @_ "/>
    <numFmt numFmtId="167" formatCode="_ * #,##0.00_ ;_ * \-#,##0.00_ ;_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_);[Red]\(#,##0.00000\)"/>
    <numFmt numFmtId="218" formatCode="#,##0.000000"/>
    <numFmt numFmtId="219" formatCode="_ * #,##0.00000_ ;_ * \-#,##0.00000_ ;_ * &quot;-&quot;??_ ;_ @_ "/>
    <numFmt numFmtId="220" formatCode="#,##0.00000;\-#,##0.00000"/>
    <numFmt numFmtId="221" formatCode="#,##0.000000_ ;\-#,##0.000000\ "/>
    <numFmt numFmtId="222" formatCode="#,##0_);\(#,##0\)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3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indexed="23"/>
      </left>
      <right style="thin">
        <color rgb="FF808080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rgb="FF808080"/>
      </left>
      <right/>
      <top/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indexed="55"/>
      </left>
      <right style="thin">
        <color indexed="55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31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7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7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7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7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7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6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7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91" fontId="0" fillId="48" borderId="0" xfId="308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194" fontId="35" fillId="48" borderId="0" xfId="323" applyNumberFormat="1" applyFont="1" applyFill="1" applyAlignment="1">
      <alignment vertical="top"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0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7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8" fontId="91" fillId="47" borderId="0" xfId="0" applyNumberFormat="1" applyFont="1" applyFill="1" applyAlignment="1">
      <alignment/>
    </xf>
    <xf numFmtId="186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81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0" fontId="92" fillId="48" borderId="0" xfId="0" applyFont="1" applyFill="1" applyAlignment="1" applyProtection="1">
      <alignment/>
      <protection/>
    </xf>
    <xf numFmtId="179" fontId="92" fillId="48" borderId="0" xfId="0" applyNumberFormat="1" applyFont="1" applyFill="1" applyAlignment="1">
      <alignment/>
    </xf>
    <xf numFmtId="201" fontId="92" fillId="48" borderId="0" xfId="0" applyNumberFormat="1" applyFont="1" applyFill="1" applyAlignment="1">
      <alignment/>
    </xf>
    <xf numFmtId="209" fontId="92" fillId="47" borderId="0" xfId="0" applyNumberFormat="1" applyFont="1" applyFill="1" applyAlignment="1">
      <alignment/>
    </xf>
    <xf numFmtId="180" fontId="92" fillId="48" borderId="0" xfId="0" applyNumberFormat="1" applyFont="1" applyFill="1" applyAlignment="1">
      <alignment/>
    </xf>
    <xf numFmtId="204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6" fontId="77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4" fillId="48" borderId="0" xfId="0" applyFont="1" applyFill="1" applyAlignment="1">
      <alignment/>
    </xf>
    <xf numFmtId="206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2" fillId="48" borderId="0" xfId="0" applyNumberFormat="1" applyFont="1" applyFill="1" applyAlignment="1">
      <alignment/>
    </xf>
    <xf numFmtId="174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33" fillId="47" borderId="40" xfId="300" applyNumberFormat="1" applyFont="1" applyFill="1" applyBorder="1" applyAlignment="1">
      <alignment horizontal="right" vertical="center" wrapText="1" indent="1"/>
    </xf>
    <xf numFmtId="37" fontId="8" fillId="47" borderId="41" xfId="300" applyNumberFormat="1" applyFont="1" applyFill="1" applyBorder="1" applyAlignment="1">
      <alignment horizontal="right" vertical="center" wrapText="1" indent="1"/>
    </xf>
    <xf numFmtId="37" fontId="8" fillId="47" borderId="42" xfId="300" applyNumberFormat="1" applyFont="1" applyFill="1" applyBorder="1" applyAlignment="1">
      <alignment horizontal="right" vertical="center" wrapText="1" indent="1"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3" xfId="331" applyNumberFormat="1" applyFont="1" applyFill="1" applyBorder="1" applyAlignment="1">
      <alignment horizontal="right" vertical="center" indent="2"/>
      <protection/>
    </xf>
    <xf numFmtId="173" fontId="0" fillId="48" borderId="43" xfId="350" applyNumberFormat="1" applyFont="1" applyFill="1" applyBorder="1" applyAlignment="1">
      <alignment horizontal="right" vertical="center" indent="1"/>
    </xf>
    <xf numFmtId="173" fontId="3" fillId="48" borderId="44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3" xfId="331" applyFont="1" applyFill="1" applyBorder="1" applyAlignment="1">
      <alignment horizontal="right" vertical="center" indent="2"/>
      <protection/>
    </xf>
    <xf numFmtId="0" fontId="3" fillId="48" borderId="43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5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5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5" xfId="323" applyFont="1" applyFill="1" applyBorder="1" applyAlignment="1">
      <alignment horizontal="center" vertical="center"/>
      <protection/>
    </xf>
    <xf numFmtId="215" fontId="92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6" xfId="323" applyFont="1" applyFill="1" applyBorder="1" applyAlignment="1">
      <alignment horizontal="center" vertical="center"/>
      <protection/>
    </xf>
    <xf numFmtId="0" fontId="7" fillId="47" borderId="47" xfId="323" applyFont="1" applyFill="1" applyBorder="1">
      <alignment/>
      <protection/>
    </xf>
    <xf numFmtId="37" fontId="33" fillId="47" borderId="48" xfId="300" applyNumberFormat="1" applyFont="1" applyFill="1" applyBorder="1" applyAlignment="1">
      <alignment horizontal="right" vertical="center" wrapText="1" indent="1"/>
    </xf>
    <xf numFmtId="37" fontId="8" fillId="47" borderId="46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 vertical="center"/>
    </xf>
    <xf numFmtId="0" fontId="6" fillId="48" borderId="49" xfId="323" applyFont="1" applyFill="1" applyBorder="1" applyAlignment="1">
      <alignment horizontal="center" vertical="center"/>
      <protection/>
    </xf>
    <xf numFmtId="0" fontId="7" fillId="47" borderId="50" xfId="323" applyFont="1" applyFill="1" applyBorder="1">
      <alignment/>
      <protection/>
    </xf>
    <xf numFmtId="37" fontId="33" fillId="47" borderId="51" xfId="300" applyNumberFormat="1" applyFont="1" applyFill="1" applyBorder="1" applyAlignment="1">
      <alignment horizontal="right" vertical="center" wrapText="1" indent="1"/>
    </xf>
    <xf numFmtId="37" fontId="8" fillId="47" borderId="49" xfId="300" applyNumberFormat="1" applyFont="1" applyFill="1" applyBorder="1" applyAlignment="1">
      <alignment horizontal="right" vertical="center" wrapText="1" indent="1"/>
    </xf>
    <xf numFmtId="0" fontId="6" fillId="48" borderId="52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219" fontId="0" fillId="48" borderId="0" xfId="300" applyNumberFormat="1" applyFont="1" applyFill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8" fontId="0" fillId="48" borderId="0" xfId="0" applyNumberFormat="1" applyFont="1" applyFill="1" applyAlignment="1">
      <alignment vertical="center"/>
    </xf>
    <xf numFmtId="217" fontId="92" fillId="48" borderId="0" xfId="0" applyNumberFormat="1" applyFont="1" applyFill="1" applyAlignment="1">
      <alignment/>
    </xf>
    <xf numFmtId="215" fontId="77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6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5" xfId="300" applyNumberFormat="1" applyFont="1" applyFill="1" applyBorder="1" applyAlignment="1">
      <alignment horizontal="right" vertical="center" indent="1"/>
    </xf>
    <xf numFmtId="3" fontId="11" fillId="48" borderId="53" xfId="300" applyNumberFormat="1" applyFont="1" applyFill="1" applyBorder="1" applyAlignment="1">
      <alignment horizontal="right" vertical="center" indent="1"/>
    </xf>
    <xf numFmtId="3" fontId="33" fillId="48" borderId="0" xfId="300" applyNumberFormat="1" applyFont="1" applyFill="1" applyBorder="1" applyAlignment="1">
      <alignment horizontal="right" vertical="center" indent="1"/>
    </xf>
    <xf numFmtId="38" fontId="0" fillId="48" borderId="22" xfId="300" applyNumberFormat="1" applyFont="1" applyFill="1" applyBorder="1" applyAlignment="1">
      <alignment horizontal="right" vertical="center" indent="1"/>
    </xf>
    <xf numFmtId="0" fontId="6" fillId="47" borderId="46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37" fontId="33" fillId="47" borderId="56" xfId="300" applyNumberFormat="1" applyFont="1" applyFill="1" applyBorder="1" applyAlignment="1">
      <alignment horizontal="right" vertical="center" wrapText="1" indent="1"/>
    </xf>
    <xf numFmtId="37" fontId="8" fillId="47" borderId="57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5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3" xfId="350" applyNumberFormat="1" applyFont="1" applyFill="1" applyBorder="1" applyAlignment="1">
      <alignment horizontal="left" vertical="center" indent="2"/>
    </xf>
    <xf numFmtId="173" fontId="3" fillId="48" borderId="44" xfId="350" applyNumberFormat="1" applyFont="1" applyFill="1" applyBorder="1" applyAlignment="1">
      <alignment horizontal="left" vertical="center" indent="2"/>
    </xf>
    <xf numFmtId="0" fontId="3" fillId="48" borderId="43" xfId="331" applyFont="1" applyFill="1" applyBorder="1" applyAlignment="1">
      <alignment horizontal="center" vertical="center"/>
      <protection/>
    </xf>
    <xf numFmtId="3" fontId="8" fillId="0" borderId="22" xfId="300" applyNumberFormat="1" applyFont="1" applyFill="1" applyBorder="1" applyAlignment="1">
      <alignment horizontal="right" vertical="center" indent="1"/>
    </xf>
    <xf numFmtId="0" fontId="6" fillId="48" borderId="41" xfId="323" applyFont="1" applyFill="1" applyBorder="1" applyAlignment="1">
      <alignment horizontal="center" vertical="center"/>
      <protection/>
    </xf>
    <xf numFmtId="0" fontId="7" fillId="47" borderId="51" xfId="323" applyFont="1" applyFill="1" applyBorder="1">
      <alignment/>
      <protection/>
    </xf>
    <xf numFmtId="0" fontId="8" fillId="47" borderId="51" xfId="323" applyFont="1" applyFill="1" applyBorder="1">
      <alignment/>
      <protection/>
    </xf>
    <xf numFmtId="37" fontId="8" fillId="47" borderId="51" xfId="323" applyNumberFormat="1" applyFont="1" applyFill="1" applyBorder="1">
      <alignment/>
      <protection/>
    </xf>
    <xf numFmtId="215" fontId="96" fillId="48" borderId="0" xfId="0" applyNumberFormat="1" applyFont="1" applyFill="1" applyAlignment="1">
      <alignment/>
    </xf>
    <xf numFmtId="208" fontId="92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2" fillId="47" borderId="0" xfId="0" applyNumberFormat="1" applyFont="1" applyFill="1" applyBorder="1" applyAlignment="1">
      <alignment/>
    </xf>
    <xf numFmtId="221" fontId="92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20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37" fontId="33" fillId="47" borderId="43" xfId="300" applyNumberFormat="1" applyFont="1" applyFill="1" applyBorder="1" applyAlignment="1">
      <alignment horizontal="right" vertical="center" wrapText="1" indent="1"/>
    </xf>
    <xf numFmtId="3" fontId="6" fillId="48" borderId="22" xfId="30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0" fontId="11" fillId="48" borderId="58" xfId="0" applyFont="1" applyFill="1" applyBorder="1" applyAlignment="1">
      <alignment horizontal="center" vertical="center" wrapText="1"/>
    </xf>
    <xf numFmtId="3" fontId="11" fillId="48" borderId="58" xfId="300" applyNumberFormat="1" applyFont="1" applyFill="1" applyBorder="1" applyAlignment="1">
      <alignment horizontal="right" vertical="center" indent="1"/>
    </xf>
    <xf numFmtId="3" fontId="8" fillId="48" borderId="58" xfId="300" applyNumberFormat="1" applyFont="1" applyFill="1" applyBorder="1" applyAlignment="1">
      <alignment horizontal="right" vertical="center" indent="1"/>
    </xf>
    <xf numFmtId="3" fontId="33" fillId="48" borderId="58" xfId="300" applyNumberFormat="1" applyFont="1" applyFill="1" applyBorder="1" applyAlignment="1">
      <alignment horizontal="right" vertical="center" indent="1"/>
    </xf>
    <xf numFmtId="0" fontId="8" fillId="0" borderId="22" xfId="323" applyFont="1" applyBorder="1" applyAlignment="1">
      <alignment horizontal="left" vertical="center" indent="3"/>
      <protection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7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14" fontId="0" fillId="47" borderId="0" xfId="0" applyNumberFormat="1" applyFont="1" applyFill="1" applyAlignment="1">
      <alignment horizontal="left" vertical="center" wrapText="1"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3" fillId="48" borderId="59" xfId="331" applyFont="1" applyFill="1" applyBorder="1" applyAlignment="1">
      <alignment horizontal="center" vertical="center"/>
      <protection/>
    </xf>
    <xf numFmtId="0" fontId="3" fillId="48" borderId="60" xfId="331" applyFont="1" applyFill="1" applyBorder="1" applyAlignment="1">
      <alignment horizontal="center" vertical="center"/>
      <protection/>
    </xf>
    <xf numFmtId="0" fontId="3" fillId="48" borderId="61" xfId="331" applyFont="1" applyFill="1" applyBorder="1" applyAlignment="1">
      <alignment horizontal="center" vertical="center"/>
      <protection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5" xfId="323" applyFont="1" applyFill="1" applyBorder="1" applyAlignment="1">
      <alignment horizontal="center" vertical="center" wrapText="1"/>
      <protection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1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42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37" fontId="6" fillId="47" borderId="46" xfId="300" applyNumberFormat="1" applyFont="1" applyFill="1" applyBorder="1" applyAlignment="1">
      <alignment horizontal="right" vertical="center" wrapText="1" indent="1"/>
    </xf>
    <xf numFmtId="0" fontId="6" fillId="47" borderId="62" xfId="323" applyFont="1" applyFill="1" applyBorder="1" applyAlignment="1">
      <alignment horizontal="center" vertical="center" wrapText="1"/>
      <protection/>
    </xf>
    <xf numFmtId="0" fontId="6" fillId="47" borderId="63" xfId="323" applyFont="1" applyFill="1" applyBorder="1" applyAlignment="1">
      <alignment horizontal="center" vertical="center" wrapText="1"/>
      <protection/>
    </xf>
    <xf numFmtId="0" fontId="6" fillId="47" borderId="64" xfId="323" applyFont="1" applyFill="1" applyBorder="1" applyAlignment="1">
      <alignment horizontal="center" vertical="center" wrapText="1"/>
      <protection/>
    </xf>
    <xf numFmtId="37" fontId="6" fillId="47" borderId="50" xfId="300" applyNumberFormat="1" applyFont="1" applyFill="1" applyBorder="1" applyAlignment="1">
      <alignment horizontal="right" vertical="center" wrapText="1" indent="1"/>
    </xf>
    <xf numFmtId="37" fontId="6" fillId="47" borderId="49" xfId="300" applyNumberFormat="1" applyFont="1" applyFill="1" applyBorder="1" applyAlignment="1">
      <alignment horizontal="right" vertical="center" wrapText="1" indent="1"/>
    </xf>
    <xf numFmtId="37" fontId="6" fillId="47" borderId="55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65" xfId="323" applyFont="1" applyFill="1" applyBorder="1" applyAlignment="1">
      <alignment horizontal="center" vertical="center"/>
      <protection/>
    </xf>
    <xf numFmtId="0" fontId="6" fillId="47" borderId="57" xfId="323" applyFont="1" applyFill="1" applyBorder="1" applyAlignment="1">
      <alignment horizontal="center" vertical="center"/>
      <protection/>
    </xf>
    <xf numFmtId="0" fontId="6" fillId="47" borderId="66" xfId="323" applyFont="1" applyFill="1" applyBorder="1" applyAlignment="1">
      <alignment horizontal="center" vertical="center"/>
      <protection/>
    </xf>
    <xf numFmtId="0" fontId="6" fillId="47" borderId="49" xfId="323" applyFont="1" applyFill="1" applyBorder="1" applyAlignment="1">
      <alignment horizontal="center" vertical="center"/>
      <protection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5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7" borderId="67" xfId="323" applyFont="1" applyFill="1" applyBorder="1" applyAlignment="1">
      <alignment horizontal="center" vertical="center"/>
      <protection/>
    </xf>
    <xf numFmtId="0" fontId="6" fillId="47" borderId="41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11" fillId="48" borderId="68" xfId="0" applyFont="1" applyFill="1" applyBorder="1" applyAlignment="1">
      <alignment horizontal="center" vertical="center" wrapText="1"/>
    </xf>
    <xf numFmtId="0" fontId="11" fillId="48" borderId="69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70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3" fontId="6" fillId="48" borderId="71" xfId="300" applyNumberFormat="1" applyFont="1" applyFill="1" applyBorder="1" applyAlignment="1">
      <alignment horizontal="right" vertical="center" indent="1"/>
    </xf>
    <xf numFmtId="3" fontId="6" fillId="48" borderId="72" xfId="300" applyNumberFormat="1" applyFont="1" applyFill="1" applyBorder="1" applyAlignment="1">
      <alignment horizontal="right" vertical="center" indent="1"/>
    </xf>
    <xf numFmtId="0" fontId="11" fillId="48" borderId="73" xfId="0" applyFont="1" applyFill="1" applyBorder="1" applyAlignment="1">
      <alignment horizontal="center" vertical="center" wrapText="1"/>
    </xf>
    <xf numFmtId="0" fontId="11" fillId="48" borderId="74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5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10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216" fontId="6" fillId="48" borderId="22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6" fillId="48" borderId="68" xfId="0" applyFont="1" applyFill="1" applyBorder="1" applyAlignment="1">
      <alignment horizontal="center" vertical="center" wrapText="1"/>
    </xf>
    <xf numFmtId="0" fontId="6" fillId="48" borderId="69" xfId="0" applyFont="1" applyFill="1" applyBorder="1" applyAlignment="1">
      <alignment horizontal="center" vertical="center" wrapText="1"/>
    </xf>
    <xf numFmtId="0" fontId="11" fillId="48" borderId="75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5"/>
          <c:w val="0.4935"/>
          <c:h val="0.793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6264.87637218</c:v>
                </c:pt>
                <c:pt idx="1">
                  <c:v>2646.462670120001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85"/>
          <c:y val="0.097"/>
          <c:w val="0.496"/>
          <c:h val="0.79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3954.7099221300014</c:v>
                </c:pt>
                <c:pt idx="1">
                  <c:v>4956.629120169999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425"/>
          <c:y val="0.1005"/>
          <c:w val="0.5045"/>
          <c:h val="0.79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7925.315011280001</c:v>
                </c:pt>
                <c:pt idx="1">
                  <c:v>986.0240310199996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75"/>
          <c:y val="0.09725"/>
          <c:w val="0.4992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3934.1998389799996</c:v>
                </c:pt>
                <c:pt idx="1">
                  <c:v>4977.13920332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4977.13920332</c:v>
                </c:pt>
                <c:pt idx="1">
                  <c:v>2126.87272331</c:v>
                </c:pt>
                <c:pt idx="2">
                  <c:v>639.1218591200001</c:v>
                </c:pt>
                <c:pt idx="3">
                  <c:v>674.7178770099999</c:v>
                </c:pt>
                <c:pt idx="4">
                  <c:v>493.48737954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6229.70204825</c:v>
                </c:pt>
                <c:pt idx="1">
                  <c:v>2176.412294500001</c:v>
                </c:pt>
                <c:pt idx="2">
                  <c:v>237.48814242</c:v>
                </c:pt>
                <c:pt idx="3">
                  <c:v>267.73655713000005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5"/>
          <c:y val="0.13025"/>
          <c:w val="0.78875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'DEP-C1'!$C$12:$AJ$13</c:f>
              <c:multiLvlStrCache/>
            </c:multiLvlStrRef>
          </c:cat>
          <c:val>
            <c:numRef>
              <c:f>'DEP-C1'!$C$15:$AJ$15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'DEP-C1'!$C$12:$AJ$13</c:f>
              <c:multiLvlStrCache/>
            </c:multiLvlStrRef>
          </c:cat>
          <c:val>
            <c:numRef>
              <c:f>'DEP-C1'!$C$16:$AJ$16</c:f>
              <c:numCache/>
            </c:numRef>
          </c:val>
        </c:ser>
        <c:axId val="64882634"/>
        <c:axId val="47072795"/>
      </c:bar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72795"/>
        <c:crosses val="autoZero"/>
        <c:auto val="1"/>
        <c:lblOffset val="100"/>
        <c:tickLblSkip val="1"/>
        <c:noMultiLvlLbl val="0"/>
      </c:catAx>
      <c:valAx>
        <c:axId val="47072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2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"/>
          <c:y val="0.489"/>
          <c:w val="0.193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02020.xls#Indice!B6" /><Relationship Id="rId3" Type="http://schemas.openxmlformats.org/officeDocument/2006/relationships/hyperlink" Target="#Reporte_Deuda_Empresas_SG_31102020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02020.xls#Indice!B6" /><Relationship Id="rId3" Type="http://schemas.openxmlformats.org/officeDocument/2006/relationships/hyperlink" Target="#Reporte_Deuda_Empresas_SG_31102020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02020.xls#Indice!B6" /><Relationship Id="rId3" Type="http://schemas.openxmlformats.org/officeDocument/2006/relationships/hyperlink" Target="#Reporte_Deuda_Empresas_SG_31102020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02020.xls#Indice!B6" /><Relationship Id="rId3" Type="http://schemas.openxmlformats.org/officeDocument/2006/relationships/hyperlink" Target="#Reporte_Deuda_Empresas_SG_31102020.xls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02020.xls#Indice!B6" /><Relationship Id="rId3" Type="http://schemas.openxmlformats.org/officeDocument/2006/relationships/hyperlink" Target="#Reporte_Deuda_Empresas_SG_31102020.xls#Indice!B6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jpeg" /><Relationship Id="rId8" Type="http://schemas.openxmlformats.org/officeDocument/2006/relationships/hyperlink" Target="#Reporte_Deuda_Empresas_SG_31102020.xls#Indice!B6" /><Relationship Id="rId9" Type="http://schemas.openxmlformats.org/officeDocument/2006/relationships/hyperlink" Target="#Reporte_Deuda_Empresas_SG_31102020.xls#Indice!B6" /><Relationship Id="rId10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102020.xls#Indice!B6" /><Relationship Id="rId4" Type="http://schemas.openxmlformats.org/officeDocument/2006/relationships/hyperlink" Target="#Reporte_Deuda_Empresas_SG_31102020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02020.xls#Indice!B6" /><Relationship Id="rId3" Type="http://schemas.openxmlformats.org/officeDocument/2006/relationships/hyperlink" Target="#Reporte_Deuda_Empresas_SG_31102020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02020.xls#Indice!B6" /><Relationship Id="rId3" Type="http://schemas.openxmlformats.org/officeDocument/2006/relationships/hyperlink" Target="#Reporte_Deuda_Empresas_SG_31102020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02020.xls#Indice!B6" /><Relationship Id="rId3" Type="http://schemas.openxmlformats.org/officeDocument/2006/relationships/hyperlink" Target="#Reporte_Deuda_Empresas_SG_31102020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02020.xls#Indice!B6" /><Relationship Id="rId3" Type="http://schemas.openxmlformats.org/officeDocument/2006/relationships/hyperlink" Target="#Reporte_Deuda_Empresas_SG_31102020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6238875</xdr:colOff>
      <xdr:row>0</xdr:row>
      <xdr:rowOff>152400</xdr:rowOff>
    </xdr:from>
    <xdr:to>
      <xdr:col>1</xdr:col>
      <xdr:colOff>6638925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123825</xdr:rowOff>
    </xdr:from>
    <xdr:to>
      <xdr:col>3</xdr:col>
      <xdr:colOff>1076325</xdr:colOff>
      <xdr:row>1</xdr:row>
      <xdr:rowOff>209550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23825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5553075</xdr:colOff>
      <xdr:row>0</xdr:row>
      <xdr:rowOff>123825</xdr:rowOff>
    </xdr:from>
    <xdr:to>
      <xdr:col>1</xdr:col>
      <xdr:colOff>5905500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23825"/>
          <a:ext cx="3524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123825</xdr:rowOff>
    </xdr:from>
    <xdr:to>
      <xdr:col>6</xdr:col>
      <xdr:colOff>390525</xdr:colOff>
      <xdr:row>2</xdr:row>
      <xdr:rowOff>114300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23825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66675</xdr:rowOff>
    </xdr:from>
    <xdr:to>
      <xdr:col>6</xdr:col>
      <xdr:colOff>419100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181225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439150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410575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181225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276850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276850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1171575</xdr:colOff>
      <xdr:row>0</xdr:row>
      <xdr:rowOff>142875</xdr:rowOff>
    </xdr:from>
    <xdr:to>
      <xdr:col>6</xdr:col>
      <xdr:colOff>152400</xdr:colOff>
      <xdr:row>2</xdr:row>
      <xdr:rowOff>104775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43600" y="142875"/>
          <a:ext cx="3619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3</xdr:row>
      <xdr:rowOff>9525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26</xdr:col>
      <xdr:colOff>390525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0715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590550</xdr:colOff>
      <xdr:row>0</xdr:row>
      <xdr:rowOff>85725</xdr:rowOff>
    </xdr:from>
    <xdr:to>
      <xdr:col>18</xdr:col>
      <xdr:colOff>161925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85725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17</xdr:col>
      <xdr:colOff>485775</xdr:colOff>
      <xdr:row>2</xdr:row>
      <xdr:rowOff>95250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8575"/>
          <a:ext cx="5867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0</xdr:row>
      <xdr:rowOff>104775</xdr:rowOff>
    </xdr:from>
    <xdr:to>
      <xdr:col>4</xdr:col>
      <xdr:colOff>142875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047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0</xdr:row>
      <xdr:rowOff>152400</xdr:rowOff>
    </xdr:from>
    <xdr:to>
      <xdr:col>3</xdr:col>
      <xdr:colOff>1104900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5240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104775</xdr:rowOff>
    </xdr:from>
    <xdr:to>
      <xdr:col>2</xdr:col>
      <xdr:colOff>1143000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114300</xdr:rowOff>
    </xdr:from>
    <xdr:to>
      <xdr:col>3</xdr:col>
      <xdr:colOff>1000125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D9" sqref="D9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2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23" t="str">
        <f>+Portada!$B$6</f>
        <v>DEUDA DE LAS EMPRESAS PÚBLICAS</v>
      </c>
      <c r="C6" s="523"/>
      <c r="D6" s="523"/>
      <c r="E6" s="523"/>
      <c r="F6" s="523"/>
      <c r="G6" s="523"/>
    </row>
    <row r="7" spans="2:7" s="4" customFormat="1" ht="24.75" customHeight="1">
      <c r="B7" s="524" t="s">
        <v>255</v>
      </c>
      <c r="C7" s="524"/>
      <c r="D7" s="524"/>
      <c r="E7" s="524"/>
      <c r="F7" s="524"/>
      <c r="G7" s="524"/>
    </row>
    <row r="8" spans="2:5" s="4" customFormat="1" ht="15.75" customHeight="1">
      <c r="B8" s="250"/>
      <c r="C8" s="250"/>
      <c r="D8" s="512"/>
      <c r="E8" s="130"/>
    </row>
    <row r="9" spans="2:5" ht="19.5" customHeight="1">
      <c r="B9" s="86"/>
      <c r="C9" s="86"/>
      <c r="D9" s="410" t="s">
        <v>67</v>
      </c>
      <c r="E9" s="86"/>
    </row>
    <row r="10" spans="2:5" s="7" customFormat="1" ht="19.5" customHeight="1">
      <c r="B10" s="183"/>
      <c r="C10" s="183"/>
      <c r="D10" s="410" t="s">
        <v>174</v>
      </c>
      <c r="E10" s="71"/>
    </row>
    <row r="11" spans="2:5" s="7" customFormat="1" ht="19.5" customHeight="1">
      <c r="B11" s="184"/>
      <c r="C11" s="183"/>
      <c r="D11" s="410" t="s">
        <v>175</v>
      </c>
      <c r="E11" s="71"/>
    </row>
    <row r="12" spans="2:5" s="7" customFormat="1" ht="9.75" customHeight="1">
      <c r="B12" s="184"/>
      <c r="C12" s="183"/>
      <c r="D12" s="319"/>
      <c r="E12" s="71"/>
    </row>
    <row r="13" spans="2:8" s="7" customFormat="1" ht="19.5" customHeight="1">
      <c r="B13" s="183" t="s">
        <v>11</v>
      </c>
      <c r="C13" s="183" t="s">
        <v>8</v>
      </c>
      <c r="D13" s="522" t="s">
        <v>216</v>
      </c>
      <c r="E13" s="522"/>
      <c r="F13" s="522"/>
      <c r="G13" s="522"/>
      <c r="H13" s="522"/>
    </row>
    <row r="14" spans="2:6" s="7" customFormat="1" ht="19.5" customHeight="1">
      <c r="B14" s="183" t="s">
        <v>12</v>
      </c>
      <c r="C14" s="183" t="s">
        <v>8</v>
      </c>
      <c r="D14" s="522" t="s">
        <v>153</v>
      </c>
      <c r="E14" s="522"/>
      <c r="F14" s="522"/>
    </row>
    <row r="15" spans="2:6" s="7" customFormat="1" ht="19.5" customHeight="1">
      <c r="B15" s="183" t="s">
        <v>13</v>
      </c>
      <c r="C15" s="183" t="s">
        <v>8</v>
      </c>
      <c r="D15" s="525" t="s">
        <v>37</v>
      </c>
      <c r="E15" s="525"/>
      <c r="F15" s="525"/>
    </row>
    <row r="16" spans="2:6" s="7" customFormat="1" ht="19.5" customHeight="1">
      <c r="B16" s="183" t="s">
        <v>14</v>
      </c>
      <c r="C16" s="183" t="s">
        <v>8</v>
      </c>
      <c r="D16" s="525" t="s">
        <v>32</v>
      </c>
      <c r="E16" s="525"/>
      <c r="F16" s="525"/>
    </row>
    <row r="17" spans="2:6" s="7" customFormat="1" ht="19.5" customHeight="1">
      <c r="B17" s="183" t="s">
        <v>91</v>
      </c>
      <c r="C17" s="183" t="s">
        <v>8</v>
      </c>
      <c r="D17" s="525" t="s">
        <v>1</v>
      </c>
      <c r="E17" s="525"/>
      <c r="F17" s="525"/>
    </row>
    <row r="18" spans="2:6" s="7" customFormat="1" ht="19.5" customHeight="1">
      <c r="B18" s="183" t="s">
        <v>60</v>
      </c>
      <c r="C18" s="183" t="s">
        <v>8</v>
      </c>
      <c r="D18" s="525" t="s">
        <v>58</v>
      </c>
      <c r="E18" s="525"/>
      <c r="F18" s="525"/>
    </row>
    <row r="19" spans="2:6" s="7" customFormat="1" ht="19.5" customHeight="1">
      <c r="B19" s="183" t="s">
        <v>15</v>
      </c>
      <c r="C19" s="183" t="s">
        <v>8</v>
      </c>
      <c r="D19" s="525" t="s">
        <v>105</v>
      </c>
      <c r="E19" s="525"/>
      <c r="F19" s="525"/>
    </row>
    <row r="20" spans="2:6" s="7" customFormat="1" ht="19.5" customHeight="1">
      <c r="B20" s="183" t="s">
        <v>16</v>
      </c>
      <c r="C20" s="183" t="s">
        <v>8</v>
      </c>
      <c r="D20" s="525" t="s">
        <v>59</v>
      </c>
      <c r="E20" s="525"/>
      <c r="F20" s="525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1102020.xls#Resumen!B5" display="CUADROS RESUMEN"/>
    <hyperlink ref="D11" location="Reporte_Deuda_Empresas_SG_31102020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1102020.xls#Portada!B6" display="PORTADA"/>
    <hyperlink ref="D19" location="'Grupo Acreedor'!A1" display="POR GRUPO DEL ACREEDOR"/>
    <hyperlink ref="D14:F14" location="Reporte_Deuda_Empresas_SG_31102020.xls#'DEP-C2'!B5" display="POR TIPO DE DEUDA Y TIPO DE EMPRESA"/>
    <hyperlink ref="D16:F16" location="'DEP-C4'!B5" display="POR TIPO DE EMPRESA Y ACREEDOR"/>
    <hyperlink ref="D15:F15" location="Reporte_Deuda_Empresas_SG_31102020.xls#'DEP-C3'!B5" display="POR TIPO DE MONEDA"/>
    <hyperlink ref="D17:F17" location="Reporte_Deuda_Empresas_SG_31102020.xls#'DEP-C5'!B5" display="POR GRUPO EMPRESARIAL DEL DEUDOR"/>
    <hyperlink ref="D18:F18" location="Reporte_Deuda_Empresas_SG_31102020.xls#'DEP-C6'!B5" display="POR GRUPO EMPRESARIAL Y ENTIDAD DEUDORA"/>
    <hyperlink ref="D20:F20" location="Reporte_Deuda_Empresas_SG_31102020.xls#'DEP-C8'!B5" display="POR TIPO DE CONCERTACIÓN Y TIPO DE EMPRESA"/>
    <hyperlink ref="D19:F19" location="Reporte_Deuda_Empresas_SG_31102020.xls#'DEP-C7'!B5" display="POR TIPO DE EMPRESA Y GRUPO DEL ACREEDOR "/>
    <hyperlink ref="D13:F13" r:id="rId1" display="EVOLUCIÓN DE LA DEUDA DE LAS EMPRESAS PÚBLICAS"/>
    <hyperlink ref="D13:H13" location="Reporte_Deuda_Empresas_SG_31102020.xls#'DEP-C1'!B5" display="EVOLUCIÓN DE LA DEUDA DE LAS EMPRESAS PÚBLICAS - POR TIPO DE DEUD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2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19.5" customHeight="1">
      <c r="B4" s="103"/>
      <c r="C4" s="103"/>
    </row>
    <row r="5" spans="2:5" ht="18">
      <c r="B5" s="129" t="s">
        <v>60</v>
      </c>
      <c r="C5" s="129"/>
      <c r="D5" s="129"/>
      <c r="E5" s="129"/>
    </row>
    <row r="6" spans="2:6" s="89" customFormat="1" ht="18.75">
      <c r="B6" s="321" t="s">
        <v>136</v>
      </c>
      <c r="C6" s="321"/>
      <c r="D6" s="321"/>
      <c r="E6" s="321"/>
      <c r="F6" s="88"/>
    </row>
    <row r="7" spans="2:6" s="89" customFormat="1" ht="18.75">
      <c r="B7" s="321" t="s">
        <v>135</v>
      </c>
      <c r="C7" s="321"/>
      <c r="D7" s="321"/>
      <c r="E7" s="265"/>
      <c r="F7" s="88"/>
    </row>
    <row r="8" spans="2:6" s="89" customFormat="1" ht="18.75">
      <c r="B8" s="345" t="s">
        <v>58</v>
      </c>
      <c r="C8" s="365"/>
      <c r="D8" s="365"/>
      <c r="E8" s="365"/>
      <c r="F8" s="88"/>
    </row>
    <row r="9" spans="2:6" s="89" customFormat="1" ht="18.75">
      <c r="B9" s="133" t="str">
        <f>+'DEP-C2'!B9</f>
        <v>Al 31 de octubre de 2020</v>
      </c>
      <c r="C9" s="366"/>
      <c r="D9" s="270"/>
      <c r="E9" s="270"/>
      <c r="F9" s="320">
        <f>+Portada!H39</f>
        <v>3.615</v>
      </c>
    </row>
    <row r="10" spans="2:5" ht="9.75" customHeight="1">
      <c r="B10" s="599"/>
      <c r="C10" s="599"/>
      <c r="D10" s="599"/>
      <c r="E10" s="599"/>
    </row>
    <row r="11" spans="2:5" ht="18" customHeight="1">
      <c r="B11" s="595" t="s">
        <v>96</v>
      </c>
      <c r="C11" s="595" t="s">
        <v>26</v>
      </c>
      <c r="D11" s="608" t="s">
        <v>87</v>
      </c>
      <c r="E11" s="606" t="s">
        <v>164</v>
      </c>
    </row>
    <row r="12" spans="2:6" s="81" customFormat="1" ht="18" customHeight="1">
      <c r="B12" s="596"/>
      <c r="C12" s="596"/>
      <c r="D12" s="598"/>
      <c r="E12" s="607"/>
      <c r="F12" s="90"/>
    </row>
    <row r="13" spans="2:6" s="81" customFormat="1" ht="9.75" customHeight="1">
      <c r="B13" s="110"/>
      <c r="C13" s="268"/>
      <c r="D13" s="94"/>
      <c r="E13" s="271"/>
      <c r="F13" s="90"/>
    </row>
    <row r="14" spans="2:6" s="65" customFormat="1" ht="16.5" customHeight="1">
      <c r="B14" s="371" t="s">
        <v>217</v>
      </c>
      <c r="C14" s="372"/>
      <c r="D14" s="481">
        <f>SUM(D15:D26)</f>
        <v>4579153.198419998</v>
      </c>
      <c r="E14" s="383">
        <f>SUM(E15:E26)</f>
        <v>16553638.81228829</v>
      </c>
      <c r="F14" s="71"/>
    </row>
    <row r="15" spans="2:6" s="65" customFormat="1" ht="16.5" customHeight="1">
      <c r="B15" s="93" t="s">
        <v>211</v>
      </c>
      <c r="C15" s="83" t="s">
        <v>92</v>
      </c>
      <c r="D15" s="482">
        <v>2387267.3657199973</v>
      </c>
      <c r="E15" s="384">
        <f aca="true" t="shared" si="0" ref="E15:E26">ROUND(D15*$F$9,8)</f>
        <v>8629971.52707779</v>
      </c>
      <c r="F15" s="71"/>
    </row>
    <row r="16" spans="2:6" s="65" customFormat="1" ht="16.5" customHeight="1">
      <c r="B16" s="93" t="s">
        <v>170</v>
      </c>
      <c r="C16" s="83" t="s">
        <v>92</v>
      </c>
      <c r="D16" s="482">
        <v>1543731.8273000002</v>
      </c>
      <c r="E16" s="384">
        <f t="shared" si="0"/>
        <v>5580590.5556895</v>
      </c>
      <c r="F16" s="71"/>
    </row>
    <row r="17" spans="2:6" s="65" customFormat="1" ht="16.5" customHeight="1">
      <c r="B17" s="93" t="s">
        <v>209</v>
      </c>
      <c r="C17" s="83" t="s">
        <v>93</v>
      </c>
      <c r="D17" s="482">
        <v>532246.49853</v>
      </c>
      <c r="E17" s="384">
        <f t="shared" si="0"/>
        <v>1924071.09218595</v>
      </c>
      <c r="F17" s="71"/>
    </row>
    <row r="18" spans="2:6" s="65" customFormat="1" ht="16.5" customHeight="1">
      <c r="B18" s="93" t="s">
        <v>195</v>
      </c>
      <c r="C18" s="83" t="s">
        <v>93</v>
      </c>
      <c r="D18" s="482">
        <v>25599.07913</v>
      </c>
      <c r="E18" s="384">
        <f t="shared" si="0"/>
        <v>92540.67105495</v>
      </c>
      <c r="F18" s="71"/>
    </row>
    <row r="19" spans="2:6" s="65" customFormat="1" ht="16.5" customHeight="1">
      <c r="B19" s="93" t="s">
        <v>124</v>
      </c>
      <c r="C19" s="83" t="s">
        <v>92</v>
      </c>
      <c r="D19" s="482">
        <v>23710.72911</v>
      </c>
      <c r="E19" s="384">
        <f t="shared" si="0"/>
        <v>85714.28573265</v>
      </c>
      <c r="F19" s="71"/>
    </row>
    <row r="20" spans="2:6" s="65" customFormat="1" ht="16.5" customHeight="1">
      <c r="B20" s="93" t="s">
        <v>169</v>
      </c>
      <c r="C20" s="83" t="s">
        <v>93</v>
      </c>
      <c r="D20" s="482">
        <v>22445.220459999997</v>
      </c>
      <c r="E20" s="384">
        <f t="shared" si="0"/>
        <v>81139.4719629</v>
      </c>
      <c r="F20" s="71"/>
    </row>
    <row r="21" spans="2:6" s="65" customFormat="1" ht="16.5" customHeight="1">
      <c r="B21" s="93" t="s">
        <v>168</v>
      </c>
      <c r="C21" s="83" t="s">
        <v>93</v>
      </c>
      <c r="D21" s="482">
        <v>17071.40915</v>
      </c>
      <c r="E21" s="384">
        <f t="shared" si="0"/>
        <v>61713.14407725</v>
      </c>
      <c r="F21" s="71"/>
    </row>
    <row r="22" spans="2:6" s="65" customFormat="1" ht="16.5" customHeight="1">
      <c r="B22" s="93" t="s">
        <v>194</v>
      </c>
      <c r="C22" s="83" t="s">
        <v>93</v>
      </c>
      <c r="D22" s="482">
        <v>10298.31369</v>
      </c>
      <c r="E22" s="384">
        <f t="shared" si="0"/>
        <v>37228.40398935</v>
      </c>
      <c r="F22" s="71"/>
    </row>
    <row r="23" spans="2:6" s="65" customFormat="1" ht="16.5" customHeight="1">
      <c r="B23" s="93" t="s">
        <v>193</v>
      </c>
      <c r="C23" s="83" t="s">
        <v>93</v>
      </c>
      <c r="D23" s="482">
        <v>8285.33188</v>
      </c>
      <c r="E23" s="384">
        <f t="shared" si="0"/>
        <v>29951.4747462</v>
      </c>
      <c r="F23" s="71"/>
    </row>
    <row r="24" spans="2:6" s="65" customFormat="1" ht="16.5" customHeight="1">
      <c r="B24" s="66" t="s">
        <v>196</v>
      </c>
      <c r="C24" s="83" t="s">
        <v>93</v>
      </c>
      <c r="D24" s="482">
        <v>5194.475549999999</v>
      </c>
      <c r="E24" s="384">
        <f t="shared" si="0"/>
        <v>18778.02911325</v>
      </c>
      <c r="F24" s="71"/>
    </row>
    <row r="25" spans="2:6" s="65" customFormat="1" ht="16.5" customHeight="1">
      <c r="B25" s="66" t="s">
        <v>158</v>
      </c>
      <c r="C25" s="83" t="s">
        <v>93</v>
      </c>
      <c r="D25" s="482">
        <v>2395.01934</v>
      </c>
      <c r="E25" s="384">
        <f t="shared" si="0"/>
        <v>8657.9949141</v>
      </c>
      <c r="F25" s="71"/>
    </row>
    <row r="26" spans="2:6" s="65" customFormat="1" ht="16.5" customHeight="1">
      <c r="B26" s="93" t="s">
        <v>238</v>
      </c>
      <c r="C26" s="83" t="s">
        <v>93</v>
      </c>
      <c r="D26" s="482">
        <v>907.92856</v>
      </c>
      <c r="E26" s="384">
        <f t="shared" si="0"/>
        <v>3282.1617444</v>
      </c>
      <c r="F26" s="71"/>
    </row>
    <row r="27" spans="2:6" s="65" customFormat="1" ht="12" customHeight="1">
      <c r="B27" s="93"/>
      <c r="C27" s="83"/>
      <c r="D27" s="482"/>
      <c r="E27" s="384"/>
      <c r="F27" s="71"/>
    </row>
    <row r="28" spans="2:7" s="65" customFormat="1" ht="16.5" customHeight="1">
      <c r="B28" s="371" t="s">
        <v>115</v>
      </c>
      <c r="C28" s="372"/>
      <c r="D28" s="481">
        <f>SUM(D29:D42)</f>
        <v>69333.85014</v>
      </c>
      <c r="E28" s="383">
        <f>SUM(E29:E42)</f>
        <v>250641.86825609996</v>
      </c>
      <c r="F28" s="91"/>
      <c r="G28" s="448"/>
    </row>
    <row r="29" spans="2:9" s="92" customFormat="1" ht="16.5" customHeight="1">
      <c r="B29" s="93" t="s">
        <v>199</v>
      </c>
      <c r="C29" s="83" t="s">
        <v>93</v>
      </c>
      <c r="D29" s="482">
        <v>37879.814869999995</v>
      </c>
      <c r="E29" s="384">
        <f aca="true" t="shared" si="1" ref="E29:E42">ROUND(D29*$F$9,8)</f>
        <v>136935.53075505</v>
      </c>
      <c r="F29" s="91"/>
      <c r="G29" s="448"/>
      <c r="H29" s="65"/>
      <c r="I29" s="65"/>
    </row>
    <row r="30" spans="2:9" s="92" customFormat="1" ht="16.5" customHeight="1">
      <c r="B30" s="93" t="s">
        <v>208</v>
      </c>
      <c r="C30" s="83" t="s">
        <v>93</v>
      </c>
      <c r="D30" s="482">
        <v>5323.92195</v>
      </c>
      <c r="E30" s="384">
        <f t="shared" si="1"/>
        <v>19245.97784925</v>
      </c>
      <c r="F30" s="91"/>
      <c r="G30" s="448"/>
      <c r="H30" s="65"/>
      <c r="I30" s="65"/>
    </row>
    <row r="31" spans="2:9" s="92" customFormat="1" ht="16.5" customHeight="1">
      <c r="B31" s="93" t="s">
        <v>197</v>
      </c>
      <c r="C31" s="83" t="s">
        <v>93</v>
      </c>
      <c r="D31" s="482">
        <v>5029.5273</v>
      </c>
      <c r="E31" s="384">
        <f t="shared" si="1"/>
        <v>18181.7411895</v>
      </c>
      <c r="F31" s="91"/>
      <c r="G31" s="448"/>
      <c r="H31" s="65"/>
      <c r="I31" s="65"/>
    </row>
    <row r="32" spans="2:9" s="92" customFormat="1" ht="16.5" customHeight="1">
      <c r="B32" s="66" t="s">
        <v>206</v>
      </c>
      <c r="C32" s="83" t="s">
        <v>93</v>
      </c>
      <c r="D32" s="482">
        <v>4816.2434299999995</v>
      </c>
      <c r="E32" s="384">
        <f t="shared" si="1"/>
        <v>17410.71999945</v>
      </c>
      <c r="F32" s="91"/>
      <c r="G32" s="448"/>
      <c r="H32" s="65"/>
      <c r="I32" s="65"/>
    </row>
    <row r="33" spans="2:9" s="92" customFormat="1" ht="16.5" customHeight="1">
      <c r="B33" s="66" t="s">
        <v>69</v>
      </c>
      <c r="C33" s="83" t="s">
        <v>93</v>
      </c>
      <c r="D33" s="482">
        <v>3759.6757</v>
      </c>
      <c r="E33" s="384">
        <f t="shared" si="1"/>
        <v>13591.2276555</v>
      </c>
      <c r="F33" s="91"/>
      <c r="G33" s="448"/>
      <c r="H33" s="65"/>
      <c r="I33" s="65"/>
    </row>
    <row r="34" spans="2:9" s="92" customFormat="1" ht="16.5" customHeight="1">
      <c r="B34" s="93" t="s">
        <v>198</v>
      </c>
      <c r="C34" s="83" t="s">
        <v>93</v>
      </c>
      <c r="D34" s="482">
        <v>3222.91638</v>
      </c>
      <c r="E34" s="384">
        <f t="shared" si="1"/>
        <v>11650.8427137</v>
      </c>
      <c r="F34" s="91"/>
      <c r="G34" s="448"/>
      <c r="H34" s="65"/>
      <c r="I34" s="65"/>
    </row>
    <row r="35" spans="2:9" s="92" customFormat="1" ht="16.5" customHeight="1">
      <c r="B35" s="66" t="s">
        <v>44</v>
      </c>
      <c r="C35" s="83" t="s">
        <v>93</v>
      </c>
      <c r="D35" s="482">
        <v>2538.81492</v>
      </c>
      <c r="E35" s="384">
        <f t="shared" si="1"/>
        <v>9177.8159358</v>
      </c>
      <c r="F35" s="91"/>
      <c r="G35" s="448"/>
      <c r="H35" s="65"/>
      <c r="I35" s="65"/>
    </row>
    <row r="36" spans="2:9" s="92" customFormat="1" ht="16.5" customHeight="1">
      <c r="B36" s="66" t="s">
        <v>49</v>
      </c>
      <c r="C36" s="83" t="s">
        <v>93</v>
      </c>
      <c r="D36" s="482">
        <v>2078.04059</v>
      </c>
      <c r="E36" s="384">
        <f t="shared" si="1"/>
        <v>7512.11673285</v>
      </c>
      <c r="F36" s="91"/>
      <c r="G36" s="448"/>
      <c r="H36" s="65"/>
      <c r="I36" s="65"/>
    </row>
    <row r="37" spans="2:9" s="92" customFormat="1" ht="16.5" customHeight="1">
      <c r="B37" s="66" t="s">
        <v>42</v>
      </c>
      <c r="C37" s="83" t="s">
        <v>93</v>
      </c>
      <c r="D37" s="482">
        <v>1577.6171</v>
      </c>
      <c r="E37" s="384">
        <f t="shared" si="1"/>
        <v>5703.0858165</v>
      </c>
      <c r="F37" s="91"/>
      <c r="G37" s="448"/>
      <c r="H37" s="65"/>
      <c r="I37" s="65"/>
    </row>
    <row r="38" spans="2:9" s="92" customFormat="1" ht="16.5" customHeight="1">
      <c r="B38" s="66" t="s">
        <v>51</v>
      </c>
      <c r="C38" s="83" t="s">
        <v>93</v>
      </c>
      <c r="D38" s="482">
        <v>1489.33891</v>
      </c>
      <c r="E38" s="384">
        <f t="shared" si="1"/>
        <v>5383.96015965</v>
      </c>
      <c r="F38" s="91"/>
      <c r="G38" s="448"/>
      <c r="H38" s="65"/>
      <c r="I38" s="65"/>
    </row>
    <row r="39" spans="2:9" s="92" customFormat="1" ht="16.5" customHeight="1">
      <c r="B39" s="66" t="s">
        <v>233</v>
      </c>
      <c r="C39" s="83" t="s">
        <v>93</v>
      </c>
      <c r="D39" s="482">
        <v>714.9009599999999</v>
      </c>
      <c r="E39" s="384">
        <f>ROUND(D39*$F$9,8)</f>
        <v>2584.3669704</v>
      </c>
      <c r="F39" s="91"/>
      <c r="G39" s="448"/>
      <c r="H39" s="65"/>
      <c r="I39" s="65"/>
    </row>
    <row r="40" spans="2:9" s="92" customFormat="1" ht="16.5" customHeight="1">
      <c r="B40" s="66" t="s">
        <v>207</v>
      </c>
      <c r="C40" s="83" t="s">
        <v>93</v>
      </c>
      <c r="D40" s="482">
        <v>559.8890600000001</v>
      </c>
      <c r="E40" s="384">
        <f t="shared" si="1"/>
        <v>2023.9989519</v>
      </c>
      <c r="F40" s="91"/>
      <c r="G40" s="448"/>
      <c r="H40" s="65"/>
      <c r="I40" s="65"/>
    </row>
    <row r="41" spans="2:9" s="92" customFormat="1" ht="16.5" customHeight="1">
      <c r="B41" s="66" t="s">
        <v>229</v>
      </c>
      <c r="C41" s="83" t="s">
        <v>93</v>
      </c>
      <c r="D41" s="482">
        <v>299.59310999999997</v>
      </c>
      <c r="E41" s="384">
        <f t="shared" si="1"/>
        <v>1083.02909265</v>
      </c>
      <c r="F41" s="91"/>
      <c r="G41" s="448"/>
      <c r="H41" s="65"/>
      <c r="I41" s="65"/>
    </row>
    <row r="42" spans="2:9" s="92" customFormat="1" ht="16.5" customHeight="1">
      <c r="B42" s="66" t="s">
        <v>43</v>
      </c>
      <c r="C42" s="83" t="s">
        <v>93</v>
      </c>
      <c r="D42" s="482">
        <v>43.55586</v>
      </c>
      <c r="E42" s="384">
        <f t="shared" si="1"/>
        <v>157.4544339</v>
      </c>
      <c r="F42" s="91"/>
      <c r="G42" s="448"/>
      <c r="H42" s="65"/>
      <c r="I42" s="65"/>
    </row>
    <row r="43" spans="2:7" s="65" customFormat="1" ht="12" customHeight="1">
      <c r="B43" s="93"/>
      <c r="C43" s="83"/>
      <c r="D43" s="482"/>
      <c r="E43" s="384"/>
      <c r="F43" s="91"/>
      <c r="G43" s="448"/>
    </row>
    <row r="44" spans="2:9" s="92" customFormat="1" ht="16.5" customHeight="1">
      <c r="B44" s="371" t="s">
        <v>86</v>
      </c>
      <c r="C44" s="372"/>
      <c r="D44" s="481">
        <f>+D45</f>
        <v>3276827.9627199997</v>
      </c>
      <c r="E44" s="484">
        <f>+E45</f>
        <v>11845733.0852328</v>
      </c>
      <c r="F44" s="91"/>
      <c r="G44" s="448"/>
      <c r="H44" s="65"/>
      <c r="I44" s="65"/>
    </row>
    <row r="45" spans="2:9" s="92" customFormat="1" ht="16.5" customHeight="1">
      <c r="B45" s="93" t="s">
        <v>201</v>
      </c>
      <c r="C45" s="83" t="s">
        <v>93</v>
      </c>
      <c r="D45" s="482">
        <v>3276827.9627199997</v>
      </c>
      <c r="E45" s="384">
        <f>ROUND(D45*$F$9,8)</f>
        <v>11845733.0852328</v>
      </c>
      <c r="F45" s="91"/>
      <c r="G45" s="448"/>
      <c r="H45" s="65"/>
      <c r="I45" s="65"/>
    </row>
    <row r="46" spans="2:7" s="65" customFormat="1" ht="9.75" customHeight="1">
      <c r="B46" s="84"/>
      <c r="C46" s="85"/>
      <c r="D46" s="483"/>
      <c r="E46" s="480"/>
      <c r="F46" s="91"/>
      <c r="G46" s="448"/>
    </row>
    <row r="47" spans="2:9" s="81" customFormat="1" ht="15" customHeight="1">
      <c r="B47" s="591" t="s">
        <v>61</v>
      </c>
      <c r="C47" s="609"/>
      <c r="D47" s="611">
        <f>+D28+D14+D44</f>
        <v>7925315.011279998</v>
      </c>
      <c r="E47" s="593">
        <f>+E28+E14+E44</f>
        <v>28650013.765777193</v>
      </c>
      <c r="F47" s="91"/>
      <c r="G47" s="448"/>
      <c r="H47" s="65"/>
      <c r="I47" s="65"/>
    </row>
    <row r="48" spans="2:9" s="81" customFormat="1" ht="15" customHeight="1">
      <c r="B48" s="592"/>
      <c r="C48" s="610"/>
      <c r="D48" s="612"/>
      <c r="E48" s="594"/>
      <c r="F48" s="91"/>
      <c r="G48" s="448"/>
      <c r="H48" s="65"/>
      <c r="I48" s="65"/>
    </row>
    <row r="49" spans="2:9" ht="15">
      <c r="B49" s="141"/>
      <c r="C49" s="141"/>
      <c r="D49" s="141"/>
      <c r="E49" s="141"/>
      <c r="F49" s="91"/>
      <c r="G49" s="448"/>
      <c r="H49" s="65"/>
      <c r="I49" s="65"/>
    </row>
    <row r="50" spans="2:9" ht="15">
      <c r="B50" s="141"/>
      <c r="C50" s="141"/>
      <c r="D50" s="460"/>
      <c r="E50" s="425"/>
      <c r="F50" s="91"/>
      <c r="G50" s="448"/>
      <c r="H50" s="65"/>
      <c r="I50" s="65"/>
    </row>
    <row r="51" spans="2:9" ht="15">
      <c r="B51" s="141"/>
      <c r="C51" s="141"/>
      <c r="D51" s="426"/>
      <c r="E51" s="427"/>
      <c r="F51" s="91"/>
      <c r="G51" s="448"/>
      <c r="H51" s="65"/>
      <c r="I51" s="65"/>
    </row>
    <row r="52" spans="2:9" ht="15">
      <c r="B52" s="141"/>
      <c r="C52" s="427"/>
      <c r="D52" s="426"/>
      <c r="E52" s="427"/>
      <c r="F52" s="91"/>
      <c r="G52" s="448"/>
      <c r="H52" s="65"/>
      <c r="I52" s="65"/>
    </row>
    <row r="53" spans="2:9" ht="15">
      <c r="B53" s="141"/>
      <c r="C53" s="141"/>
      <c r="D53" s="428"/>
      <c r="E53" s="428"/>
      <c r="F53" s="91"/>
      <c r="G53" s="65"/>
      <c r="H53" s="65"/>
      <c r="I53" s="65"/>
    </row>
    <row r="54" spans="2:7" ht="18">
      <c r="B54" s="367" t="s">
        <v>120</v>
      </c>
      <c r="C54" s="367"/>
      <c r="D54" s="367"/>
      <c r="E54" s="367"/>
      <c r="F54" s="424"/>
      <c r="G54" s="448"/>
    </row>
    <row r="55" spans="2:7" s="89" customFormat="1" ht="18.75">
      <c r="B55" s="368" t="s">
        <v>136</v>
      </c>
      <c r="C55" s="368"/>
      <c r="D55" s="368"/>
      <c r="E55" s="368"/>
      <c r="F55" s="424"/>
      <c r="G55" s="448"/>
    </row>
    <row r="56" spans="2:7" s="89" customFormat="1" ht="18.75">
      <c r="B56" s="368" t="s">
        <v>137</v>
      </c>
      <c r="C56" s="368"/>
      <c r="D56" s="368"/>
      <c r="E56" s="259"/>
      <c r="F56" s="424"/>
      <c r="G56" s="65"/>
    </row>
    <row r="57" spans="2:7" s="89" customFormat="1" ht="18.75">
      <c r="B57" s="370" t="s">
        <v>58</v>
      </c>
      <c r="C57" s="369"/>
      <c r="D57" s="369"/>
      <c r="E57" s="369"/>
      <c r="F57" s="424"/>
      <c r="G57" s="65"/>
    </row>
    <row r="58" spans="2:7" s="89" customFormat="1" ht="18.75">
      <c r="B58" s="133" t="str">
        <f>+B9</f>
        <v>Al 31 de octubre de 2020</v>
      </c>
      <c r="C58" s="366"/>
      <c r="D58" s="258"/>
      <c r="E58" s="258"/>
      <c r="F58" s="424"/>
      <c r="G58" s="65"/>
    </row>
    <row r="59" spans="2:7" ht="6" customHeight="1">
      <c r="B59" s="613"/>
      <c r="C59" s="613"/>
      <c r="D59" s="613"/>
      <c r="E59" s="613"/>
      <c r="F59" s="424"/>
      <c r="G59" s="65"/>
    </row>
    <row r="60" spans="2:5" ht="18" customHeight="1">
      <c r="B60" s="595" t="s">
        <v>96</v>
      </c>
      <c r="C60" s="595" t="s">
        <v>26</v>
      </c>
      <c r="D60" s="608" t="s">
        <v>87</v>
      </c>
      <c r="E60" s="606" t="s">
        <v>164</v>
      </c>
    </row>
    <row r="61" spans="2:6" s="81" customFormat="1" ht="18" customHeight="1">
      <c r="B61" s="596"/>
      <c r="C61" s="596"/>
      <c r="D61" s="598"/>
      <c r="E61" s="607"/>
      <c r="F61" s="90"/>
    </row>
    <row r="62" spans="2:6" s="81" customFormat="1" ht="9.75" customHeight="1">
      <c r="B62" s="110"/>
      <c r="C62" s="257"/>
      <c r="D62" s="94"/>
      <c r="E62" s="261"/>
      <c r="F62" s="90"/>
    </row>
    <row r="63" spans="2:7" s="65" customFormat="1" ht="16.5" customHeight="1">
      <c r="B63" s="371" t="s">
        <v>85</v>
      </c>
      <c r="C63" s="372"/>
      <c r="D63" s="481">
        <f>SUM(D64:D71)</f>
        <v>267802.73088000005</v>
      </c>
      <c r="E63" s="383">
        <f>SUM(E64:E71)</f>
        <v>968106.8721311998</v>
      </c>
      <c r="F63" s="71"/>
      <c r="G63" s="448"/>
    </row>
    <row r="64" spans="2:7" s="65" customFormat="1" ht="16.5" customHeight="1">
      <c r="B64" s="93" t="s">
        <v>171</v>
      </c>
      <c r="C64" s="83" t="s">
        <v>93</v>
      </c>
      <c r="D64" s="485">
        <v>63026.32783</v>
      </c>
      <c r="E64" s="384">
        <f aca="true" t="shared" si="2" ref="E64:E71">ROUND(D64*$F$9,8)</f>
        <v>227840.17510545</v>
      </c>
      <c r="F64" s="71"/>
      <c r="G64" s="448"/>
    </row>
    <row r="65" spans="2:7" s="65" customFormat="1" ht="16.5" customHeight="1">
      <c r="B65" s="93" t="s">
        <v>195</v>
      </c>
      <c r="C65" s="83" t="s">
        <v>93</v>
      </c>
      <c r="D65" s="485">
        <v>62982.93708000002</v>
      </c>
      <c r="E65" s="384">
        <f t="shared" si="2"/>
        <v>227683.3175442</v>
      </c>
      <c r="F65" s="71"/>
      <c r="G65" s="448"/>
    </row>
    <row r="66" spans="2:7" s="65" customFormat="1" ht="16.5" customHeight="1">
      <c r="B66" s="93" t="s">
        <v>168</v>
      </c>
      <c r="C66" s="83" t="s">
        <v>93</v>
      </c>
      <c r="D66" s="485">
        <v>40193.637619999994</v>
      </c>
      <c r="E66" s="384">
        <f t="shared" si="2"/>
        <v>145299.9999963</v>
      </c>
      <c r="F66" s="71"/>
      <c r="G66" s="448"/>
    </row>
    <row r="67" spans="2:7" s="65" customFormat="1" ht="16.5" customHeight="1">
      <c r="B67" s="93" t="s">
        <v>218</v>
      </c>
      <c r="C67" s="83" t="s">
        <v>93</v>
      </c>
      <c r="D67" s="485">
        <v>39972.33739000001</v>
      </c>
      <c r="E67" s="384">
        <f t="shared" si="2"/>
        <v>144499.99966485</v>
      </c>
      <c r="F67" s="71"/>
      <c r="G67" s="448"/>
    </row>
    <row r="68" spans="2:7" s="65" customFormat="1" ht="16.5" customHeight="1">
      <c r="B68" s="93" t="s">
        <v>231</v>
      </c>
      <c r="C68" s="83" t="s">
        <v>93</v>
      </c>
      <c r="D68" s="485">
        <v>23425.554840000004</v>
      </c>
      <c r="E68" s="384">
        <f t="shared" si="2"/>
        <v>84683.3807466</v>
      </c>
      <c r="F68" s="71"/>
      <c r="G68" s="448"/>
    </row>
    <row r="69" spans="2:7" s="65" customFormat="1" ht="16.5" customHeight="1">
      <c r="B69" s="93" t="s">
        <v>193</v>
      </c>
      <c r="C69" s="83" t="s">
        <v>93</v>
      </c>
      <c r="D69" s="485">
        <v>20774.55021</v>
      </c>
      <c r="E69" s="384">
        <f t="shared" si="2"/>
        <v>75099.99900915</v>
      </c>
      <c r="F69" s="71"/>
      <c r="G69" s="448"/>
    </row>
    <row r="70" spans="2:7" s="65" customFormat="1" ht="16.5" customHeight="1">
      <c r="B70" s="93" t="s">
        <v>242</v>
      </c>
      <c r="C70" s="83" t="s">
        <v>93</v>
      </c>
      <c r="D70" s="485">
        <v>10650.06916</v>
      </c>
      <c r="E70" s="384">
        <f t="shared" si="2"/>
        <v>38500.0000134</v>
      </c>
      <c r="F70" s="71"/>
      <c r="G70" s="448"/>
    </row>
    <row r="71" spans="2:7" s="65" customFormat="1" ht="16.5" customHeight="1">
      <c r="B71" s="93" t="s">
        <v>243</v>
      </c>
      <c r="C71" s="83" t="s">
        <v>93</v>
      </c>
      <c r="D71" s="485">
        <v>6777.31675</v>
      </c>
      <c r="E71" s="384">
        <f t="shared" si="2"/>
        <v>24500.00005125</v>
      </c>
      <c r="F71" s="71"/>
      <c r="G71" s="448"/>
    </row>
    <row r="72" spans="2:7" s="65" customFormat="1" ht="12" customHeight="1">
      <c r="B72" s="70"/>
      <c r="C72" s="72"/>
      <c r="D72" s="485"/>
      <c r="E72" s="391"/>
      <c r="F72" s="71"/>
      <c r="G72" s="448"/>
    </row>
    <row r="73" spans="2:7" s="92" customFormat="1" ht="16.5" customHeight="1">
      <c r="B73" s="371" t="s">
        <v>159</v>
      </c>
      <c r="C73" s="72"/>
      <c r="D73" s="481">
        <f>+D74</f>
        <v>718221.30014</v>
      </c>
      <c r="E73" s="383">
        <f>+E74</f>
        <v>2596370.0000061</v>
      </c>
      <c r="F73" s="71"/>
      <c r="G73" s="448"/>
    </row>
    <row r="74" spans="2:7" s="92" customFormat="1" ht="16.5" customHeight="1">
      <c r="B74" s="93" t="s">
        <v>201</v>
      </c>
      <c r="C74" s="83" t="s">
        <v>93</v>
      </c>
      <c r="D74" s="482">
        <v>718221.30014</v>
      </c>
      <c r="E74" s="384">
        <f>ROUND(D74*$F$9,8)</f>
        <v>2596370.0000061</v>
      </c>
      <c r="F74" s="71"/>
      <c r="G74" s="448"/>
    </row>
    <row r="75" spans="2:7" s="65" customFormat="1" ht="9.75" customHeight="1">
      <c r="B75" s="84"/>
      <c r="C75" s="85"/>
      <c r="D75" s="483"/>
      <c r="E75" s="480"/>
      <c r="F75" s="71"/>
      <c r="G75" s="448"/>
    </row>
    <row r="76" spans="2:7" s="81" customFormat="1" ht="15" customHeight="1">
      <c r="B76" s="591" t="s">
        <v>61</v>
      </c>
      <c r="C76" s="609"/>
      <c r="D76" s="611">
        <f>+D63+D73</f>
        <v>986024.03102</v>
      </c>
      <c r="E76" s="593">
        <f>+E63+E73</f>
        <v>3564476.8721372997</v>
      </c>
      <c r="F76" s="71"/>
      <c r="G76" s="448"/>
    </row>
    <row r="77" spans="2:6" s="81" customFormat="1" ht="15" customHeight="1">
      <c r="B77" s="592"/>
      <c r="C77" s="610"/>
      <c r="D77" s="612"/>
      <c r="E77" s="594"/>
      <c r="F77" s="90"/>
    </row>
    <row r="79" spans="2:5" ht="15">
      <c r="B79" s="134"/>
      <c r="D79" s="373"/>
      <c r="E79" s="295"/>
    </row>
    <row r="80" spans="2:5" ht="15">
      <c r="B80" s="134"/>
      <c r="D80" s="373"/>
      <c r="E80" s="295"/>
    </row>
    <row r="81" spans="4:5" ht="12.75">
      <c r="D81" s="296"/>
      <c r="E81" s="296"/>
    </row>
    <row r="82" spans="4:5" ht="12.75">
      <c r="D82" s="245"/>
      <c r="E82" s="245"/>
    </row>
  </sheetData>
  <sheetProtection/>
  <mergeCells count="18">
    <mergeCell ref="B60:B61"/>
    <mergeCell ref="C60:C61"/>
    <mergeCell ref="D60:D61"/>
    <mergeCell ref="E60:E61"/>
    <mergeCell ref="B47:B48"/>
    <mergeCell ref="C47:C48"/>
    <mergeCell ref="D47:D48"/>
    <mergeCell ref="E47:E48"/>
    <mergeCell ref="B10:E10"/>
    <mergeCell ref="B11:B12"/>
    <mergeCell ref="C11:C12"/>
    <mergeCell ref="E11:E12"/>
    <mergeCell ref="D11:D12"/>
    <mergeCell ref="E76:E77"/>
    <mergeCell ref="B76:B77"/>
    <mergeCell ref="C76:C77"/>
    <mergeCell ref="D76:D77"/>
    <mergeCell ref="B59:E59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1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7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14"/>
      <c r="C1" s="614"/>
      <c r="D1" s="614"/>
      <c r="E1" s="614"/>
    </row>
    <row r="2" spans="2:5" s="136" customFormat="1" ht="18.75" customHeight="1">
      <c r="B2" s="614"/>
      <c r="C2" s="614"/>
      <c r="D2" s="614"/>
      <c r="E2" s="614"/>
    </row>
    <row r="3" spans="2:5" s="136" customFormat="1" ht="11.25" customHeight="1">
      <c r="B3" s="614"/>
      <c r="C3" s="614"/>
      <c r="D3" s="614"/>
      <c r="E3" s="614"/>
    </row>
    <row r="4" spans="2:11" s="136" customFormat="1" ht="15" customHeight="1">
      <c r="B4" s="614"/>
      <c r="C4" s="614"/>
      <c r="D4" s="614"/>
      <c r="E4" s="614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21" t="s">
        <v>136</v>
      </c>
      <c r="C6" s="321"/>
      <c r="D6" s="321"/>
      <c r="E6" s="321"/>
      <c r="F6" s="135"/>
      <c r="G6" s="132"/>
      <c r="H6" s="132"/>
      <c r="I6" s="132"/>
      <c r="J6" s="132"/>
      <c r="K6" s="132"/>
    </row>
    <row r="7" spans="2:11" ht="18">
      <c r="B7" s="321" t="s">
        <v>135</v>
      </c>
      <c r="C7" s="321"/>
      <c r="D7" s="321"/>
      <c r="E7" s="321"/>
      <c r="F7" s="135"/>
      <c r="G7" s="132"/>
      <c r="H7" s="132"/>
      <c r="I7" s="132"/>
      <c r="J7" s="132"/>
      <c r="K7" s="132"/>
    </row>
    <row r="8" spans="2:11" ht="16.5">
      <c r="B8" s="345" t="s">
        <v>105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31 de octubre de 2020</v>
      </c>
      <c r="C9" s="133"/>
      <c r="D9" s="133"/>
      <c r="E9" s="267"/>
      <c r="F9" s="374">
        <f>+Portada!H39</f>
        <v>3.615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7" t="s">
        <v>212</v>
      </c>
      <c r="C11" s="620" t="s">
        <v>101</v>
      </c>
      <c r="D11" s="622" t="s">
        <v>87</v>
      </c>
      <c r="E11" s="587" t="s">
        <v>164</v>
      </c>
      <c r="G11" s="132"/>
      <c r="H11" s="132"/>
      <c r="I11" s="132"/>
      <c r="J11" s="132"/>
      <c r="K11" s="132"/>
    </row>
    <row r="12" spans="2:11" s="81" customFormat="1" ht="16.5" customHeight="1">
      <c r="B12" s="396" t="s">
        <v>213</v>
      </c>
      <c r="C12" s="621"/>
      <c r="D12" s="623"/>
      <c r="E12" s="588"/>
      <c r="G12" s="166"/>
      <c r="H12" s="166"/>
      <c r="I12" s="166"/>
      <c r="J12" s="166"/>
      <c r="K12" s="166"/>
    </row>
    <row r="13" spans="2:11" s="81" customFormat="1" ht="9.75" customHeight="1">
      <c r="B13" s="266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4" t="s">
        <v>89</v>
      </c>
      <c r="C14" s="364"/>
      <c r="D14" s="383">
        <f>+D15+D18+D20+D22+D25</f>
        <v>3970605.0891499994</v>
      </c>
      <c r="E14" s="383">
        <f>+E15+E18+E20+E22+E25</f>
        <v>14353737.39726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79">
        <f>SUM(D16:D17)</f>
        <v>1279594.21445</v>
      </c>
      <c r="E15" s="479">
        <f>SUM(E16:E17)</f>
        <v>4625733.08523</v>
      </c>
      <c r="G15" s="165"/>
      <c r="H15" s="165"/>
      <c r="I15" s="165"/>
      <c r="J15" s="165"/>
      <c r="K15" s="165"/>
    </row>
    <row r="16" spans="2:11" s="65" customFormat="1" ht="16.5" customHeight="1">
      <c r="B16" s="390" t="s">
        <v>232</v>
      </c>
      <c r="C16" s="74" t="s">
        <v>103</v>
      </c>
      <c r="D16" s="386">
        <v>1276827.9627200002</v>
      </c>
      <c r="E16" s="386">
        <f>ROUND(+D16*$F$9,5)</f>
        <v>4615733.08523</v>
      </c>
      <c r="G16" s="165"/>
      <c r="H16" s="165"/>
      <c r="I16" s="165"/>
      <c r="J16" s="165"/>
      <c r="K16" s="165"/>
    </row>
    <row r="17" spans="2:11" s="65" customFormat="1" ht="16.5" customHeight="1">
      <c r="B17" s="390" t="s">
        <v>188</v>
      </c>
      <c r="C17" s="74" t="s">
        <v>102</v>
      </c>
      <c r="D17" s="386">
        <v>2766.25173</v>
      </c>
      <c r="E17" s="386">
        <f>ROUND(+D17*$F$9,5)</f>
        <v>10000</v>
      </c>
      <c r="G17" s="165"/>
      <c r="H17" s="165"/>
      <c r="I17" s="165"/>
      <c r="J17" s="165"/>
      <c r="K17" s="165"/>
    </row>
    <row r="18" spans="2:11" s="65" customFormat="1" ht="16.5" customHeight="1">
      <c r="B18" s="73" t="s">
        <v>125</v>
      </c>
      <c r="C18" s="74"/>
      <c r="D18" s="479">
        <f>+D19</f>
        <v>1813.31267</v>
      </c>
      <c r="E18" s="479">
        <f>+E19</f>
        <v>6555.1253</v>
      </c>
      <c r="G18" s="165"/>
      <c r="H18" s="165"/>
      <c r="I18" s="165"/>
      <c r="J18" s="165"/>
      <c r="K18" s="165"/>
    </row>
    <row r="19" spans="2:11" s="65" customFormat="1" ht="16.5" customHeight="1">
      <c r="B19" s="390" t="s">
        <v>185</v>
      </c>
      <c r="C19" s="74" t="s">
        <v>102</v>
      </c>
      <c r="D19" s="386">
        <v>1813.31267</v>
      </c>
      <c r="E19" s="386">
        <f aca="true" t="shared" si="0" ref="E19:E24">ROUND(+D19*$F$9,5)</f>
        <v>6555.1253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75</v>
      </c>
      <c r="C20" s="74"/>
      <c r="D20" s="479">
        <f>+D21</f>
        <v>2000000</v>
      </c>
      <c r="E20" s="479">
        <f>+E21</f>
        <v>7230000</v>
      </c>
      <c r="G20" s="165"/>
      <c r="H20" s="165"/>
      <c r="I20" s="165"/>
      <c r="J20" s="165"/>
      <c r="K20" s="165"/>
    </row>
    <row r="21" spans="2:11" s="65" customFormat="1" ht="16.5" customHeight="1">
      <c r="B21" s="395" t="s">
        <v>225</v>
      </c>
      <c r="C21" s="74" t="s">
        <v>103</v>
      </c>
      <c r="D21" s="386">
        <v>2000000</v>
      </c>
      <c r="E21" s="386">
        <f>ROUND(+D21*$F$9,5)</f>
        <v>7230000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88</v>
      </c>
      <c r="C22" s="73"/>
      <c r="D22" s="479">
        <f>SUM(D23:D24)</f>
        <v>602118.49948</v>
      </c>
      <c r="E22" s="479">
        <f>SUM(E23:E24)</f>
        <v>2176658.37562</v>
      </c>
      <c r="G22" s="165"/>
      <c r="H22" s="165"/>
      <c r="I22" s="165"/>
      <c r="J22" s="165"/>
      <c r="K22" s="165"/>
    </row>
    <row r="23" spans="2:11" s="65" customFormat="1" ht="16.5" customHeight="1">
      <c r="B23" s="390" t="s">
        <v>226</v>
      </c>
      <c r="C23" s="74" t="s">
        <v>102</v>
      </c>
      <c r="D23" s="386">
        <v>405219.80988</v>
      </c>
      <c r="E23" s="386">
        <f t="shared" si="0"/>
        <v>1464869.61272</v>
      </c>
      <c r="G23" s="165"/>
      <c r="H23" s="165"/>
      <c r="I23" s="165"/>
      <c r="J23" s="165"/>
      <c r="K23" s="165"/>
    </row>
    <row r="24" spans="2:11" s="65" customFormat="1" ht="16.5" customHeight="1">
      <c r="B24" s="390" t="s">
        <v>182</v>
      </c>
      <c r="C24" s="74" t="s">
        <v>102</v>
      </c>
      <c r="D24" s="386">
        <v>196898.68959999998</v>
      </c>
      <c r="E24" s="386">
        <f t="shared" si="0"/>
        <v>711788.7629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79">
        <f>SUM(D26:D27)</f>
        <v>87079.06255</v>
      </c>
      <c r="E25" s="479">
        <f>SUM(E26:E27)</f>
        <v>314790.81111</v>
      </c>
      <c r="G25" s="165"/>
      <c r="H25" s="165"/>
      <c r="I25" s="165"/>
      <c r="J25" s="165"/>
      <c r="K25" s="165"/>
    </row>
    <row r="26" spans="2:11" s="65" customFormat="1" ht="16.5" customHeight="1">
      <c r="B26" s="390" t="s">
        <v>0</v>
      </c>
      <c r="C26" s="74" t="s">
        <v>102</v>
      </c>
      <c r="D26" s="386">
        <v>87035.50669000001</v>
      </c>
      <c r="E26" s="386">
        <f>ROUND(+D26*$F$9,5)</f>
        <v>314633.35668</v>
      </c>
      <c r="G26" s="165"/>
      <c r="H26" s="165"/>
      <c r="I26" s="165"/>
      <c r="J26" s="165"/>
      <c r="K26" s="165"/>
    </row>
    <row r="27" spans="2:11" s="65" customFormat="1" ht="16.5" customHeight="1">
      <c r="B27" s="390" t="s">
        <v>183</v>
      </c>
      <c r="C27" s="74" t="s">
        <v>102</v>
      </c>
      <c r="D27" s="386">
        <v>43.55586</v>
      </c>
      <c r="E27" s="386">
        <f>ROUND(+D27*$F$9,5)</f>
        <v>157.45443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84"/>
      <c r="E28" s="384"/>
      <c r="G28" s="165"/>
      <c r="H28" s="165"/>
      <c r="I28" s="165"/>
      <c r="J28" s="165"/>
      <c r="K28" s="165"/>
    </row>
    <row r="29" spans="2:11" s="65" customFormat="1" ht="21.75" customHeight="1">
      <c r="B29" s="364" t="s">
        <v>90</v>
      </c>
      <c r="C29" s="68"/>
      <c r="D29" s="383">
        <f>+D30+D34+D36+D39+D41</f>
        <v>3954709.92213</v>
      </c>
      <c r="E29" s="383">
        <f>+E30+E34+E36+E39+E41</f>
        <v>14296276.368489997</v>
      </c>
      <c r="F29" s="217"/>
      <c r="G29" s="423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79">
        <f>SUM(D31:D33)</f>
        <v>106012.43081</v>
      </c>
      <c r="E30" s="479">
        <f>SUM(E31:E33)</f>
        <v>383234.93737999996</v>
      </c>
      <c r="F30" s="262"/>
    </row>
    <row r="31" spans="2:6" s="65" customFormat="1" ht="16.5" customHeight="1">
      <c r="B31" s="390" t="s">
        <v>186</v>
      </c>
      <c r="C31" s="74" t="s">
        <v>103</v>
      </c>
      <c r="D31" s="386">
        <v>99585.06224</v>
      </c>
      <c r="E31" s="386">
        <f>ROUND(+D31*$F$9,5)</f>
        <v>360000</v>
      </c>
      <c r="F31" s="390"/>
    </row>
    <row r="32" spans="2:6" s="65" customFormat="1" ht="16.5" customHeight="1">
      <c r="B32" s="390" t="s">
        <v>188</v>
      </c>
      <c r="C32" s="74" t="s">
        <v>102</v>
      </c>
      <c r="D32" s="386">
        <v>4979.253110000001</v>
      </c>
      <c r="E32" s="386">
        <f>ROUND(+D32*$F$9,5)</f>
        <v>17999.99999</v>
      </c>
      <c r="F32" s="390"/>
    </row>
    <row r="33" spans="2:6" s="65" customFormat="1" ht="16.5" customHeight="1">
      <c r="B33" s="390" t="s">
        <v>184</v>
      </c>
      <c r="C33" s="74" t="s">
        <v>102</v>
      </c>
      <c r="D33" s="386">
        <v>1448.11546</v>
      </c>
      <c r="E33" s="386">
        <f>ROUND(+D33*$F$9,5)</f>
        <v>5234.93739</v>
      </c>
      <c r="F33" s="390"/>
    </row>
    <row r="34" spans="2:6" s="65" customFormat="1" ht="16.5" customHeight="1">
      <c r="B34" s="73" t="s">
        <v>125</v>
      </c>
      <c r="C34" s="74"/>
      <c r="D34" s="479">
        <f>+D35</f>
        <v>478146.6113699999</v>
      </c>
      <c r="E34" s="479">
        <f>+E35</f>
        <v>1728500.0001</v>
      </c>
      <c r="F34" s="262"/>
    </row>
    <row r="35" spans="2:7" s="65" customFormat="1" ht="16.5" customHeight="1">
      <c r="B35" s="390" t="s">
        <v>185</v>
      </c>
      <c r="C35" s="74" t="s">
        <v>102</v>
      </c>
      <c r="D35" s="386">
        <v>478146.6113699999</v>
      </c>
      <c r="E35" s="386">
        <f>ROUND(+D35*$F$9,5)</f>
        <v>1728500.0001</v>
      </c>
      <c r="G35" s="355"/>
    </row>
    <row r="36" spans="2:5" s="65" customFormat="1" ht="16.5" customHeight="1">
      <c r="B36" s="73" t="s">
        <v>75</v>
      </c>
      <c r="C36" s="74"/>
      <c r="D36" s="479">
        <f>SUM(D37:D38)</f>
        <v>2977139.20332</v>
      </c>
      <c r="E36" s="479">
        <f>SUM(E37:E38)</f>
        <v>10762358.219999999</v>
      </c>
    </row>
    <row r="37" spans="2:5" s="65" customFormat="1" ht="16.5" customHeight="1">
      <c r="B37" s="395" t="s">
        <v>227</v>
      </c>
      <c r="C37" s="74" t="s">
        <v>103</v>
      </c>
      <c r="D37" s="386">
        <v>2412765.75934</v>
      </c>
      <c r="E37" s="386">
        <f>ROUND(+D37*$F$9,5)</f>
        <v>8722148.22001</v>
      </c>
    </row>
    <row r="38" spans="2:5" s="65" customFormat="1" ht="16.5" customHeight="1">
      <c r="B38" s="395" t="s">
        <v>228</v>
      </c>
      <c r="C38" s="74" t="s">
        <v>102</v>
      </c>
      <c r="D38" s="386">
        <v>564373.44398</v>
      </c>
      <c r="E38" s="386">
        <f>ROUND(+D38*$F$9,5)</f>
        <v>2040209.99999</v>
      </c>
    </row>
    <row r="39" spans="2:5" s="65" customFormat="1" ht="16.5" customHeight="1">
      <c r="B39" s="73" t="s">
        <v>88</v>
      </c>
      <c r="C39" s="73"/>
      <c r="D39" s="479">
        <f>+D40</f>
        <v>37003.35964</v>
      </c>
      <c r="E39" s="479">
        <f>+E40</f>
        <v>133767.1451</v>
      </c>
    </row>
    <row r="40" spans="2:5" s="65" customFormat="1" ht="16.5" customHeight="1">
      <c r="B40" s="390" t="s">
        <v>226</v>
      </c>
      <c r="C40" s="74" t="s">
        <v>102</v>
      </c>
      <c r="D40" s="386">
        <v>37003.35964</v>
      </c>
      <c r="E40" s="386">
        <f>ROUND(+D40*$F$9,5)</f>
        <v>133767.1451</v>
      </c>
    </row>
    <row r="41" spans="2:5" s="65" customFormat="1" ht="16.5" customHeight="1">
      <c r="B41" s="73" t="s">
        <v>36</v>
      </c>
      <c r="C41" s="74"/>
      <c r="D41" s="479">
        <f>SUM(D42:D46)</f>
        <v>356408.31699</v>
      </c>
      <c r="E41" s="479">
        <f>SUM(E42:E46)</f>
        <v>1288416.06591</v>
      </c>
    </row>
    <row r="42" spans="2:5" s="65" customFormat="1" ht="16.5" customHeight="1">
      <c r="B42" s="390" t="s">
        <v>166</v>
      </c>
      <c r="C42" s="74" t="s">
        <v>103</v>
      </c>
      <c r="D42" s="386">
        <v>203274.01263000004</v>
      </c>
      <c r="E42" s="386">
        <f>ROUND(+D42*$F$9,5)</f>
        <v>734835.55566</v>
      </c>
    </row>
    <row r="43" spans="2:7" s="65" customFormat="1" ht="16.5" customHeight="1">
      <c r="B43" s="390" t="s">
        <v>167</v>
      </c>
      <c r="C43" s="74" t="s">
        <v>103</v>
      </c>
      <c r="D43" s="386">
        <v>62761.74952</v>
      </c>
      <c r="E43" s="386">
        <f>ROUND(+D43*$F$9,5)</f>
        <v>226883.72451</v>
      </c>
      <c r="G43" s="509"/>
    </row>
    <row r="44" spans="2:7" s="65" customFormat="1" ht="16.5" customHeight="1">
      <c r="B44" s="390" t="s">
        <v>234</v>
      </c>
      <c r="C44" s="74" t="s">
        <v>103</v>
      </c>
      <c r="D44" s="386">
        <v>54161.825730000004</v>
      </c>
      <c r="E44" s="386">
        <f>ROUND(+D44*$F$9,5)</f>
        <v>195795.00001</v>
      </c>
      <c r="G44" s="509"/>
    </row>
    <row r="45" spans="2:7" s="65" customFormat="1" ht="16.5" customHeight="1">
      <c r="B45" s="390" t="s">
        <v>210</v>
      </c>
      <c r="C45" s="74" t="s">
        <v>102</v>
      </c>
      <c r="D45" s="386">
        <v>23710.72911</v>
      </c>
      <c r="E45" s="386">
        <f>ROUND(+D45*$F$9,5)</f>
        <v>85714.28573</v>
      </c>
      <c r="G45" s="509"/>
    </row>
    <row r="46" spans="2:8" s="65" customFormat="1" ht="16.5" customHeight="1">
      <c r="B46" s="390" t="s">
        <v>235</v>
      </c>
      <c r="C46" s="74" t="s">
        <v>103</v>
      </c>
      <c r="D46" s="386">
        <v>12500</v>
      </c>
      <c r="E46" s="386">
        <f>ROUND(+D46*$F$9,5)</f>
        <v>45187.5</v>
      </c>
      <c r="H46" s="363"/>
    </row>
    <row r="47" spans="2:5" s="65" customFormat="1" ht="9.75" customHeight="1">
      <c r="B47" s="143"/>
      <c r="C47" s="144"/>
      <c r="D47" s="480"/>
      <c r="E47" s="480"/>
    </row>
    <row r="48" spans="2:5" s="81" customFormat="1" ht="15" customHeight="1">
      <c r="B48" s="615" t="s">
        <v>100</v>
      </c>
      <c r="C48" s="145"/>
      <c r="D48" s="619">
        <f>+D29+D14</f>
        <v>7925315.011279999</v>
      </c>
      <c r="E48" s="593">
        <f>+E29+E14</f>
        <v>28650013.76575</v>
      </c>
    </row>
    <row r="49" spans="2:5" s="81" customFormat="1" ht="15" customHeight="1">
      <c r="B49" s="592"/>
      <c r="C49" s="146"/>
      <c r="D49" s="594"/>
      <c r="E49" s="594"/>
    </row>
    <row r="50" spans="2:5" ht="6" customHeight="1">
      <c r="B50" s="147"/>
      <c r="C50" s="147"/>
      <c r="D50" s="97"/>
      <c r="E50" s="97"/>
    </row>
    <row r="51" spans="2:5" ht="14.25" customHeight="1">
      <c r="B51" s="86" t="s">
        <v>222</v>
      </c>
      <c r="C51" s="86"/>
      <c r="D51" s="461"/>
      <c r="E51" s="65"/>
    </row>
    <row r="52" spans="2:5" ht="14.25" customHeight="1">
      <c r="B52" s="86" t="s">
        <v>224</v>
      </c>
      <c r="C52" s="86"/>
      <c r="D52" s="86"/>
      <c r="E52" s="65"/>
    </row>
    <row r="53" spans="2:5" ht="14.25" customHeight="1">
      <c r="B53" s="462" t="s">
        <v>257</v>
      </c>
      <c r="C53" s="86"/>
      <c r="D53" s="169"/>
      <c r="E53" s="65"/>
    </row>
    <row r="54" spans="2:5" ht="14.25" customHeight="1">
      <c r="B54" s="462" t="s">
        <v>258</v>
      </c>
      <c r="C54" s="86"/>
      <c r="D54" s="86"/>
      <c r="E54" s="211"/>
    </row>
    <row r="55" spans="2:5" ht="12.75">
      <c r="B55" s="462"/>
      <c r="C55" s="86"/>
      <c r="D55" s="86"/>
      <c r="E55" s="211"/>
    </row>
    <row r="56" spans="4:6" ht="15">
      <c r="D56" s="393"/>
      <c r="F56" s="214"/>
    </row>
    <row r="57" spans="2:5" ht="12.75">
      <c r="B57" s="86"/>
      <c r="D57" s="246"/>
      <c r="E57" s="246"/>
    </row>
    <row r="58" spans="2:5" ht="12.75">
      <c r="B58" s="86"/>
      <c r="D58" s="246"/>
      <c r="E58" s="246"/>
    </row>
    <row r="59" ht="12.75">
      <c r="D59" s="98"/>
    </row>
    <row r="60" spans="2:5" s="136" customFormat="1" ht="18">
      <c r="B60" s="95" t="s">
        <v>121</v>
      </c>
      <c r="C60" s="95"/>
      <c r="D60" s="95"/>
      <c r="E60" s="95"/>
    </row>
    <row r="61" spans="2:6" s="136" customFormat="1" ht="18">
      <c r="B61" s="624" t="s">
        <v>136</v>
      </c>
      <c r="C61" s="624"/>
      <c r="D61" s="624"/>
      <c r="E61" s="624"/>
      <c r="F61" s="135"/>
    </row>
    <row r="62" spans="2:6" s="136" customFormat="1" ht="18">
      <c r="B62" s="624" t="s">
        <v>137</v>
      </c>
      <c r="C62" s="624"/>
      <c r="D62" s="624"/>
      <c r="E62" s="624"/>
      <c r="F62" s="135"/>
    </row>
    <row r="63" spans="2:5" ht="16.5">
      <c r="B63" s="618" t="s">
        <v>105</v>
      </c>
      <c r="C63" s="618"/>
      <c r="D63" s="618"/>
      <c r="E63" s="618"/>
    </row>
    <row r="64" spans="2:5" ht="15.75">
      <c r="B64" s="589" t="str">
        <f>+B9</f>
        <v>Al 31 de octubre de 2020</v>
      </c>
      <c r="C64" s="589"/>
      <c r="D64" s="589"/>
      <c r="E64" s="254"/>
    </row>
    <row r="65" spans="2:5" ht="9.75" customHeight="1">
      <c r="B65" s="184"/>
      <c r="C65" s="184"/>
      <c r="D65" s="184"/>
      <c r="E65" s="184"/>
    </row>
    <row r="66" spans="2:5" ht="16.5" customHeight="1">
      <c r="B66" s="397" t="s">
        <v>212</v>
      </c>
      <c r="C66" s="620" t="s">
        <v>101</v>
      </c>
      <c r="D66" s="622" t="s">
        <v>87</v>
      </c>
      <c r="E66" s="587" t="s">
        <v>164</v>
      </c>
    </row>
    <row r="67" spans="2:5" s="81" customFormat="1" ht="16.5" customHeight="1">
      <c r="B67" s="396" t="s">
        <v>213</v>
      </c>
      <c r="C67" s="621"/>
      <c r="D67" s="623"/>
      <c r="E67" s="588"/>
    </row>
    <row r="68" spans="2:5" s="81" customFormat="1" ht="9.75" customHeight="1">
      <c r="B68" s="191"/>
      <c r="C68" s="142"/>
      <c r="D68" s="96"/>
      <c r="E68" s="96"/>
    </row>
    <row r="69" spans="2:5" s="81" customFormat="1" ht="16.5">
      <c r="B69" s="364" t="s">
        <v>239</v>
      </c>
      <c r="C69" s="364"/>
      <c r="D69" s="398">
        <f>+D70</f>
        <v>0</v>
      </c>
      <c r="E69" s="398">
        <f>+E70</f>
        <v>0</v>
      </c>
    </row>
    <row r="70" spans="2:5" s="81" customFormat="1" ht="16.5" hidden="1">
      <c r="B70" s="73" t="s">
        <v>35</v>
      </c>
      <c r="C70" s="73"/>
      <c r="D70" s="399">
        <f>SUM(D71:D71)</f>
        <v>0</v>
      </c>
      <c r="E70" s="399">
        <f>SUM(E71:E71)</f>
        <v>0</v>
      </c>
    </row>
    <row r="71" spans="2:5" s="81" customFormat="1" ht="16.5" hidden="1">
      <c r="B71" s="390"/>
      <c r="C71" s="74"/>
      <c r="D71" s="429">
        <v>0</v>
      </c>
      <c r="E71" s="394">
        <f>ROUND(+D71*$F$9,5)</f>
        <v>0</v>
      </c>
    </row>
    <row r="72" spans="2:5" s="81" customFormat="1" ht="12" customHeight="1">
      <c r="B72" s="142"/>
      <c r="C72" s="142"/>
      <c r="D72" s="96"/>
      <c r="E72" s="96"/>
    </row>
    <row r="73" spans="2:5" s="65" customFormat="1" ht="16.5" customHeight="1">
      <c r="B73" s="364" t="s">
        <v>237</v>
      </c>
      <c r="C73" s="364"/>
      <c r="D73" s="398">
        <f>+D74+D81+D83</f>
        <v>986024.0310199998</v>
      </c>
      <c r="E73" s="398">
        <f>+E74+E81+E83</f>
        <v>3564476.87214</v>
      </c>
    </row>
    <row r="74" spans="2:5" s="65" customFormat="1" ht="16.5" customHeight="1">
      <c r="B74" s="73" t="s">
        <v>35</v>
      </c>
      <c r="C74" s="73"/>
      <c r="D74" s="399">
        <f>SUM(D75:D80)</f>
        <v>741266.0780499998</v>
      </c>
      <c r="E74" s="399">
        <f>SUM(E75:E80)</f>
        <v>2679676.87215</v>
      </c>
    </row>
    <row r="75" spans="2:6" s="65" customFormat="1" ht="16.5" customHeight="1">
      <c r="B75" s="390" t="s">
        <v>187</v>
      </c>
      <c r="C75" s="74" t="s">
        <v>102</v>
      </c>
      <c r="D75" s="429">
        <v>266909.17449999973</v>
      </c>
      <c r="E75" s="394">
        <f aca="true" t="shared" si="1" ref="E75:E80">ROUND(+D75*$F$9,5)</f>
        <v>964876.66582</v>
      </c>
      <c r="F75" s="390"/>
    </row>
    <row r="76" spans="2:6" s="65" customFormat="1" ht="16.5" customHeight="1">
      <c r="B76" s="390" t="s">
        <v>157</v>
      </c>
      <c r="C76" s="74" t="s">
        <v>102</v>
      </c>
      <c r="D76" s="429">
        <v>191119.00591000004</v>
      </c>
      <c r="E76" s="394">
        <f t="shared" si="1"/>
        <v>690895.20636</v>
      </c>
      <c r="F76" s="390"/>
    </row>
    <row r="77" spans="2:6" s="65" customFormat="1" ht="16.5" customHeight="1">
      <c r="B77" s="390" t="s">
        <v>188</v>
      </c>
      <c r="C77" s="74" t="s">
        <v>102</v>
      </c>
      <c r="D77" s="429">
        <v>94237.89764000001</v>
      </c>
      <c r="E77" s="394">
        <f t="shared" si="1"/>
        <v>340669.99997</v>
      </c>
      <c r="F77" s="390"/>
    </row>
    <row r="78" spans="2:6" s="65" customFormat="1" ht="16.5" customHeight="1">
      <c r="B78" s="390" t="s">
        <v>252</v>
      </c>
      <c r="C78" s="74" t="s">
        <v>103</v>
      </c>
      <c r="D78" s="429">
        <v>93000</v>
      </c>
      <c r="E78" s="394">
        <f t="shared" si="1"/>
        <v>336195</v>
      </c>
      <c r="F78" s="390"/>
    </row>
    <row r="79" spans="2:6" s="65" customFormat="1" ht="16.5" customHeight="1">
      <c r="B79" s="390" t="s">
        <v>184</v>
      </c>
      <c r="C79" s="74" t="s">
        <v>102</v>
      </c>
      <c r="D79" s="429">
        <v>80000</v>
      </c>
      <c r="E79" s="394">
        <f t="shared" si="1"/>
        <v>289200</v>
      </c>
      <c r="F79" s="390"/>
    </row>
    <row r="80" spans="2:6" s="65" customFormat="1" ht="16.5" customHeight="1">
      <c r="B80" s="390" t="s">
        <v>253</v>
      </c>
      <c r="C80" s="74" t="s">
        <v>102</v>
      </c>
      <c r="D80" s="429">
        <v>16000</v>
      </c>
      <c r="E80" s="394">
        <f t="shared" si="1"/>
        <v>57840</v>
      </c>
      <c r="F80" s="390"/>
    </row>
    <row r="81" spans="2:6" s="65" customFormat="1" ht="16.5" customHeight="1">
      <c r="B81" s="73" t="s">
        <v>125</v>
      </c>
      <c r="C81" s="75"/>
      <c r="D81" s="399">
        <f>+D82</f>
        <v>194757.95296999998</v>
      </c>
      <c r="E81" s="399">
        <f>+E82</f>
        <v>704049.99999</v>
      </c>
      <c r="F81" s="390"/>
    </row>
    <row r="82" spans="2:5" s="65" customFormat="1" ht="16.5" customHeight="1">
      <c r="B82" s="390" t="s">
        <v>185</v>
      </c>
      <c r="C82" s="74" t="s">
        <v>102</v>
      </c>
      <c r="D82" s="429">
        <v>194757.95296999998</v>
      </c>
      <c r="E82" s="394">
        <f>ROUND(+D82*$F$9,5)</f>
        <v>704049.99999</v>
      </c>
    </row>
    <row r="83" spans="2:5" s="65" customFormat="1" ht="16.5" customHeight="1">
      <c r="B83" s="73" t="s">
        <v>36</v>
      </c>
      <c r="C83" s="74"/>
      <c r="D83" s="399">
        <f>SUM(D84:D84)</f>
        <v>50000</v>
      </c>
      <c r="E83" s="399">
        <f>SUM(E84:E84)</f>
        <v>180750</v>
      </c>
    </row>
    <row r="84" spans="2:5" s="65" customFormat="1" ht="16.5" customHeight="1">
      <c r="B84" s="390" t="s">
        <v>179</v>
      </c>
      <c r="C84" s="74" t="s">
        <v>103</v>
      </c>
      <c r="D84" s="429">
        <v>50000</v>
      </c>
      <c r="E84" s="394">
        <f>ROUND(+D84*$F$9,5)</f>
        <v>180750</v>
      </c>
    </row>
    <row r="85" spans="2:9" s="65" customFormat="1" ht="9.75" customHeight="1">
      <c r="B85" s="143"/>
      <c r="C85" s="143"/>
      <c r="D85" s="400"/>
      <c r="E85" s="400"/>
      <c r="G85" s="448"/>
      <c r="H85" s="448"/>
      <c r="I85" s="448"/>
    </row>
    <row r="86" spans="2:7" s="81" customFormat="1" ht="15" customHeight="1">
      <c r="B86" s="615" t="s">
        <v>100</v>
      </c>
      <c r="C86" s="145"/>
      <c r="D86" s="616">
        <f>+D69+D73</f>
        <v>986024.0310199998</v>
      </c>
      <c r="E86" s="616">
        <f>+E69+E73</f>
        <v>3564476.87214</v>
      </c>
      <c r="G86" s="65"/>
    </row>
    <row r="87" spans="2:7" s="81" customFormat="1" ht="15" customHeight="1">
      <c r="B87" s="592"/>
      <c r="C87" s="146"/>
      <c r="D87" s="617"/>
      <c r="E87" s="617"/>
      <c r="G87" s="65"/>
    </row>
    <row r="88" spans="2:7" ht="7.5" customHeight="1">
      <c r="B88" s="147"/>
      <c r="C88" s="147"/>
      <c r="D88" s="97"/>
      <c r="E88" s="97"/>
      <c r="G88" s="65"/>
    </row>
    <row r="89" spans="4:7" ht="14.25">
      <c r="D89" s="439"/>
      <c r="E89" s="247"/>
      <c r="G89" s="65"/>
    </row>
    <row r="90" spans="4:7" ht="14.25">
      <c r="D90" s="248"/>
      <c r="G90" s="65"/>
    </row>
    <row r="91" spans="4:7" ht="14.25">
      <c r="D91" s="98"/>
      <c r="E91" s="98"/>
      <c r="G91" s="65"/>
    </row>
    <row r="92" ht="14.25">
      <c r="G92" s="65"/>
    </row>
    <row r="93" ht="14.25">
      <c r="G93" s="65"/>
    </row>
    <row r="94" ht="14.25">
      <c r="G94" s="65"/>
    </row>
    <row r="95" ht="14.25">
      <c r="G95" s="65"/>
    </row>
    <row r="96" ht="14.25">
      <c r="G96" s="65"/>
    </row>
    <row r="97" ht="14.25">
      <c r="G97" s="65"/>
    </row>
  </sheetData>
  <sheetProtection/>
  <mergeCells count="20">
    <mergeCell ref="C66:C67"/>
    <mergeCell ref="C11:C12"/>
    <mergeCell ref="D11:D12"/>
    <mergeCell ref="B64:D64"/>
    <mergeCell ref="E48:E49"/>
    <mergeCell ref="B61:E61"/>
    <mergeCell ref="B48:B49"/>
    <mergeCell ref="D66:D67"/>
    <mergeCell ref="B62:E62"/>
    <mergeCell ref="E66:E67"/>
    <mergeCell ref="B1:E1"/>
    <mergeCell ref="B2:E2"/>
    <mergeCell ref="B3:E3"/>
    <mergeCell ref="B4:E4"/>
    <mergeCell ref="E11:E12"/>
    <mergeCell ref="B86:B87"/>
    <mergeCell ref="D86:D87"/>
    <mergeCell ref="E86:E87"/>
    <mergeCell ref="B63:E63"/>
    <mergeCell ref="D48:D49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6:E41 E34 E18:E26 E16 E81 E83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12.75">
      <c r="B4" s="148"/>
      <c r="P4" s="196"/>
    </row>
    <row r="5" spans="2:16" ht="18">
      <c r="B5" s="375" t="s">
        <v>16</v>
      </c>
      <c r="C5" s="375"/>
      <c r="D5" s="375"/>
      <c r="P5" s="196"/>
    </row>
    <row r="6" spans="2:16" ht="18">
      <c r="B6" s="376" t="s">
        <v>136</v>
      </c>
      <c r="C6" s="376"/>
      <c r="D6" s="376"/>
      <c r="P6" s="196"/>
    </row>
    <row r="7" spans="2:16" ht="18">
      <c r="B7" s="376" t="s">
        <v>135</v>
      </c>
      <c r="C7" s="376"/>
      <c r="D7" s="376"/>
      <c r="E7" s="297"/>
      <c r="P7" s="196"/>
    </row>
    <row r="8" spans="2:16" ht="16.5">
      <c r="B8" s="380" t="s">
        <v>59</v>
      </c>
      <c r="C8" s="377"/>
      <c r="D8" s="377"/>
      <c r="P8" s="196"/>
    </row>
    <row r="9" spans="2:16" ht="15.75">
      <c r="B9" s="378" t="str">
        <f>+'DEP-C2'!B9</f>
        <v>Al 31 de octubre de 2020</v>
      </c>
      <c r="C9" s="378"/>
      <c r="D9" s="298"/>
      <c r="E9" s="379">
        <f>+Portada!H39</f>
        <v>3.615</v>
      </c>
      <c r="P9" s="196"/>
    </row>
    <row r="10" spans="2:16" s="77" customFormat="1" ht="9.75" customHeight="1">
      <c r="B10" s="537"/>
      <c r="C10" s="537"/>
      <c r="D10" s="537"/>
      <c r="E10" s="212"/>
      <c r="P10" s="197"/>
    </row>
    <row r="11" spans="2:16" ht="16.5" customHeight="1">
      <c r="B11" s="575" t="s">
        <v>97</v>
      </c>
      <c r="C11" s="625" t="s">
        <v>87</v>
      </c>
      <c r="D11" s="627" t="s">
        <v>164</v>
      </c>
      <c r="P11" s="196"/>
    </row>
    <row r="12" spans="2:16" s="111" customFormat="1" ht="16.5" customHeight="1">
      <c r="B12" s="576"/>
      <c r="C12" s="626"/>
      <c r="D12" s="628"/>
      <c r="E12" s="213"/>
      <c r="P12" s="198"/>
    </row>
    <row r="13" spans="2:16" s="111" customFormat="1" ht="9.75" customHeight="1">
      <c r="B13" s="149"/>
      <c r="C13" s="100"/>
      <c r="D13" s="112"/>
      <c r="E13" s="213"/>
      <c r="P13" s="198"/>
    </row>
    <row r="14" spans="2:16" s="77" customFormat="1" ht="19.5" customHeight="1">
      <c r="B14" s="79" t="s">
        <v>202</v>
      </c>
      <c r="C14" s="515">
        <f>+C16+C34</f>
        <v>7483091.841759996</v>
      </c>
      <c r="D14" s="515">
        <f>+D16+D34</f>
        <v>27051377.00795</v>
      </c>
      <c r="E14" s="249"/>
      <c r="F14" s="387"/>
      <c r="G14" s="299"/>
      <c r="H14" s="299"/>
      <c r="P14" s="197"/>
    </row>
    <row r="15" spans="2:16" s="77" customFormat="1" ht="9.75" customHeight="1">
      <c r="B15" s="79"/>
      <c r="C15" s="383"/>
      <c r="D15" s="515"/>
      <c r="E15" s="249"/>
      <c r="F15" s="388"/>
      <c r="G15" s="299"/>
      <c r="H15" s="299"/>
      <c r="P15" s="197"/>
    </row>
    <row r="16" spans="2:16" s="77" customFormat="1" ht="16.5" customHeight="1">
      <c r="B16" s="78" t="s">
        <v>66</v>
      </c>
      <c r="C16" s="383">
        <f>SUM(C17:C32)</f>
        <v>3565385.2792700003</v>
      </c>
      <c r="D16" s="383">
        <f>SUM(D17:D32)</f>
        <v>12888867.78455</v>
      </c>
      <c r="E16" s="465"/>
      <c r="F16" s="389"/>
      <c r="P16" s="197"/>
    </row>
    <row r="17" spans="2:16" s="77" customFormat="1" ht="16.5" customHeight="1">
      <c r="B17" s="381" t="s">
        <v>201</v>
      </c>
      <c r="C17" s="499">
        <v>3276827.9627199997</v>
      </c>
      <c r="D17" s="384">
        <f aca="true" t="shared" si="0" ref="D17:D32">ROUND(+C17*$E$9,5)</f>
        <v>11845733.08523</v>
      </c>
      <c r="E17" s="465"/>
      <c r="F17" s="389"/>
      <c r="P17" s="197"/>
    </row>
    <row r="18" spans="2:16" s="77" customFormat="1" ht="16.5" customHeight="1">
      <c r="B18" s="381" t="s">
        <v>209</v>
      </c>
      <c r="C18" s="499">
        <v>144538.67019</v>
      </c>
      <c r="D18" s="384">
        <f t="shared" si="0"/>
        <v>522507.29274</v>
      </c>
      <c r="E18" s="465"/>
      <c r="F18" s="389"/>
      <c r="P18" s="197"/>
    </row>
    <row r="19" spans="2:16" s="77" customFormat="1" ht="16.5" customHeight="1">
      <c r="B19" s="381" t="s">
        <v>195</v>
      </c>
      <c r="C19" s="499">
        <v>25599.07913</v>
      </c>
      <c r="D19" s="384">
        <f t="shared" si="0"/>
        <v>92540.67105</v>
      </c>
      <c r="E19" s="465"/>
      <c r="F19" s="389"/>
      <c r="P19" s="197"/>
    </row>
    <row r="20" spans="2:16" s="77" customFormat="1" ht="16.5" customHeight="1">
      <c r="B20" s="381" t="s">
        <v>199</v>
      </c>
      <c r="C20" s="499">
        <v>37879.81487</v>
      </c>
      <c r="D20" s="384">
        <f t="shared" si="0"/>
        <v>136935.53076</v>
      </c>
      <c r="E20" s="465"/>
      <c r="F20" s="389"/>
      <c r="P20" s="197"/>
    </row>
    <row r="21" spans="2:16" s="77" customFormat="1" ht="16.5" customHeight="1">
      <c r="B21" s="381" t="s">
        <v>169</v>
      </c>
      <c r="C21" s="499">
        <v>22445.220459999997</v>
      </c>
      <c r="D21" s="384">
        <f t="shared" si="0"/>
        <v>81139.47196</v>
      </c>
      <c r="E21" s="465"/>
      <c r="F21" s="389"/>
      <c r="P21" s="197"/>
    </row>
    <row r="22" spans="2:16" s="77" customFormat="1" ht="16.5" customHeight="1">
      <c r="B22" s="381" t="s">
        <v>168</v>
      </c>
      <c r="C22" s="499">
        <v>17071.40915</v>
      </c>
      <c r="D22" s="384">
        <f t="shared" si="0"/>
        <v>61713.14408</v>
      </c>
      <c r="E22" s="465"/>
      <c r="F22" s="389"/>
      <c r="P22" s="197"/>
    </row>
    <row r="23" spans="2:16" s="77" customFormat="1" ht="16.5" customHeight="1">
      <c r="B23" s="381" t="s">
        <v>194</v>
      </c>
      <c r="C23" s="499">
        <v>10298.313689999999</v>
      </c>
      <c r="D23" s="384">
        <f t="shared" si="0"/>
        <v>37228.40399</v>
      </c>
      <c r="E23" s="465"/>
      <c r="F23" s="389"/>
      <c r="P23" s="197"/>
    </row>
    <row r="24" spans="2:16" s="77" customFormat="1" ht="16.5" customHeight="1">
      <c r="B24" s="381" t="s">
        <v>200</v>
      </c>
      <c r="C24" s="499">
        <v>8285.33188</v>
      </c>
      <c r="D24" s="384">
        <f t="shared" si="0"/>
        <v>29951.47475</v>
      </c>
      <c r="E24" s="465"/>
      <c r="F24" s="389"/>
      <c r="P24" s="197"/>
    </row>
    <row r="25" spans="2:16" s="77" customFormat="1" ht="16.5" customHeight="1">
      <c r="B25" s="381" t="s">
        <v>208</v>
      </c>
      <c r="C25" s="499">
        <v>5248.13198</v>
      </c>
      <c r="D25" s="384">
        <f t="shared" si="0"/>
        <v>18971.99711</v>
      </c>
      <c r="E25" s="465"/>
      <c r="F25" s="389"/>
      <c r="P25" s="197"/>
    </row>
    <row r="26" spans="2:16" s="77" customFormat="1" ht="16.5" customHeight="1">
      <c r="B26" s="381" t="s">
        <v>196</v>
      </c>
      <c r="C26" s="499">
        <v>5194.475549999999</v>
      </c>
      <c r="D26" s="384">
        <f t="shared" si="0"/>
        <v>18778.02911</v>
      </c>
      <c r="E26" s="465"/>
      <c r="F26" s="389"/>
      <c r="P26" s="197"/>
    </row>
    <row r="27" spans="2:16" s="77" customFormat="1" ht="16.5" customHeight="1">
      <c r="B27" s="381" t="s">
        <v>197</v>
      </c>
      <c r="C27" s="499">
        <v>5029.5273</v>
      </c>
      <c r="D27" s="384">
        <f t="shared" si="0"/>
        <v>18181.74119</v>
      </c>
      <c r="E27" s="465"/>
      <c r="F27" s="389"/>
      <c r="P27" s="197"/>
    </row>
    <row r="28" spans="2:16" s="77" customFormat="1" ht="16.5" customHeight="1">
      <c r="B28" s="381" t="s">
        <v>198</v>
      </c>
      <c r="C28" s="499">
        <v>3222.91638</v>
      </c>
      <c r="D28" s="384">
        <f t="shared" si="0"/>
        <v>11650.84271</v>
      </c>
      <c r="E28" s="465"/>
      <c r="F28" s="389"/>
      <c r="P28" s="197"/>
    </row>
    <row r="29" spans="2:16" s="77" customFormat="1" ht="16.5" customHeight="1">
      <c r="B29" s="381" t="s">
        <v>49</v>
      </c>
      <c r="C29" s="499">
        <v>2078.04059</v>
      </c>
      <c r="D29" s="384">
        <f t="shared" si="0"/>
        <v>7512.11673</v>
      </c>
      <c r="E29" s="465"/>
      <c r="F29" s="389"/>
      <c r="P29" s="197"/>
    </row>
    <row r="30" spans="2:16" s="77" customFormat="1" ht="16.5" customHeight="1">
      <c r="B30" s="381" t="s">
        <v>238</v>
      </c>
      <c r="C30" s="499">
        <v>907.9285600000001</v>
      </c>
      <c r="D30" s="384">
        <f t="shared" si="0"/>
        <v>3282.16174</v>
      </c>
      <c r="E30" s="465"/>
      <c r="F30" s="389"/>
      <c r="P30" s="197"/>
    </row>
    <row r="31" spans="2:16" s="77" customFormat="1" ht="16.5" customHeight="1">
      <c r="B31" s="381" t="s">
        <v>233</v>
      </c>
      <c r="C31" s="499">
        <v>714.9009599999999</v>
      </c>
      <c r="D31" s="384">
        <f t="shared" si="0"/>
        <v>2584.36697</v>
      </c>
      <c r="E31" s="465"/>
      <c r="F31" s="389"/>
      <c r="P31" s="197"/>
    </row>
    <row r="32" spans="2:16" s="77" customFormat="1" ht="16.5" customHeight="1">
      <c r="B32" s="381" t="s">
        <v>43</v>
      </c>
      <c r="C32" s="499">
        <v>43.55586</v>
      </c>
      <c r="D32" s="384">
        <f t="shared" si="0"/>
        <v>157.45443</v>
      </c>
      <c r="E32" s="465"/>
      <c r="F32" s="389"/>
      <c r="P32" s="197"/>
    </row>
    <row r="33" spans="2:16" s="77" customFormat="1" ht="12" customHeight="1">
      <c r="B33" s="301"/>
      <c r="C33" s="386"/>
      <c r="D33" s="386"/>
      <c r="E33" s="465"/>
      <c r="F33" s="389"/>
      <c r="P33" s="197"/>
    </row>
    <row r="34" spans="2:16" s="77" customFormat="1" ht="16.5" customHeight="1">
      <c r="B34" s="78" t="s">
        <v>25</v>
      </c>
      <c r="C34" s="383">
        <f>SUM(C35:C37)</f>
        <v>3917706.5624899953</v>
      </c>
      <c r="D34" s="383">
        <f>+SUM(D35:D37)</f>
        <v>14162509.2234</v>
      </c>
      <c r="E34" s="465"/>
      <c r="F34" s="389"/>
      <c r="P34" s="197"/>
    </row>
    <row r="35" spans="2:16" s="77" customFormat="1" ht="16.5" customHeight="1">
      <c r="B35" s="381" t="s">
        <v>210</v>
      </c>
      <c r="C35" s="499">
        <v>2350264.0060799946</v>
      </c>
      <c r="D35" s="384">
        <f>ROUND(+C35*$E$9,5)</f>
        <v>8496204.38198</v>
      </c>
      <c r="E35" s="249"/>
      <c r="F35" s="389"/>
      <c r="P35" s="197"/>
    </row>
    <row r="36" spans="2:16" s="77" customFormat="1" ht="16.5" customHeight="1">
      <c r="B36" s="382" t="s">
        <v>170</v>
      </c>
      <c r="C36" s="499">
        <v>1543731.8273000002</v>
      </c>
      <c r="D36" s="384">
        <f>ROUND(+C36*$E$9,5)</f>
        <v>5580590.55569</v>
      </c>
      <c r="E36" s="249"/>
      <c r="F36" s="389"/>
      <c r="P36" s="197"/>
    </row>
    <row r="37" spans="2:16" s="77" customFormat="1" ht="16.5" customHeight="1">
      <c r="B37" s="381" t="s">
        <v>124</v>
      </c>
      <c r="C37" s="499">
        <v>23710.72911</v>
      </c>
      <c r="D37" s="384">
        <f>ROUND(+C37*$E$9,5)</f>
        <v>85714.28573</v>
      </c>
      <c r="E37" s="249"/>
      <c r="F37" s="389"/>
      <c r="P37" s="197"/>
    </row>
    <row r="38" spans="2:16" s="77" customFormat="1" ht="15" customHeight="1">
      <c r="B38" s="301"/>
      <c r="C38" s="486"/>
      <c r="D38" s="486"/>
      <c r="E38" s="249"/>
      <c r="F38" s="389"/>
      <c r="P38" s="197"/>
    </row>
    <row r="39" spans="2:16" s="77" customFormat="1" ht="19.5" customHeight="1">
      <c r="B39" s="79" t="s">
        <v>203</v>
      </c>
      <c r="C39" s="515">
        <f>+C41+C53</f>
        <v>442223.1695199999</v>
      </c>
      <c r="D39" s="515">
        <f>+D41+D53</f>
        <v>1598636.75782</v>
      </c>
      <c r="E39" s="249"/>
      <c r="F39" s="389"/>
      <c r="P39" s="197"/>
    </row>
    <row r="40" spans="2:16" s="77" customFormat="1" ht="9.75" customHeight="1">
      <c r="B40" s="79"/>
      <c r="C40" s="515"/>
      <c r="D40" s="515"/>
      <c r="E40" s="249"/>
      <c r="F40" s="389"/>
      <c r="P40" s="197"/>
    </row>
    <row r="41" spans="2:16" s="77" customFormat="1" ht="16.5" customHeight="1">
      <c r="B41" s="78" t="s">
        <v>24</v>
      </c>
      <c r="C41" s="383">
        <f>SUM(C42:C51)</f>
        <v>405219.8098799999</v>
      </c>
      <c r="D41" s="383">
        <f>SUM(D42:D51)</f>
        <v>1464869.6127199999</v>
      </c>
      <c r="E41" s="249"/>
      <c r="F41" s="449"/>
      <c r="P41" s="197"/>
    </row>
    <row r="42" spans="2:16" s="77" customFormat="1" ht="16.5" customHeight="1">
      <c r="B42" s="381" t="s">
        <v>209</v>
      </c>
      <c r="C42" s="499">
        <v>387707.82833999995</v>
      </c>
      <c r="D42" s="384">
        <f aca="true" t="shared" si="1" ref="D42:D51">ROUND(+C42*$E$9,5)</f>
        <v>1401563.79945</v>
      </c>
      <c r="E42" s="249"/>
      <c r="F42" s="449"/>
      <c r="P42" s="197"/>
    </row>
    <row r="43" spans="2:16" s="77" customFormat="1" ht="16.5" customHeight="1">
      <c r="B43" s="346" t="s">
        <v>206</v>
      </c>
      <c r="C43" s="499">
        <v>4816.2434299999995</v>
      </c>
      <c r="D43" s="384">
        <f t="shared" si="1"/>
        <v>17410.72</v>
      </c>
      <c r="E43" s="249"/>
      <c r="F43" s="449"/>
      <c r="P43" s="197"/>
    </row>
    <row r="44" spans="2:16" s="77" customFormat="1" ht="16.5" customHeight="1">
      <c r="B44" s="346" t="s">
        <v>69</v>
      </c>
      <c r="C44" s="499">
        <v>3759.6757</v>
      </c>
      <c r="D44" s="384">
        <f t="shared" si="1"/>
        <v>13591.22766</v>
      </c>
      <c r="E44" s="249"/>
      <c r="F44" s="449"/>
      <c r="P44" s="197"/>
    </row>
    <row r="45" spans="2:16" s="77" customFormat="1" ht="16.5" customHeight="1">
      <c r="B45" s="346" t="s">
        <v>44</v>
      </c>
      <c r="C45" s="499">
        <v>2538.81492</v>
      </c>
      <c r="D45" s="384">
        <f t="shared" si="1"/>
        <v>9177.81594</v>
      </c>
      <c r="E45" s="249"/>
      <c r="F45" s="449"/>
      <c r="P45" s="197"/>
    </row>
    <row r="46" spans="2:16" s="77" customFormat="1" ht="16.5" customHeight="1">
      <c r="B46" s="346" t="s">
        <v>158</v>
      </c>
      <c r="C46" s="499">
        <v>2395.01934</v>
      </c>
      <c r="D46" s="384">
        <f t="shared" si="1"/>
        <v>8657.99491</v>
      </c>
      <c r="E46" s="249"/>
      <c r="F46" s="449"/>
      <c r="P46" s="197"/>
    </row>
    <row r="47" spans="2:16" s="77" customFormat="1" ht="16.5" customHeight="1">
      <c r="B47" s="346" t="s">
        <v>42</v>
      </c>
      <c r="C47" s="499">
        <v>1577.6171</v>
      </c>
      <c r="D47" s="384">
        <f t="shared" si="1"/>
        <v>5703.08582</v>
      </c>
      <c r="E47" s="249"/>
      <c r="F47" s="449"/>
      <c r="P47" s="197"/>
    </row>
    <row r="48" spans="2:16" s="77" customFormat="1" ht="16.5" customHeight="1">
      <c r="B48" s="346" t="s">
        <v>51</v>
      </c>
      <c r="C48" s="499">
        <v>1489.33891</v>
      </c>
      <c r="D48" s="384">
        <f t="shared" si="1"/>
        <v>5383.96016</v>
      </c>
      <c r="E48" s="249"/>
      <c r="F48" s="449"/>
      <c r="P48" s="197"/>
    </row>
    <row r="49" spans="2:16" s="77" customFormat="1" ht="16.5" customHeight="1">
      <c r="B49" s="346" t="s">
        <v>207</v>
      </c>
      <c r="C49" s="499">
        <v>559.8890600000001</v>
      </c>
      <c r="D49" s="384">
        <f t="shared" si="1"/>
        <v>2023.99895</v>
      </c>
      <c r="E49" s="249"/>
      <c r="F49" s="449"/>
      <c r="P49" s="197"/>
    </row>
    <row r="50" spans="2:16" s="77" customFormat="1" ht="16.5" customHeight="1">
      <c r="B50" s="346" t="s">
        <v>229</v>
      </c>
      <c r="C50" s="499">
        <v>299.59310999999997</v>
      </c>
      <c r="D50" s="384">
        <f t="shared" si="1"/>
        <v>1083.02909</v>
      </c>
      <c r="E50" s="249"/>
      <c r="F50" s="449"/>
      <c r="P50" s="197"/>
    </row>
    <row r="51" spans="2:16" s="77" customFormat="1" ht="16.5" customHeight="1">
      <c r="B51" s="346" t="s">
        <v>208</v>
      </c>
      <c r="C51" s="499">
        <v>75.78997</v>
      </c>
      <c r="D51" s="384">
        <f t="shared" si="1"/>
        <v>273.98074</v>
      </c>
      <c r="E51" s="249"/>
      <c r="F51" s="449"/>
      <c r="P51" s="197"/>
    </row>
    <row r="52" spans="2:16" s="77" customFormat="1" ht="12" customHeight="1">
      <c r="B52" s="390"/>
      <c r="C52" s="386"/>
      <c r="D52" s="386"/>
      <c r="E52" s="249"/>
      <c r="F52" s="449"/>
      <c r="G52" s="450"/>
      <c r="P52" s="197"/>
    </row>
    <row r="53" spans="2:16" s="77" customFormat="1" ht="16.5" customHeight="1">
      <c r="B53" s="78" t="s">
        <v>25</v>
      </c>
      <c r="C53" s="383">
        <f>+C54</f>
        <v>37003.35964</v>
      </c>
      <c r="D53" s="383">
        <f>+D54</f>
        <v>133767.1451</v>
      </c>
      <c r="E53" s="249"/>
      <c r="F53" s="449"/>
      <c r="P53" s="197"/>
    </row>
    <row r="54" spans="2:16" s="77" customFormat="1" ht="16.5" customHeight="1">
      <c r="B54" s="346" t="s">
        <v>210</v>
      </c>
      <c r="C54" s="499">
        <v>37003.35964</v>
      </c>
      <c r="D54" s="384">
        <f>ROUND(+C54*$E$9,5)</f>
        <v>133767.1451</v>
      </c>
      <c r="E54" s="249"/>
      <c r="F54" s="389"/>
      <c r="P54" s="197"/>
    </row>
    <row r="55" spans="2:16" s="77" customFormat="1" ht="9.75" customHeight="1">
      <c r="B55" s="76"/>
      <c r="C55" s="391"/>
      <c r="D55" s="391"/>
      <c r="E55" s="249"/>
      <c r="F55" s="389"/>
      <c r="P55" s="197"/>
    </row>
    <row r="56" spans="2:16" s="77" customFormat="1" ht="18" customHeight="1" hidden="1">
      <c r="B56" s="150"/>
      <c r="C56" s="384"/>
      <c r="D56" s="384"/>
      <c r="E56" s="249"/>
      <c r="F56" s="389"/>
      <c r="P56" s="197"/>
    </row>
    <row r="57" spans="2:16" s="77" customFormat="1" ht="21.75" customHeight="1" hidden="1">
      <c r="B57" s="79" t="s">
        <v>112</v>
      </c>
      <c r="C57" s="515">
        <f>+C58</f>
        <v>0</v>
      </c>
      <c r="D57" s="515">
        <f>+D58</f>
        <v>0</v>
      </c>
      <c r="E57" s="249"/>
      <c r="F57" s="389"/>
      <c r="H57" s="302"/>
      <c r="P57" s="197"/>
    </row>
    <row r="58" spans="2:16" s="77" customFormat="1" ht="21.75" customHeight="1" hidden="1">
      <c r="B58" s="76" t="s">
        <v>66</v>
      </c>
      <c r="C58" s="391">
        <f>+C59</f>
        <v>0</v>
      </c>
      <c r="D58" s="391">
        <f>+D59</f>
        <v>0</v>
      </c>
      <c r="E58" s="249"/>
      <c r="F58" s="389"/>
      <c r="H58" s="302"/>
      <c r="P58" s="197"/>
    </row>
    <row r="59" spans="2:16" s="77" customFormat="1" ht="21.75" customHeight="1" hidden="1">
      <c r="B59" s="300" t="s">
        <v>109</v>
      </c>
      <c r="C59" s="386">
        <v>0</v>
      </c>
      <c r="D59" s="386">
        <f>+C59*$E$9</f>
        <v>0</v>
      </c>
      <c r="E59" s="249"/>
      <c r="F59" s="389"/>
      <c r="H59" s="302"/>
      <c r="P59" s="197"/>
    </row>
    <row r="60" spans="2:16" s="77" customFormat="1" ht="19.5" customHeight="1" hidden="1">
      <c r="B60" s="150"/>
      <c r="C60" s="384"/>
      <c r="D60" s="384"/>
      <c r="E60" s="249"/>
      <c r="F60" s="389"/>
      <c r="P60" s="197"/>
    </row>
    <row r="61" spans="2:16" s="77" customFormat="1" ht="21.75" customHeight="1" hidden="1">
      <c r="B61" s="79" t="s">
        <v>138</v>
      </c>
      <c r="C61" s="515">
        <f>+C62+C86</f>
        <v>0</v>
      </c>
      <c r="D61" s="515">
        <f>+D62+D86</f>
        <v>0</v>
      </c>
      <c r="E61" s="249"/>
      <c r="F61" s="389"/>
      <c r="P61" s="197"/>
    </row>
    <row r="62" spans="2:16" s="77" customFormat="1" ht="21.75" customHeight="1" hidden="1">
      <c r="B62" s="78" t="s">
        <v>24</v>
      </c>
      <c r="C62" s="383">
        <f>SUM(C63:C84)</f>
        <v>0</v>
      </c>
      <c r="D62" s="383">
        <f>SUM(D63:D84)</f>
        <v>0</v>
      </c>
      <c r="E62" s="249"/>
      <c r="F62" s="389"/>
      <c r="P62" s="197"/>
    </row>
    <row r="63" spans="2:16" s="77" customFormat="1" ht="21.75" customHeight="1" hidden="1">
      <c r="B63" s="300" t="s">
        <v>108</v>
      </c>
      <c r="C63" s="386"/>
      <c r="D63" s="386">
        <f aca="true" t="shared" si="2" ref="D63:D84">+C63*$E$9</f>
        <v>0</v>
      </c>
      <c r="E63" s="249"/>
      <c r="F63" s="389"/>
      <c r="P63" s="197"/>
    </row>
    <row r="64" spans="2:16" s="77" customFormat="1" ht="21.75" customHeight="1" hidden="1">
      <c r="B64" s="300" t="s">
        <v>38</v>
      </c>
      <c r="C64" s="386"/>
      <c r="D64" s="386">
        <f t="shared" si="2"/>
        <v>0</v>
      </c>
      <c r="E64" s="249"/>
      <c r="F64" s="389"/>
      <c r="P64" s="197"/>
    </row>
    <row r="65" spans="2:16" s="77" customFormat="1" ht="21.75" customHeight="1" hidden="1">
      <c r="B65" s="300" t="s">
        <v>39</v>
      </c>
      <c r="C65" s="386"/>
      <c r="D65" s="386">
        <f t="shared" si="2"/>
        <v>0</v>
      </c>
      <c r="E65" s="249"/>
      <c r="F65" s="389"/>
      <c r="P65" s="197"/>
    </row>
    <row r="66" spans="2:16" s="77" customFormat="1" ht="21.75" customHeight="1" hidden="1">
      <c r="B66" s="300" t="s">
        <v>41</v>
      </c>
      <c r="C66" s="386"/>
      <c r="D66" s="386">
        <f t="shared" si="2"/>
        <v>0</v>
      </c>
      <c r="E66" s="249"/>
      <c r="F66" s="389"/>
      <c r="P66" s="197"/>
    </row>
    <row r="67" spans="2:16" s="77" customFormat="1" ht="21.75" customHeight="1" hidden="1">
      <c r="B67" s="300" t="s">
        <v>145</v>
      </c>
      <c r="C67" s="386"/>
      <c r="D67" s="386">
        <f t="shared" si="2"/>
        <v>0</v>
      </c>
      <c r="E67" s="249"/>
      <c r="F67" s="389"/>
      <c r="P67" s="197"/>
    </row>
    <row r="68" spans="2:16" s="77" customFormat="1" ht="21.75" customHeight="1" hidden="1">
      <c r="B68" s="300" t="s">
        <v>40</v>
      </c>
      <c r="C68" s="386"/>
      <c r="D68" s="386">
        <f t="shared" si="2"/>
        <v>0</v>
      </c>
      <c r="E68" s="249"/>
      <c r="F68" s="389"/>
      <c r="P68" s="197"/>
    </row>
    <row r="69" spans="2:16" s="77" customFormat="1" ht="21.75" customHeight="1" hidden="1">
      <c r="B69" s="300" t="s">
        <v>45</v>
      </c>
      <c r="C69" s="386"/>
      <c r="D69" s="386">
        <f t="shared" si="2"/>
        <v>0</v>
      </c>
      <c r="E69" s="249"/>
      <c r="F69" s="389"/>
      <c r="P69" s="197"/>
    </row>
    <row r="70" spans="2:16" s="77" customFormat="1" ht="21.75" customHeight="1" hidden="1">
      <c r="B70" s="300" t="s">
        <v>69</v>
      </c>
      <c r="C70" s="386"/>
      <c r="D70" s="386">
        <f t="shared" si="2"/>
        <v>0</v>
      </c>
      <c r="E70" s="249"/>
      <c r="F70" s="389"/>
      <c r="P70" s="197"/>
    </row>
    <row r="71" spans="2:16" s="77" customFormat="1" ht="21.75" customHeight="1" hidden="1">
      <c r="B71" s="300" t="s">
        <v>47</v>
      </c>
      <c r="C71" s="386"/>
      <c r="D71" s="386">
        <f t="shared" si="2"/>
        <v>0</v>
      </c>
      <c r="E71" s="249"/>
      <c r="F71" s="389"/>
      <c r="P71" s="197"/>
    </row>
    <row r="72" spans="2:16" s="77" customFormat="1" ht="21.75" customHeight="1" hidden="1">
      <c r="B72" s="300" t="s">
        <v>42</v>
      </c>
      <c r="C72" s="386"/>
      <c r="D72" s="386">
        <f t="shared" si="2"/>
        <v>0</v>
      </c>
      <c r="E72" s="249"/>
      <c r="F72" s="389"/>
      <c r="P72" s="197"/>
    </row>
    <row r="73" spans="2:16" s="77" customFormat="1" ht="21.75" customHeight="1" hidden="1">
      <c r="B73" s="300" t="s">
        <v>44</v>
      </c>
      <c r="C73" s="386"/>
      <c r="D73" s="386">
        <f t="shared" si="2"/>
        <v>0</v>
      </c>
      <c r="E73" s="249"/>
      <c r="F73" s="389"/>
      <c r="P73" s="197"/>
    </row>
    <row r="74" spans="2:16" s="77" customFormat="1" ht="21.75" customHeight="1" hidden="1">
      <c r="B74" s="300" t="s">
        <v>48</v>
      </c>
      <c r="C74" s="386"/>
      <c r="D74" s="386">
        <f t="shared" si="2"/>
        <v>0</v>
      </c>
      <c r="E74" s="249"/>
      <c r="F74" s="389"/>
      <c r="P74" s="197"/>
    </row>
    <row r="75" spans="2:16" s="77" customFormat="1" ht="21.75" customHeight="1" hidden="1">
      <c r="B75" s="300" t="s">
        <v>51</v>
      </c>
      <c r="C75" s="386"/>
      <c r="D75" s="386">
        <f t="shared" si="2"/>
        <v>0</v>
      </c>
      <c r="E75" s="249"/>
      <c r="F75" s="389"/>
      <c r="P75" s="197"/>
    </row>
    <row r="76" spans="2:16" s="77" customFormat="1" ht="21.75" customHeight="1" hidden="1">
      <c r="B76" s="300" t="s">
        <v>158</v>
      </c>
      <c r="C76" s="386"/>
      <c r="D76" s="386">
        <f t="shared" si="2"/>
        <v>0</v>
      </c>
      <c r="E76" s="249"/>
      <c r="F76" s="389"/>
      <c r="P76" s="197"/>
    </row>
    <row r="77" spans="2:16" s="77" customFormat="1" ht="21.75" customHeight="1" hidden="1">
      <c r="B77" s="300" t="s">
        <v>53</v>
      </c>
      <c r="C77" s="386"/>
      <c r="D77" s="386">
        <f t="shared" si="2"/>
        <v>0</v>
      </c>
      <c r="E77" s="249"/>
      <c r="F77" s="389"/>
      <c r="P77" s="197"/>
    </row>
    <row r="78" spans="2:16" s="77" customFormat="1" ht="21.75" customHeight="1" hidden="1">
      <c r="B78" s="300" t="s">
        <v>55</v>
      </c>
      <c r="C78" s="386"/>
      <c r="D78" s="386">
        <f t="shared" si="2"/>
        <v>0</v>
      </c>
      <c r="E78" s="249"/>
      <c r="F78" s="389"/>
      <c r="P78" s="197"/>
    </row>
    <row r="79" spans="2:16" s="77" customFormat="1" ht="21.75" customHeight="1" hidden="1">
      <c r="B79" s="300" t="s">
        <v>46</v>
      </c>
      <c r="C79" s="386"/>
      <c r="D79" s="386">
        <f t="shared" si="2"/>
        <v>0</v>
      </c>
      <c r="E79" s="249"/>
      <c r="F79" s="389"/>
      <c r="P79" s="197"/>
    </row>
    <row r="80" spans="2:16" s="77" customFormat="1" ht="21.75" customHeight="1" hidden="1">
      <c r="B80" s="300" t="s">
        <v>50</v>
      </c>
      <c r="C80" s="386"/>
      <c r="D80" s="386">
        <f t="shared" si="2"/>
        <v>0</v>
      </c>
      <c r="E80" s="249"/>
      <c r="F80" s="389"/>
      <c r="P80" s="197"/>
    </row>
    <row r="81" spans="2:16" s="77" customFormat="1" ht="21.75" customHeight="1" hidden="1">
      <c r="B81" s="300" t="s">
        <v>57</v>
      </c>
      <c r="C81" s="386"/>
      <c r="D81" s="386">
        <f t="shared" si="2"/>
        <v>0</v>
      </c>
      <c r="E81" s="249"/>
      <c r="F81" s="389"/>
      <c r="P81" s="197"/>
    </row>
    <row r="82" spans="2:16" s="77" customFormat="1" ht="21.75" customHeight="1" hidden="1">
      <c r="B82" s="300" t="s">
        <v>52</v>
      </c>
      <c r="C82" s="386"/>
      <c r="D82" s="386">
        <f t="shared" si="2"/>
        <v>0</v>
      </c>
      <c r="E82" s="249"/>
      <c r="F82" s="389"/>
      <c r="P82" s="197"/>
    </row>
    <row r="83" spans="2:16" s="77" customFormat="1" ht="21.75" customHeight="1" hidden="1">
      <c r="B83" s="300" t="s">
        <v>54</v>
      </c>
      <c r="C83" s="386"/>
      <c r="D83" s="386">
        <f t="shared" si="2"/>
        <v>0</v>
      </c>
      <c r="E83" s="249"/>
      <c r="F83" s="389"/>
      <c r="P83" s="197"/>
    </row>
    <row r="84" spans="2:16" s="77" customFormat="1" ht="21.75" customHeight="1" hidden="1">
      <c r="B84" s="300" t="s">
        <v>56</v>
      </c>
      <c r="C84" s="386"/>
      <c r="D84" s="386">
        <f t="shared" si="2"/>
        <v>0</v>
      </c>
      <c r="E84" s="249"/>
      <c r="F84" s="389"/>
      <c r="P84" s="197"/>
    </row>
    <row r="85" spans="2:16" s="77" customFormat="1" ht="9.75" customHeight="1" hidden="1">
      <c r="B85" s="76"/>
      <c r="C85" s="391"/>
      <c r="D85" s="391"/>
      <c r="E85" s="249"/>
      <c r="F85" s="389"/>
      <c r="P85" s="197"/>
    </row>
    <row r="86" spans="2:16" s="77" customFormat="1" ht="21.75" customHeight="1" hidden="1">
      <c r="B86" s="78" t="s">
        <v>25</v>
      </c>
      <c r="C86" s="383">
        <f>+C87</f>
        <v>0</v>
      </c>
      <c r="D86" s="383">
        <f>+D87</f>
        <v>0</v>
      </c>
      <c r="E86" s="249"/>
      <c r="F86" s="389"/>
      <c r="P86" s="197"/>
    </row>
    <row r="87" spans="2:16" s="77" customFormat="1" ht="21.75" customHeight="1" hidden="1">
      <c r="B87" s="300" t="s">
        <v>107</v>
      </c>
      <c r="C87" s="386"/>
      <c r="D87" s="386">
        <f>+C87*$E$9</f>
        <v>0</v>
      </c>
      <c r="E87" s="249"/>
      <c r="F87" s="389"/>
      <c r="P87" s="197"/>
    </row>
    <row r="88" spans="2:16" s="77" customFormat="1" ht="4.5" customHeight="1">
      <c r="B88" s="150"/>
      <c r="C88" s="384"/>
      <c r="D88" s="384"/>
      <c r="E88" s="249"/>
      <c r="F88" s="389"/>
      <c r="P88" s="197"/>
    </row>
    <row r="89" spans="2:16" s="77" customFormat="1" ht="15" customHeight="1">
      <c r="B89" s="629" t="s">
        <v>28</v>
      </c>
      <c r="C89" s="593">
        <f>C14+C39</f>
        <v>7925315.011279996</v>
      </c>
      <c r="D89" s="593">
        <f>+D14+D39</f>
        <v>28650013.76577</v>
      </c>
      <c r="E89" s="249"/>
      <c r="F89" s="389"/>
      <c r="P89" s="197"/>
    </row>
    <row r="90" spans="2:16" s="111" customFormat="1" ht="15" customHeight="1">
      <c r="B90" s="630"/>
      <c r="C90" s="594"/>
      <c r="D90" s="594"/>
      <c r="E90" s="249"/>
      <c r="F90" s="389"/>
      <c r="G90" s="77"/>
      <c r="P90" s="198"/>
    </row>
    <row r="91" spans="2:16" s="77" customFormat="1" ht="7.5" customHeight="1">
      <c r="B91" s="151"/>
      <c r="C91" s="101"/>
      <c r="D91" s="101"/>
      <c r="E91" s="249"/>
      <c r="F91" s="389"/>
      <c r="P91" s="197"/>
    </row>
    <row r="92" spans="1:16" ht="14.25" customHeight="1">
      <c r="A92" s="303"/>
      <c r="B92" s="304" t="s">
        <v>204</v>
      </c>
      <c r="D92" s="305"/>
      <c r="E92" s="249"/>
      <c r="F92" s="389"/>
      <c r="G92" s="77"/>
      <c r="P92" s="196"/>
    </row>
    <row r="93" spans="1:16" ht="14.25" customHeight="1">
      <c r="A93" s="303"/>
      <c r="B93" s="304" t="s">
        <v>205</v>
      </c>
      <c r="C93" s="306"/>
      <c r="D93" s="307"/>
      <c r="E93" s="249"/>
      <c r="F93" s="389"/>
      <c r="G93" s="77"/>
      <c r="P93" s="196"/>
    </row>
    <row r="94" spans="3:16" ht="14.25">
      <c r="C94" s="308"/>
      <c r="D94" s="309"/>
      <c r="E94" s="249"/>
      <c r="F94" s="389"/>
      <c r="G94" s="77"/>
      <c r="P94" s="196"/>
    </row>
    <row r="95" spans="3:16" ht="14.25">
      <c r="C95" s="311"/>
      <c r="D95" s="311"/>
      <c r="E95" s="249"/>
      <c r="F95" s="389"/>
      <c r="G95" s="312"/>
      <c r="H95" s="312"/>
      <c r="P95" s="196"/>
    </row>
    <row r="96" spans="3:16" ht="12.75">
      <c r="C96" s="313"/>
      <c r="D96" s="313"/>
      <c r="G96" s="312"/>
      <c r="H96" s="312"/>
      <c r="P96" s="196"/>
    </row>
    <row r="97" spans="3:16" ht="12.75">
      <c r="C97" s="314"/>
      <c r="D97" s="314"/>
      <c r="H97" s="310"/>
      <c r="P97" s="196"/>
    </row>
    <row r="98" spans="2:16" ht="18">
      <c r="B98" s="375" t="s">
        <v>122</v>
      </c>
      <c r="C98" s="375"/>
      <c r="D98" s="375"/>
      <c r="H98" s="310"/>
      <c r="P98" s="196"/>
    </row>
    <row r="99" spans="2:16" ht="18">
      <c r="B99" s="376" t="s">
        <v>136</v>
      </c>
      <c r="C99" s="376"/>
      <c r="D99" s="376"/>
      <c r="G99" s="312"/>
      <c r="P99" s="196"/>
    </row>
    <row r="100" spans="2:16" ht="18">
      <c r="B100" s="376" t="s">
        <v>137</v>
      </c>
      <c r="C100" s="376"/>
      <c r="D100" s="376"/>
      <c r="P100" s="196"/>
    </row>
    <row r="101" spans="2:16" ht="16.5">
      <c r="B101" s="380" t="s">
        <v>59</v>
      </c>
      <c r="C101" s="377"/>
      <c r="D101" s="377"/>
      <c r="P101" s="196"/>
    </row>
    <row r="102" spans="2:16" ht="15.75">
      <c r="B102" s="378" t="str">
        <f>+B9</f>
        <v>Al 31 de octubre de 2020</v>
      </c>
      <c r="C102" s="378"/>
      <c r="D102" s="298"/>
      <c r="P102" s="196"/>
    </row>
    <row r="103" spans="2:16" s="77" customFormat="1" ht="6.75" customHeight="1">
      <c r="B103" s="537"/>
      <c r="C103" s="537"/>
      <c r="D103" s="537"/>
      <c r="E103" s="212"/>
      <c r="P103" s="197"/>
    </row>
    <row r="104" spans="2:16" ht="16.5" customHeight="1">
      <c r="B104" s="575" t="s">
        <v>97</v>
      </c>
      <c r="C104" s="625" t="s">
        <v>87</v>
      </c>
      <c r="D104" s="627" t="s">
        <v>164</v>
      </c>
      <c r="P104" s="196"/>
    </row>
    <row r="105" spans="2:16" s="111" customFormat="1" ht="16.5" customHeight="1">
      <c r="B105" s="576"/>
      <c r="C105" s="626"/>
      <c r="D105" s="628"/>
      <c r="E105" s="213"/>
      <c r="G105" s="317"/>
      <c r="P105" s="198"/>
    </row>
    <row r="106" spans="2:16" s="111" customFormat="1" ht="9.75" customHeight="1">
      <c r="B106" s="149"/>
      <c r="C106" s="100"/>
      <c r="D106" s="112"/>
      <c r="E106" s="213"/>
      <c r="G106" s="317"/>
      <c r="P106" s="198"/>
    </row>
    <row r="107" spans="2:16" s="77" customFormat="1" ht="19.5" customHeight="1">
      <c r="B107" s="79" t="s">
        <v>202</v>
      </c>
      <c r="C107" s="515">
        <f>+C109+C112</f>
        <v>986024.03102</v>
      </c>
      <c r="D107" s="515">
        <f>+D109+D112</f>
        <v>3564476.8721400006</v>
      </c>
      <c r="E107" s="212"/>
      <c r="G107" s="302"/>
      <c r="H107" s="302"/>
      <c r="P107" s="197"/>
    </row>
    <row r="108" spans="2:16" s="77" customFormat="1" ht="9.75" customHeight="1">
      <c r="B108" s="79"/>
      <c r="C108" s="515"/>
      <c r="D108" s="515"/>
      <c r="E108" s="212"/>
      <c r="G108" s="302"/>
      <c r="H108" s="302"/>
      <c r="P108" s="197"/>
    </row>
    <row r="109" spans="2:16" s="77" customFormat="1" ht="16.5" customHeight="1">
      <c r="B109" s="78" t="s">
        <v>25</v>
      </c>
      <c r="C109" s="383">
        <f>SUM(C110:C110)</f>
        <v>0</v>
      </c>
      <c r="D109" s="383">
        <f>SUM(D110:D110)</f>
        <v>0</v>
      </c>
      <c r="E109" s="212"/>
      <c r="G109" s="302"/>
      <c r="H109" s="302"/>
      <c r="P109" s="197"/>
    </row>
    <row r="110" spans="2:16" s="77" customFormat="1" ht="16.5" customHeight="1" hidden="1">
      <c r="B110" s="435"/>
      <c r="C110" s="499">
        <v>0</v>
      </c>
      <c r="D110" s="384">
        <f>ROUND(+C110*$E$9,5)</f>
        <v>0</v>
      </c>
      <c r="E110" s="212"/>
      <c r="G110" s="302"/>
      <c r="H110" s="302"/>
      <c r="P110" s="197"/>
    </row>
    <row r="111" spans="2:16" s="77" customFormat="1" ht="12" customHeight="1">
      <c r="B111" s="79"/>
      <c r="C111" s="515"/>
      <c r="D111" s="515"/>
      <c r="E111" s="212"/>
      <c r="G111" s="302"/>
      <c r="H111" s="302"/>
      <c r="P111" s="197"/>
    </row>
    <row r="112" spans="2:16" s="77" customFormat="1" ht="16.5" customHeight="1">
      <c r="B112" s="78" t="s">
        <v>24</v>
      </c>
      <c r="C112" s="383">
        <f>SUM(C113:C121)</f>
        <v>986024.03102</v>
      </c>
      <c r="D112" s="383">
        <f>SUM(D113:D121)</f>
        <v>3564476.8721400006</v>
      </c>
      <c r="E112" s="212"/>
      <c r="F112" s="450"/>
      <c r="G112" s="318"/>
      <c r="H112" s="318"/>
      <c r="P112" s="197"/>
    </row>
    <row r="113" spans="2:16" s="77" customFormat="1" ht="16.5" customHeight="1">
      <c r="B113" s="521" t="s">
        <v>246</v>
      </c>
      <c r="C113" s="499">
        <v>718221.30014</v>
      </c>
      <c r="D113" s="384">
        <f aca="true" t="shared" si="3" ref="D113:D121">ROUND(+C113*$E$9,5)</f>
        <v>2596370.00001</v>
      </c>
      <c r="E113" s="212"/>
      <c r="F113" s="450"/>
      <c r="G113" s="318"/>
      <c r="H113" s="318"/>
      <c r="P113" s="197"/>
    </row>
    <row r="114" spans="2:16" s="77" customFormat="1" ht="16.5" customHeight="1">
      <c r="B114" s="521" t="s">
        <v>244</v>
      </c>
      <c r="C114" s="499">
        <v>63026.32783</v>
      </c>
      <c r="D114" s="384">
        <f t="shared" si="3"/>
        <v>227840.17511</v>
      </c>
      <c r="E114" s="212"/>
      <c r="F114" s="450"/>
      <c r="G114" s="318"/>
      <c r="P114" s="197"/>
    </row>
    <row r="115" spans="2:16" s="77" customFormat="1" ht="16.5" customHeight="1">
      <c r="B115" s="521" t="s">
        <v>245</v>
      </c>
      <c r="C115" s="499">
        <v>62982.93708000002</v>
      </c>
      <c r="D115" s="384">
        <f t="shared" si="3"/>
        <v>227683.31754</v>
      </c>
      <c r="E115" s="212"/>
      <c r="F115" s="450"/>
      <c r="G115" s="318"/>
      <c r="P115" s="197"/>
    </row>
    <row r="116" spans="2:16" s="77" customFormat="1" ht="16.5" customHeight="1">
      <c r="B116" s="381" t="s">
        <v>168</v>
      </c>
      <c r="C116" s="499">
        <v>40193.637619999994</v>
      </c>
      <c r="D116" s="384">
        <f t="shared" si="3"/>
        <v>145300</v>
      </c>
      <c r="E116" s="212"/>
      <c r="F116" s="450"/>
      <c r="G116" s="318"/>
      <c r="P116" s="197"/>
    </row>
    <row r="117" spans="2:16" s="77" customFormat="1" ht="16.5" customHeight="1">
      <c r="B117" s="521" t="s">
        <v>247</v>
      </c>
      <c r="C117" s="499">
        <v>39972.33739000001</v>
      </c>
      <c r="D117" s="384">
        <f t="shared" si="3"/>
        <v>144499.99966</v>
      </c>
      <c r="E117" s="212"/>
      <c r="F117" s="450"/>
      <c r="G117" s="318"/>
      <c r="P117" s="197"/>
    </row>
    <row r="118" spans="2:16" s="77" customFormat="1" ht="16.5" customHeight="1">
      <c r="B118" s="521" t="s">
        <v>248</v>
      </c>
      <c r="C118" s="499">
        <v>23425.554840000004</v>
      </c>
      <c r="D118" s="384">
        <f t="shared" si="3"/>
        <v>84683.38075</v>
      </c>
      <c r="E118" s="212"/>
      <c r="F118" s="450"/>
      <c r="G118" s="318"/>
      <c r="P118" s="197"/>
    </row>
    <row r="119" spans="2:16" s="77" customFormat="1" ht="16.5" customHeight="1">
      <c r="B119" s="521" t="s">
        <v>249</v>
      </c>
      <c r="C119" s="499">
        <v>20774.55021</v>
      </c>
      <c r="D119" s="384">
        <f t="shared" si="3"/>
        <v>75099.99901</v>
      </c>
      <c r="E119" s="212"/>
      <c r="F119" s="450"/>
      <c r="G119" s="318"/>
      <c r="P119" s="197"/>
    </row>
    <row r="120" spans="2:16" s="77" customFormat="1" ht="16.5" customHeight="1">
      <c r="B120" s="521" t="s">
        <v>250</v>
      </c>
      <c r="C120" s="499">
        <v>10650.06916</v>
      </c>
      <c r="D120" s="384">
        <f t="shared" si="3"/>
        <v>38500.00001</v>
      </c>
      <c r="E120" s="212"/>
      <c r="F120" s="450"/>
      <c r="G120" s="318"/>
      <c r="P120" s="197"/>
    </row>
    <row r="121" spans="2:16" s="77" customFormat="1" ht="16.5" customHeight="1">
      <c r="B121" s="521" t="s">
        <v>251</v>
      </c>
      <c r="C121" s="499">
        <v>6777.31675</v>
      </c>
      <c r="D121" s="384">
        <f t="shared" si="3"/>
        <v>24500.00005</v>
      </c>
      <c r="E121" s="212"/>
      <c r="F121" s="450"/>
      <c r="G121" s="318"/>
      <c r="P121" s="197"/>
    </row>
    <row r="122" spans="2:16" s="77" customFormat="1" ht="9.75" customHeight="1">
      <c r="B122" s="150"/>
      <c r="C122" s="384"/>
      <c r="D122" s="384"/>
      <c r="E122" s="212"/>
      <c r="F122" s="450"/>
      <c r="G122" s="318"/>
      <c r="P122" s="197"/>
    </row>
    <row r="123" spans="2:16" s="77" customFormat="1" ht="15" customHeight="1">
      <c r="B123" s="629" t="s">
        <v>28</v>
      </c>
      <c r="C123" s="593">
        <f>+C107</f>
        <v>986024.03102</v>
      </c>
      <c r="D123" s="593">
        <f>+D107</f>
        <v>3564476.8721400006</v>
      </c>
      <c r="E123" s="212"/>
      <c r="F123" s="450"/>
      <c r="G123" s="318"/>
      <c r="P123" s="197"/>
    </row>
    <row r="124" spans="2:16" s="111" customFormat="1" ht="15" customHeight="1">
      <c r="B124" s="630"/>
      <c r="C124" s="594"/>
      <c r="D124" s="594"/>
      <c r="E124" s="212"/>
      <c r="F124" s="450"/>
      <c r="G124" s="318"/>
      <c r="P124" s="198"/>
    </row>
    <row r="125" spans="2:16" s="77" customFormat="1" ht="7.5" customHeight="1">
      <c r="B125" s="151"/>
      <c r="C125" s="101"/>
      <c r="D125" s="101"/>
      <c r="E125" s="212"/>
      <c r="F125" s="450"/>
      <c r="P125" s="197"/>
    </row>
    <row r="126" spans="1:16" ht="14.25" customHeight="1">
      <c r="A126" s="303"/>
      <c r="B126" s="304" t="s">
        <v>204</v>
      </c>
      <c r="C126" s="392"/>
      <c r="D126" s="315"/>
      <c r="P126" s="196"/>
    </row>
    <row r="127" spans="3:16" ht="12.75">
      <c r="C127" s="316"/>
      <c r="D127" s="316"/>
      <c r="P127" s="196"/>
    </row>
  </sheetData>
  <sheetProtection/>
  <mergeCells count="14">
    <mergeCell ref="B104:B105"/>
    <mergeCell ref="C104:C105"/>
    <mergeCell ref="D104:D105"/>
    <mergeCell ref="B123:B124"/>
    <mergeCell ref="C123:C124"/>
    <mergeCell ref="D123:D124"/>
    <mergeCell ref="B10:D10"/>
    <mergeCell ref="B103:D103"/>
    <mergeCell ref="B11:B12"/>
    <mergeCell ref="C11:C12"/>
    <mergeCell ref="D11:D12"/>
    <mergeCell ref="B89:B90"/>
    <mergeCell ref="C89:C90"/>
    <mergeCell ref="D89:D90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4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23" t="s">
        <v>18</v>
      </c>
      <c r="C6" s="523"/>
      <c r="D6" s="523"/>
      <c r="E6" s="523"/>
      <c r="F6" s="523"/>
      <c r="G6" s="523"/>
    </row>
    <row r="7" spans="2:7" s="4" customFormat="1" ht="15.75">
      <c r="B7" s="524" t="str">
        <f>+Indice!B7</f>
        <v>AL 31 DE OCTUBRE 2020</v>
      </c>
      <c r="C7" s="524"/>
      <c r="D7" s="524"/>
      <c r="E7" s="524"/>
      <c r="F7" s="524"/>
      <c r="G7" s="524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26" t="s">
        <v>143</v>
      </c>
      <c r="E9" s="526"/>
      <c r="F9" s="526"/>
      <c r="G9" s="526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131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27" t="s">
        <v>132</v>
      </c>
      <c r="E13" s="527"/>
      <c r="F13" s="527"/>
      <c r="G13" s="527"/>
      <c r="H13" s="527"/>
    </row>
    <row r="14" spans="2:8" ht="15.75" customHeight="1">
      <c r="B14" s="52"/>
      <c r="C14" s="52"/>
      <c r="D14" s="527" t="s">
        <v>133</v>
      </c>
      <c r="E14" s="527"/>
      <c r="F14" s="527"/>
      <c r="G14" s="527"/>
      <c r="H14" s="527"/>
    </row>
    <row r="15" spans="2:7" ht="15.75" customHeight="1">
      <c r="B15" s="52"/>
      <c r="C15" s="52"/>
      <c r="D15" s="29" t="s">
        <v>134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127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128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129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130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30">
        <v>44135</v>
      </c>
      <c r="E22" s="529"/>
      <c r="F22" s="529"/>
      <c r="G22" s="529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29" t="s">
        <v>17</v>
      </c>
      <c r="E24" s="529"/>
      <c r="F24" s="529"/>
      <c r="G24" s="529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26" t="s">
        <v>152</v>
      </c>
      <c r="E26" s="526"/>
      <c r="F26" s="526"/>
      <c r="G26" s="526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160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83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44165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82</v>
      </c>
      <c r="C35" s="55" t="s">
        <v>8</v>
      </c>
      <c r="D35" s="29" t="s">
        <v>84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27" t="s">
        <v>161</v>
      </c>
      <c r="E37" s="527"/>
      <c r="F37" s="527"/>
      <c r="G37" s="527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29" t="s">
        <v>172</v>
      </c>
      <c r="E39" s="529"/>
      <c r="F39" s="529"/>
      <c r="G39" s="529"/>
      <c r="H39" s="528">
        <v>3.615</v>
      </c>
    </row>
    <row r="40" spans="4:8" ht="15.75" customHeight="1">
      <c r="D40" s="529"/>
      <c r="E40" s="529"/>
      <c r="F40" s="529"/>
      <c r="G40" s="529"/>
      <c r="H40" s="528"/>
    </row>
    <row r="41" ht="15.75" customHeight="1"/>
    <row r="42" spans="2:4" ht="12.75">
      <c r="B42" s="55" t="s">
        <v>70</v>
      </c>
      <c r="C42" s="55" t="s">
        <v>8</v>
      </c>
      <c r="D42" s="6" t="s">
        <v>71</v>
      </c>
    </row>
  </sheetData>
  <sheetProtection/>
  <mergeCells count="11">
    <mergeCell ref="D22:G22"/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2.75"/>
    <row r="2" s="130" customFormat="1" ht="12.75">
      <c r="D2" s="152"/>
    </row>
    <row r="3" s="130" customFormat="1" ht="12.75">
      <c r="D3" s="152"/>
    </row>
    <row r="4" spans="1:19" s="154" customFormat="1" ht="15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22.5" customHeight="1">
      <c r="A5" s="130"/>
      <c r="B5" s="523" t="s">
        <v>174</v>
      </c>
      <c r="C5" s="523"/>
      <c r="D5" s="523"/>
      <c r="E5" s="523"/>
      <c r="F5" s="523"/>
      <c r="G5" s="523"/>
      <c r="H5" s="523"/>
      <c r="I5" s="523"/>
      <c r="J5" s="523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36" t="s">
        <v>18</v>
      </c>
      <c r="C6" s="536"/>
      <c r="D6" s="536"/>
      <c r="E6" s="536"/>
      <c r="F6" s="536"/>
      <c r="G6" s="536"/>
      <c r="H6" s="536"/>
      <c r="I6" s="536"/>
      <c r="J6" s="536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24" t="str">
        <f>+Indice!B7</f>
        <v>AL 31 DE OCTUBRE 2020</v>
      </c>
      <c r="C7" s="524"/>
      <c r="D7" s="524"/>
      <c r="E7" s="524"/>
      <c r="F7" s="524"/>
      <c r="G7" s="524"/>
      <c r="H7" s="524"/>
      <c r="I7" s="524"/>
      <c r="J7" s="524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24"/>
      <c r="C8" s="524"/>
      <c r="D8" s="524"/>
      <c r="E8" s="524"/>
      <c r="F8" s="524"/>
      <c r="G8" s="524"/>
      <c r="H8" s="524"/>
      <c r="I8" s="524"/>
      <c r="J8" s="524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37" t="s">
        <v>162</v>
      </c>
      <c r="C9" s="537"/>
      <c r="D9" s="537"/>
      <c r="E9" s="537"/>
      <c r="F9" s="537"/>
      <c r="G9" s="537"/>
      <c r="H9" s="263"/>
      <c r="I9" s="263"/>
      <c r="J9" s="263"/>
      <c r="K9" s="119"/>
      <c r="L9" s="199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33" t="s">
        <v>154</v>
      </c>
      <c r="C11" s="534"/>
      <c r="D11" s="534"/>
      <c r="E11" s="535"/>
      <c r="G11" s="533" t="s">
        <v>31</v>
      </c>
      <c r="H11" s="534"/>
      <c r="I11" s="534"/>
      <c r="J11" s="535"/>
    </row>
    <row r="12" spans="2:10" ht="19.5" customHeight="1">
      <c r="B12" s="121"/>
      <c r="C12" s="418" t="s">
        <v>77</v>
      </c>
      <c r="D12" s="419" t="s">
        <v>163</v>
      </c>
      <c r="E12" s="415" t="s">
        <v>27</v>
      </c>
      <c r="G12" s="124"/>
      <c r="H12" s="412" t="s">
        <v>77</v>
      </c>
      <c r="I12" s="412" t="str">
        <f>+D12</f>
        <v>Soles</v>
      </c>
      <c r="J12" s="498" t="s">
        <v>230</v>
      </c>
    </row>
    <row r="13" spans="2:15" ht="19.5" customHeight="1">
      <c r="B13" s="125" t="s">
        <v>73</v>
      </c>
      <c r="C13" s="413">
        <f>(+'DEP-C2'!C18+'DEP-C2'!C42)/1000</f>
        <v>6264.87637218</v>
      </c>
      <c r="D13" s="413">
        <f>(+'DEP-C2'!D18+'DEP-C2'!D42)/1000</f>
        <v>22647.52808543</v>
      </c>
      <c r="E13" s="416">
        <f>+C13/$C$15</f>
        <v>0.7030230072542552</v>
      </c>
      <c r="G13" s="125" t="s">
        <v>74</v>
      </c>
      <c r="H13" s="413">
        <f>+C21+C22+C23+C24</f>
        <v>3934.1998389799996</v>
      </c>
      <c r="I13" s="413">
        <f>+D21+D22+D23+D24</f>
        <v>14222.132417890001</v>
      </c>
      <c r="J13" s="496">
        <f>+H13/$H$15</f>
        <v>0.4414824551400515</v>
      </c>
      <c r="N13" s="200"/>
      <c r="O13" s="200"/>
    </row>
    <row r="14" spans="2:15" ht="19.5" customHeight="1">
      <c r="B14" s="125" t="s">
        <v>72</v>
      </c>
      <c r="C14" s="413">
        <f>(+'DEP-C2'!C14+'DEP-C2'!C38)/1000</f>
        <v>2646.462670120001</v>
      </c>
      <c r="D14" s="413">
        <f>(+'DEP-C2'!D14+'DEP-C2'!D38)/1000</f>
        <v>9566.9625524773</v>
      </c>
      <c r="E14" s="416">
        <f>+C14/$C$15</f>
        <v>0.29697699274574496</v>
      </c>
      <c r="G14" s="125" t="s">
        <v>75</v>
      </c>
      <c r="H14" s="413">
        <f>+C20</f>
        <v>4977.13920332</v>
      </c>
      <c r="I14" s="413">
        <f>+D20</f>
        <v>17992.35822</v>
      </c>
      <c r="J14" s="496">
        <f>+H14/$H$15</f>
        <v>0.5585175448599484</v>
      </c>
      <c r="O14" s="156"/>
    </row>
    <row r="15" spans="2:15" ht="19.5" customHeight="1">
      <c r="B15" s="126" t="s">
        <v>28</v>
      </c>
      <c r="C15" s="414">
        <f>SUM(C13:C14)</f>
        <v>8911.3390423</v>
      </c>
      <c r="D15" s="414">
        <f>SUM(D13:D14)</f>
        <v>32214.4906379073</v>
      </c>
      <c r="E15" s="417">
        <f>SUM(E13:E14)</f>
        <v>1</v>
      </c>
      <c r="G15" s="126" t="s">
        <v>28</v>
      </c>
      <c r="H15" s="414">
        <f>SUM(H13:H14)</f>
        <v>8911.3390423</v>
      </c>
      <c r="I15" s="414">
        <f>SUM(I13:I14)</f>
        <v>32214.490637889998</v>
      </c>
      <c r="J15" s="497">
        <f>SUM(J13:J14)</f>
        <v>1</v>
      </c>
      <c r="O15" s="156"/>
    </row>
    <row r="16" spans="2:10" ht="19.5" customHeight="1">
      <c r="B16" s="123"/>
      <c r="C16" s="506"/>
      <c r="D16" s="272"/>
      <c r="E16" s="223"/>
      <c r="G16" s="123"/>
      <c r="H16" s="273"/>
      <c r="I16" s="273"/>
      <c r="J16" s="223"/>
    </row>
    <row r="17" spans="2:8" ht="19.5" customHeight="1">
      <c r="B17" s="164"/>
      <c r="C17" s="274"/>
      <c r="H17" s="127"/>
    </row>
    <row r="18" spans="2:12" ht="19.5" customHeight="1">
      <c r="B18" s="533" t="s">
        <v>68</v>
      </c>
      <c r="C18" s="534"/>
      <c r="D18" s="534"/>
      <c r="E18" s="535"/>
      <c r="G18" s="533" t="s">
        <v>62</v>
      </c>
      <c r="H18" s="534"/>
      <c r="I18" s="534"/>
      <c r="J18" s="535"/>
      <c r="L18" s="127"/>
    </row>
    <row r="19" spans="2:10" ht="19.5" customHeight="1">
      <c r="B19" s="124"/>
      <c r="C19" s="412" t="s">
        <v>77</v>
      </c>
      <c r="D19" s="412" t="str">
        <f>+D12</f>
        <v>Soles</v>
      </c>
      <c r="E19" s="420" t="s">
        <v>27</v>
      </c>
      <c r="G19" s="124"/>
      <c r="H19" s="412" t="s">
        <v>77</v>
      </c>
      <c r="I19" s="412" t="str">
        <f>+I12</f>
        <v>Soles</v>
      </c>
      <c r="J19" s="420" t="s">
        <v>27</v>
      </c>
    </row>
    <row r="20" spans="2:12" ht="19.5" customHeight="1">
      <c r="B20" s="125" t="s">
        <v>75</v>
      </c>
      <c r="C20" s="413">
        <f>+(+'DEP-C7'!D20+'DEP-C7'!D36)/1000</f>
        <v>4977.13920332</v>
      </c>
      <c r="D20" s="413">
        <f>+(+'DEP-C7'!E20+'DEP-C7'!E36)/1000</f>
        <v>17992.35822</v>
      </c>
      <c r="E20" s="416">
        <f>+C20/$C$25</f>
        <v>0.5585175448599484</v>
      </c>
      <c r="G20" s="125" t="s">
        <v>77</v>
      </c>
      <c r="H20" s="413">
        <f>('DEP-C3'!C22+'DEP-C3'!C57)/1000</f>
        <v>6229.70204825</v>
      </c>
      <c r="I20" s="413">
        <f>('DEP-C3'!D22+'DEP-C3'!D57)/1000</f>
        <v>22520.37290443</v>
      </c>
      <c r="J20" s="416">
        <f>+H20/$H$24</f>
        <v>0.6990758648817076</v>
      </c>
      <c r="L20" s="157"/>
    </row>
    <row r="21" spans="2:12" ht="19.5" customHeight="1">
      <c r="B21" s="125" t="s">
        <v>76</v>
      </c>
      <c r="C21" s="413">
        <f>+(+'DEP-C7'!D15+'DEP-C7'!D30+'DEP-C7'!D74)/1000</f>
        <v>2126.87272331</v>
      </c>
      <c r="D21" s="413">
        <f>+(+'DEP-C7'!E15+'DEP-C7'!E30+'DEP-C7'!E74)/1000</f>
        <v>7688.64489476</v>
      </c>
      <c r="E21" s="416">
        <f>+C21/$C$25</f>
        <v>0.23867038536119461</v>
      </c>
      <c r="G21" s="125" t="s">
        <v>163</v>
      </c>
      <c r="H21" s="413">
        <f>('DEP-C3'!C14+'DEP-C3'!C49)/1000</f>
        <v>2176.412294500001</v>
      </c>
      <c r="I21" s="413">
        <f>(+'DEP-C3'!D14+'DEP-C3'!D49)/1000</f>
        <v>7867.7304446200005</v>
      </c>
      <c r="J21" s="416">
        <f>+H21/$H$24</f>
        <v>0.24422954666735167</v>
      </c>
      <c r="L21" s="170"/>
    </row>
    <row r="22" spans="2:12" ht="19.5" customHeight="1">
      <c r="B22" s="125" t="s">
        <v>215</v>
      </c>
      <c r="C22" s="413">
        <f>+('DEP-C7'!D22+'DEP-C7'!D39)/1000</f>
        <v>639.1218591200001</v>
      </c>
      <c r="D22" s="413">
        <f>+('DEP-C7'!E22+'DEP-C7'!E39)/1000</f>
        <v>2310.42552072</v>
      </c>
      <c r="E22" s="416">
        <f>+C22/$C$25</f>
        <v>0.07172006991163069</v>
      </c>
      <c r="G22" s="125" t="s">
        <v>78</v>
      </c>
      <c r="H22" s="413">
        <f>+'DEP-C3'!C26/1000</f>
        <v>237.48814242</v>
      </c>
      <c r="I22" s="413">
        <f>+'DEP-C3'!D26/1000</f>
        <v>858.51963485</v>
      </c>
      <c r="J22" s="416">
        <f>+H22/$H$24</f>
        <v>0.026650107384838626</v>
      </c>
      <c r="L22" s="201"/>
    </row>
    <row r="23" spans="2:12" ht="19.5" customHeight="1">
      <c r="B23" s="125" t="s">
        <v>126</v>
      </c>
      <c r="C23" s="413">
        <f>+('DEP-C7'!D18+'DEP-C7'!D34+'DEP-C7'!D81)/1000</f>
        <v>674.7178770099999</v>
      </c>
      <c r="D23" s="413">
        <f>(+'DEP-C7'!E18+'DEP-C7'!E34+'DEP-C7'!E81)/1000</f>
        <v>2439.10512539</v>
      </c>
      <c r="E23" s="416">
        <f>+C23/$C$25</f>
        <v>0.07571453333862344</v>
      </c>
      <c r="G23" s="125" t="s">
        <v>79</v>
      </c>
      <c r="H23" s="235">
        <f>+'DEP-C3'!C30/1000</f>
        <v>267.73655713000005</v>
      </c>
      <c r="I23" s="235">
        <f>+'DEP-C3'!D30/1000</f>
        <v>967.86765402</v>
      </c>
      <c r="J23" s="416">
        <f>+H23/$H$24</f>
        <v>0.030044481066102243</v>
      </c>
      <c r="L23" s="170"/>
    </row>
    <row r="24" spans="2:12" ht="19.5" customHeight="1">
      <c r="B24" s="125" t="s">
        <v>36</v>
      </c>
      <c r="C24" s="413">
        <f>+('DEP-C7'!D25+'DEP-C7'!D41+'DEP-C7'!D83)/1000</f>
        <v>493.48737954</v>
      </c>
      <c r="D24" s="413">
        <f>+('DEP-C7'!E25+'DEP-C7'!E41+'DEP-C7'!E83)/1000</f>
        <v>1783.95687702</v>
      </c>
      <c r="E24" s="416">
        <f>+C24/$C$25</f>
        <v>0.05537746652860285</v>
      </c>
      <c r="G24" s="126" t="s">
        <v>28</v>
      </c>
      <c r="H24" s="414">
        <f>SUM(H20:H23)</f>
        <v>8911.3390423</v>
      </c>
      <c r="I24" s="414">
        <f>SUM(I20:I23)</f>
        <v>32214.49063792</v>
      </c>
      <c r="J24" s="417">
        <f>SUM(J20:J23)</f>
        <v>1</v>
      </c>
      <c r="L24" s="202"/>
    </row>
    <row r="25" spans="2:5" ht="19.5" customHeight="1">
      <c r="B25" s="126" t="s">
        <v>28</v>
      </c>
      <c r="C25" s="414">
        <f>SUM(C20:C24)</f>
        <v>8911.3390423</v>
      </c>
      <c r="D25" s="414">
        <f>SUM(D20:D24)</f>
        <v>32214.490637889998</v>
      </c>
      <c r="E25" s="417">
        <f>SUM(E20:E24)</f>
        <v>1</v>
      </c>
    </row>
    <row r="26" spans="3:9" ht="19.5" customHeight="1">
      <c r="C26" s="235"/>
      <c r="H26" s="170"/>
      <c r="I26" s="170"/>
    </row>
    <row r="27" spans="2:8" ht="19.5" customHeight="1">
      <c r="B27" s="123"/>
      <c r="C27" s="275"/>
      <c r="D27" s="276"/>
      <c r="E27" s="223"/>
      <c r="G27" s="225"/>
      <c r="H27" s="235"/>
    </row>
    <row r="28" spans="2:10" ht="19.5" customHeight="1">
      <c r="B28" s="533" t="s">
        <v>29</v>
      </c>
      <c r="C28" s="534"/>
      <c r="D28" s="534"/>
      <c r="E28" s="535"/>
      <c r="G28" s="533" t="s">
        <v>30</v>
      </c>
      <c r="H28" s="534"/>
      <c r="I28" s="534"/>
      <c r="J28" s="535"/>
    </row>
    <row r="29" spans="2:10" ht="19.5" customHeight="1">
      <c r="B29" s="124"/>
      <c r="C29" s="412" t="s">
        <v>77</v>
      </c>
      <c r="D29" s="412" t="str">
        <f>+D19</f>
        <v>Soles</v>
      </c>
      <c r="E29" s="420" t="s">
        <v>27</v>
      </c>
      <c r="G29" s="124"/>
      <c r="H29" s="122" t="s">
        <v>77</v>
      </c>
      <c r="I29" s="122" t="str">
        <f>+I19</f>
        <v>Soles</v>
      </c>
      <c r="J29" s="421" t="s">
        <v>27</v>
      </c>
    </row>
    <row r="30" spans="2:14" ht="19.5" customHeight="1">
      <c r="B30" s="125" t="s">
        <v>92</v>
      </c>
      <c r="C30" s="413">
        <f>(+'DEP-C2'!C15+'DEP-C2'!C19+'DEP-C2'!C43)/1000</f>
        <v>3954.7099221300014</v>
      </c>
      <c r="D30" s="413">
        <f>(+'DEP-C2'!D15+'DEP-C2'!D19+'DEP-C2'!D43)/1000</f>
        <v>14296.276368499999</v>
      </c>
      <c r="E30" s="416">
        <f>+C30/$C$32</f>
        <v>0.44378402654841625</v>
      </c>
      <c r="G30" s="125" t="s">
        <v>80</v>
      </c>
      <c r="H30" s="413">
        <f>'DEP-C2'!C22/1000</f>
        <v>7925.315011280001</v>
      </c>
      <c r="I30" s="413">
        <f>+'DEP-C2'!D22/1000</f>
        <v>28650.01376577</v>
      </c>
      <c r="J30" s="416">
        <f>+H30/$H$32</f>
        <v>0.8893517543952062</v>
      </c>
      <c r="N30" s="157"/>
    </row>
    <row r="31" spans="2:14" ht="19.5" customHeight="1">
      <c r="B31" s="125" t="s">
        <v>93</v>
      </c>
      <c r="C31" s="413">
        <f>(+'DEP-C2'!C16+'DEP-C2'!C20+'DEP-C2'!C40+'DEP-C2'!C44)/1000</f>
        <v>4956.629120169999</v>
      </c>
      <c r="D31" s="413">
        <f>(+'DEP-C2'!D16+'DEP-C2'!D20+'DEP-C2'!D40+'DEP-C2'!D44)/1000</f>
        <v>17918.2142694073</v>
      </c>
      <c r="E31" s="416">
        <f>+C31/$C$32</f>
        <v>0.5562159734515838</v>
      </c>
      <c r="G31" s="125" t="s">
        <v>81</v>
      </c>
      <c r="H31" s="413">
        <f>+'DEP-C2'!C46/1000</f>
        <v>986.0240310199996</v>
      </c>
      <c r="I31" s="413">
        <f>+'DEP-C2'!D46/1000</f>
        <v>3564.476872137299</v>
      </c>
      <c r="J31" s="416">
        <f>+H31/$H$32</f>
        <v>0.11064824560479394</v>
      </c>
      <c r="N31" s="158"/>
    </row>
    <row r="32" spans="2:14" ht="19.5" customHeight="1">
      <c r="B32" s="126" t="s">
        <v>28</v>
      </c>
      <c r="C32" s="414">
        <f>SUM(C30:C31)</f>
        <v>8911.3390423</v>
      </c>
      <c r="D32" s="414">
        <f>SUM(D30:D31)</f>
        <v>32214.4906379073</v>
      </c>
      <c r="E32" s="417">
        <f>SUM(E30:E31)</f>
        <v>1</v>
      </c>
      <c r="G32" s="126" t="s">
        <v>28</v>
      </c>
      <c r="H32" s="414">
        <f>SUM(H30:H31)</f>
        <v>8911.3390423</v>
      </c>
      <c r="I32" s="414">
        <f>SUM(I30:I31)</f>
        <v>32214.4906379073</v>
      </c>
      <c r="J32" s="417">
        <f>SUM(J30:J31)</f>
        <v>1.0000000000000002</v>
      </c>
      <c r="N32" s="156"/>
    </row>
    <row r="33" ht="8.25" customHeight="1"/>
    <row r="34" spans="2:10" ht="15.75" customHeight="1">
      <c r="B34" s="236"/>
      <c r="C34" s="277"/>
      <c r="D34" s="278"/>
      <c r="E34" s="236"/>
      <c r="F34" s="236"/>
      <c r="G34" s="236"/>
      <c r="H34" s="278"/>
      <c r="I34" s="278"/>
      <c r="J34" s="236"/>
    </row>
    <row r="35" spans="2:10" ht="5.25" customHeight="1">
      <c r="B35" s="237"/>
      <c r="C35" s="237"/>
      <c r="D35" s="237"/>
      <c r="E35" s="237"/>
      <c r="F35" s="237"/>
      <c r="G35" s="237"/>
      <c r="H35" s="237"/>
      <c r="J35" s="238"/>
    </row>
    <row r="36" spans="2:9" ht="15.75" customHeight="1">
      <c r="B36" s="239"/>
      <c r="C36" s="240"/>
      <c r="D36" s="240"/>
      <c r="E36" s="241"/>
      <c r="F36" s="86"/>
      <c r="G36" s="86"/>
      <c r="H36" s="242"/>
      <c r="I36" s="170"/>
    </row>
    <row r="37" spans="2:8" ht="15.75" customHeight="1">
      <c r="B37" s="531"/>
      <c r="C37" s="532"/>
      <c r="D37" s="532"/>
      <c r="E37" s="532"/>
      <c r="F37" s="86"/>
      <c r="G37" s="86"/>
      <c r="H37" s="86"/>
    </row>
    <row r="38" spans="2:6" s="77" customFormat="1" ht="15.75" customHeight="1">
      <c r="B38" s="86"/>
      <c r="C38" s="243"/>
      <c r="D38" s="244"/>
      <c r="E38" s="86"/>
      <c r="F38" s="253"/>
    </row>
    <row r="39" spans="2:6" s="77" customFormat="1" ht="15.75" customHeight="1">
      <c r="B39" s="86"/>
      <c r="C39" s="159"/>
      <c r="D39" s="86"/>
      <c r="E39" s="86"/>
      <c r="F39" s="253"/>
    </row>
  </sheetData>
  <sheetProtection/>
  <mergeCells count="12"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  <mergeCell ref="B6:J6"/>
    <mergeCell ref="B9:G9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2.5" customHeight="1">
      <c r="B5" s="523" t="s">
        <v>175</v>
      </c>
      <c r="C5" s="523"/>
      <c r="D5" s="523"/>
      <c r="E5" s="523"/>
      <c r="F5" s="523"/>
      <c r="G5" s="523"/>
      <c r="H5" s="523"/>
    </row>
    <row r="6" spans="2:8" s="4" customFormat="1" ht="19.5" customHeight="1">
      <c r="B6" s="536" t="s">
        <v>18</v>
      </c>
      <c r="C6" s="536"/>
      <c r="D6" s="536"/>
      <c r="E6" s="536"/>
      <c r="F6" s="536"/>
      <c r="G6" s="536"/>
      <c r="H6" s="536"/>
    </row>
    <row r="7" spans="2:8" s="4" customFormat="1" ht="18" customHeight="1">
      <c r="B7" s="524" t="str">
        <f>+Indice!B7</f>
        <v>AL 31 DE OCTUBRE 2020</v>
      </c>
      <c r="C7" s="524"/>
      <c r="D7" s="524"/>
      <c r="E7" s="524"/>
      <c r="F7" s="524"/>
      <c r="G7" s="524"/>
      <c r="H7" s="524"/>
    </row>
    <row r="8" spans="2:9" s="4" customFormat="1" ht="24.75" customHeight="1">
      <c r="B8" s="263"/>
      <c r="C8" s="263"/>
      <c r="D8" s="263"/>
      <c r="E8" s="263"/>
      <c r="F8" s="263"/>
      <c r="G8" s="263"/>
      <c r="H8" s="263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40" t="str">
        <f>+Resumen!B11:E11</f>
        <v>TIPO DE DEUDA</v>
      </c>
      <c r="C10" s="540"/>
      <c r="D10" s="540"/>
      <c r="E10" s="90"/>
      <c r="F10" s="540" t="s">
        <v>31</v>
      </c>
      <c r="G10" s="540"/>
      <c r="H10" s="540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40" t="str">
        <f>+Resumen!B18:E18</f>
        <v>GRUPO DEL ACREEDOR</v>
      </c>
      <c r="C28" s="540"/>
      <c r="D28" s="540"/>
      <c r="F28" s="540" t="s">
        <v>62</v>
      </c>
      <c r="G28" s="540"/>
      <c r="H28" s="540"/>
    </row>
    <row r="48" spans="2:8" s="23" customFormat="1" ht="16.5">
      <c r="B48" s="540" t="s">
        <v>29</v>
      </c>
      <c r="C48" s="540"/>
      <c r="D48" s="540"/>
      <c r="F48" s="540" t="s">
        <v>30</v>
      </c>
      <c r="G48" s="540"/>
      <c r="H48" s="540"/>
    </row>
    <row r="66" spans="2:8" ht="30" customHeight="1">
      <c r="B66" s="541"/>
      <c r="C66" s="541"/>
      <c r="D66" s="541"/>
      <c r="E66" s="541"/>
      <c r="F66" s="541"/>
      <c r="G66" s="541"/>
      <c r="H66" s="541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38"/>
      <c r="C69" s="539"/>
      <c r="D69" s="539"/>
      <c r="E69" s="539"/>
      <c r="F69" s="51"/>
      <c r="G69" s="51"/>
      <c r="H69" s="51"/>
    </row>
    <row r="70" spans="2:8" ht="15.75" customHeight="1">
      <c r="B70" s="538"/>
      <c r="C70" s="539"/>
      <c r="D70" s="539"/>
      <c r="E70" s="539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  <mergeCell ref="B69:E69"/>
    <mergeCell ref="F48:H48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4" width="12.28125" style="9" customWidth="1"/>
    <col min="25" max="26" width="9.7109375" style="9" customWidth="1"/>
    <col min="27" max="34" width="9.140625" style="9" customWidth="1"/>
    <col min="35" max="36" width="9.140625" style="9" hidden="1" customWidth="1"/>
    <col min="37" max="222" width="11.421875" style="9" customWidth="1"/>
    <col min="223" max="223" width="25.7109375" style="9" customWidth="1"/>
    <col min="224" max="16384" width="15.7109375" style="9" customWidth="1"/>
  </cols>
  <sheetData>
    <row r="1" ht="12.75">
      <c r="B1" s="8"/>
    </row>
    <row r="2" spans="2:22" s="11" customFormat="1" ht="18">
      <c r="B2" s="542"/>
      <c r="C2" s="542"/>
      <c r="D2" s="542"/>
      <c r="E2" s="542"/>
      <c r="F2" s="542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42"/>
      <c r="C3" s="542"/>
      <c r="D3" s="542"/>
      <c r="E3" s="542"/>
      <c r="F3" s="542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6" t="s">
        <v>114</v>
      </c>
      <c r="C6" s="376"/>
      <c r="D6" s="376"/>
      <c r="E6" s="376"/>
      <c r="F6" s="376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22" t="s">
        <v>165</v>
      </c>
      <c r="C7" s="264"/>
      <c r="D7" s="264"/>
      <c r="E7" s="264"/>
      <c r="F7" s="264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70" t="s">
        <v>155</v>
      </c>
      <c r="C8" s="133"/>
      <c r="D8" s="264"/>
      <c r="E8" s="264"/>
      <c r="F8" s="264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6" t="s">
        <v>259</v>
      </c>
      <c r="C9" s="133"/>
      <c r="D9" s="264"/>
      <c r="E9" s="264"/>
      <c r="F9" s="264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11" t="s">
        <v>113</v>
      </c>
      <c r="C10" s="269"/>
      <c r="D10" s="264"/>
      <c r="E10" s="264"/>
      <c r="F10" s="264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51"/>
      <c r="C11" s="251"/>
      <c r="D11" s="251"/>
      <c r="E11" s="251"/>
      <c r="F11" s="172"/>
      <c r="G11" s="22"/>
    </row>
    <row r="12" spans="2:37" s="27" customFormat="1" ht="18" customHeight="1">
      <c r="B12" s="579" t="s">
        <v>141</v>
      </c>
      <c r="C12" s="575">
        <v>2009</v>
      </c>
      <c r="D12" s="547">
        <v>2010</v>
      </c>
      <c r="E12" s="543">
        <v>2011</v>
      </c>
      <c r="F12" s="575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75">
        <v>2013</v>
      </c>
      <c r="S12" s="575">
        <v>2014</v>
      </c>
      <c r="T12" s="560">
        <v>2015</v>
      </c>
      <c r="U12" s="577">
        <v>2016</v>
      </c>
      <c r="V12" s="564">
        <v>2017</v>
      </c>
      <c r="W12" s="562">
        <v>2018</v>
      </c>
      <c r="X12" s="562">
        <v>2019</v>
      </c>
      <c r="Y12" s="553">
        <v>2020</v>
      </c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5"/>
      <c r="AK12" s="501"/>
    </row>
    <row r="13" spans="2:37" s="27" customFormat="1" ht="18" customHeight="1">
      <c r="B13" s="580"/>
      <c r="C13" s="576"/>
      <c r="D13" s="548"/>
      <c r="E13" s="544"/>
      <c r="F13" s="576"/>
      <c r="G13" s="107" t="s">
        <v>98</v>
      </c>
      <c r="H13" s="107" t="s">
        <v>99</v>
      </c>
      <c r="I13" s="108" t="s">
        <v>104</v>
      </c>
      <c r="J13" s="108" t="s">
        <v>106</v>
      </c>
      <c r="K13" s="108" t="s">
        <v>110</v>
      </c>
      <c r="L13" s="108" t="s">
        <v>123</v>
      </c>
      <c r="M13" s="108" t="s">
        <v>142</v>
      </c>
      <c r="N13" s="108" t="s">
        <v>144</v>
      </c>
      <c r="O13" s="108" t="s">
        <v>146</v>
      </c>
      <c r="P13" s="108" t="s">
        <v>149</v>
      </c>
      <c r="Q13" s="108" t="s">
        <v>151</v>
      </c>
      <c r="R13" s="576"/>
      <c r="S13" s="576"/>
      <c r="T13" s="561"/>
      <c r="U13" s="578"/>
      <c r="V13" s="565"/>
      <c r="W13" s="563"/>
      <c r="X13" s="563"/>
      <c r="Y13" s="500" t="s">
        <v>98</v>
      </c>
      <c r="Z13" s="430" t="s">
        <v>99</v>
      </c>
      <c r="AA13" s="434" t="s">
        <v>104</v>
      </c>
      <c r="AB13" s="436" t="s">
        <v>106</v>
      </c>
      <c r="AC13" s="441" t="s">
        <v>236</v>
      </c>
      <c r="AD13" s="434" t="s">
        <v>123</v>
      </c>
      <c r="AE13" s="443" t="s">
        <v>142</v>
      </c>
      <c r="AF13" s="453" t="s">
        <v>144</v>
      </c>
      <c r="AG13" s="457" t="s">
        <v>254</v>
      </c>
      <c r="AH13" s="488" t="s">
        <v>149</v>
      </c>
      <c r="AI13" s="443" t="s">
        <v>151</v>
      </c>
      <c r="AJ13" s="487" t="s">
        <v>173</v>
      </c>
      <c r="AK13" s="501"/>
    </row>
    <row r="14" spans="2:37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401"/>
      <c r="U14" s="404"/>
      <c r="V14" s="454"/>
      <c r="W14" s="489"/>
      <c r="X14" s="489"/>
      <c r="Y14" s="404"/>
      <c r="Z14" s="431"/>
      <c r="AA14" s="182"/>
      <c r="AB14" s="431"/>
      <c r="AC14" s="442"/>
      <c r="AD14" s="182"/>
      <c r="AE14" s="444"/>
      <c r="AF14" s="454"/>
      <c r="AG14" s="405"/>
      <c r="AH14" s="489"/>
      <c r="AI14" s="444"/>
      <c r="AJ14" s="444"/>
      <c r="AK14" s="501"/>
    </row>
    <row r="15" spans="2:38" s="25" customFormat="1" ht="21.75" customHeight="1">
      <c r="B15" s="178" t="s">
        <v>34</v>
      </c>
      <c r="C15" s="494">
        <v>1389</v>
      </c>
      <c r="D15" s="494">
        <v>2144</v>
      </c>
      <c r="E15" s="492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02">
        <v>2258.8960634599985</v>
      </c>
      <c r="U15" s="406">
        <v>2931.5247573100005</v>
      </c>
      <c r="V15" s="432">
        <v>2816.8010528699997</v>
      </c>
      <c r="W15" s="490">
        <v>2585.67327702</v>
      </c>
      <c r="X15" s="490">
        <v>2512.4269972</v>
      </c>
      <c r="Y15" s="406">
        <v>2288.8808838399996</v>
      </c>
      <c r="Z15" s="432">
        <v>1981.11624501</v>
      </c>
      <c r="AA15" s="33">
        <v>1753.2883450499999</v>
      </c>
      <c r="AB15" s="432">
        <v>1719.99061324</v>
      </c>
      <c r="AC15" s="402">
        <v>1679.8513860300009</v>
      </c>
      <c r="AD15" s="33">
        <v>1941.3540463799998</v>
      </c>
      <c r="AE15" s="514">
        <v>2420.4156545900005</v>
      </c>
      <c r="AF15" s="455">
        <v>2531.926207659999</v>
      </c>
      <c r="AG15" s="407">
        <v>2654.5241263099992</v>
      </c>
      <c r="AH15" s="490">
        <v>2646.462670120001</v>
      </c>
      <c r="AI15" s="445">
        <v>0</v>
      </c>
      <c r="AJ15" s="445">
        <v>0</v>
      </c>
      <c r="AK15" s="502"/>
      <c r="AL15" s="469"/>
    </row>
    <row r="16" spans="2:38" s="25" customFormat="1" ht="21.75" customHeight="1">
      <c r="B16" s="178" t="s">
        <v>33</v>
      </c>
      <c r="C16" s="494">
        <v>256</v>
      </c>
      <c r="D16" s="494">
        <v>389</v>
      </c>
      <c r="E16" s="492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02">
        <v>4201.51382237</v>
      </c>
      <c r="U16" s="406">
        <v>4539.076503679999</v>
      </c>
      <c r="V16" s="432">
        <v>5985.46242653</v>
      </c>
      <c r="W16" s="490">
        <v>7233.929935290001</v>
      </c>
      <c r="X16" s="490">
        <v>6012.22120457</v>
      </c>
      <c r="Y16" s="406">
        <v>6003.1525334</v>
      </c>
      <c r="Z16" s="432">
        <v>5979.0383323999995</v>
      </c>
      <c r="AA16" s="33">
        <v>6066.84461896</v>
      </c>
      <c r="AB16" s="432">
        <v>6139.99061132</v>
      </c>
      <c r="AC16" s="402">
        <v>6115.977451919999</v>
      </c>
      <c r="AD16" s="33">
        <v>6110.7362488399995</v>
      </c>
      <c r="AE16" s="445">
        <v>6178.25235128</v>
      </c>
      <c r="AF16" s="455">
        <v>6255.789487399999</v>
      </c>
      <c r="AG16" s="407">
        <v>6205.890970489999</v>
      </c>
      <c r="AH16" s="490">
        <v>6264.87637218</v>
      </c>
      <c r="AI16" s="445">
        <v>0</v>
      </c>
      <c r="AJ16" s="445">
        <v>0</v>
      </c>
      <c r="AK16" s="503"/>
      <c r="AL16" s="469"/>
    </row>
    <row r="17" spans="2:37" s="25" customFormat="1" ht="6" customHeight="1">
      <c r="B17" s="179"/>
      <c r="C17" s="495"/>
      <c r="D17" s="495"/>
      <c r="E17" s="493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3"/>
      <c r="U17" s="408"/>
      <c r="V17" s="456"/>
      <c r="W17" s="491"/>
      <c r="X17" s="491"/>
      <c r="Y17" s="408"/>
      <c r="Z17" s="433"/>
      <c r="AA17" s="35"/>
      <c r="AB17" s="433"/>
      <c r="AC17" s="403"/>
      <c r="AD17" s="35"/>
      <c r="AE17" s="446"/>
      <c r="AF17" s="456"/>
      <c r="AG17" s="409"/>
      <c r="AH17" s="491"/>
      <c r="AI17" s="446"/>
      <c r="AJ17" s="446"/>
      <c r="AK17" s="502"/>
    </row>
    <row r="18" spans="2:37" s="27" customFormat="1" ht="15" customHeight="1">
      <c r="B18" s="571" t="s">
        <v>100</v>
      </c>
      <c r="C18" s="573">
        <f aca="true" t="shared" si="0" ref="C18:H18">SUM(C15:C16)</f>
        <v>1645</v>
      </c>
      <c r="D18" s="573">
        <f t="shared" si="0"/>
        <v>2533</v>
      </c>
      <c r="E18" s="568">
        <f t="shared" si="0"/>
        <v>2778</v>
      </c>
      <c r="F18" s="573">
        <f t="shared" si="0"/>
        <v>3231.62940566</v>
      </c>
      <c r="G18" s="566">
        <f t="shared" si="0"/>
        <v>3978.2822575499995</v>
      </c>
      <c r="H18" s="566">
        <f t="shared" si="0"/>
        <v>4283.16118678</v>
      </c>
      <c r="I18" s="549">
        <f aca="true" t="shared" si="1" ref="I18:N18">SUM(I15:I16)</f>
        <v>4271.37034379</v>
      </c>
      <c r="J18" s="549">
        <f t="shared" si="1"/>
        <v>3622.58121752</v>
      </c>
      <c r="K18" s="549">
        <f t="shared" si="1"/>
        <v>3177.2183911999996</v>
      </c>
      <c r="L18" s="549">
        <f t="shared" si="1"/>
        <v>3224.1298934800006</v>
      </c>
      <c r="M18" s="549">
        <f t="shared" si="1"/>
        <v>3273.10540427</v>
      </c>
      <c r="N18" s="549">
        <f t="shared" si="1"/>
        <v>3382.31552197</v>
      </c>
      <c r="O18" s="549">
        <f>+O15+O16</f>
        <v>3510.4566990000008</v>
      </c>
      <c r="P18" s="549">
        <f>+P15+P16</f>
        <v>3663.6902058299997</v>
      </c>
      <c r="Q18" s="549">
        <f>+Q15+Q16</f>
        <v>3934.70126796</v>
      </c>
      <c r="R18" s="549">
        <f>+R15+R16</f>
        <v>4098.53643417</v>
      </c>
      <c r="S18" s="549">
        <f>+S15+S16</f>
        <v>5844.665124709998</v>
      </c>
      <c r="T18" s="556">
        <f aca="true" t="shared" si="2" ref="T18:AC18">+T16+T15</f>
        <v>6460.4098858299985</v>
      </c>
      <c r="U18" s="545">
        <f>+U16+U15</f>
        <v>7470.60126099</v>
      </c>
      <c r="V18" s="556">
        <f>+V16+V15</f>
        <v>8802.2634794</v>
      </c>
      <c r="W18" s="558">
        <f>+W16+W15</f>
        <v>9819.603212310001</v>
      </c>
      <c r="X18" s="558">
        <f>+X16+X15</f>
        <v>8524.64820177</v>
      </c>
      <c r="Y18" s="558">
        <f t="shared" si="2"/>
        <v>8292.03341724</v>
      </c>
      <c r="Z18" s="568">
        <f t="shared" si="2"/>
        <v>7960.15457741</v>
      </c>
      <c r="AA18" s="545">
        <f t="shared" si="2"/>
        <v>7820.132964009999</v>
      </c>
      <c r="AB18" s="568">
        <f t="shared" si="2"/>
        <v>7859.981224560001</v>
      </c>
      <c r="AC18" s="556">
        <f t="shared" si="2"/>
        <v>7795.82883795</v>
      </c>
      <c r="AD18" s="545">
        <f aca="true" t="shared" si="3" ref="AD18:AI18">+AD16+AD15</f>
        <v>8052.0902952199995</v>
      </c>
      <c r="AE18" s="551">
        <f t="shared" si="3"/>
        <v>8598.66800587</v>
      </c>
      <c r="AF18" s="556">
        <f t="shared" si="3"/>
        <v>8787.715695059998</v>
      </c>
      <c r="AG18" s="549">
        <f t="shared" si="3"/>
        <v>8860.415096799998</v>
      </c>
      <c r="AH18" s="558">
        <f t="shared" si="3"/>
        <v>8911.3390423</v>
      </c>
      <c r="AI18" s="551">
        <f t="shared" si="3"/>
        <v>0</v>
      </c>
      <c r="AJ18" s="551">
        <f>+AJ16+AJ15</f>
        <v>0</v>
      </c>
      <c r="AK18" s="501"/>
    </row>
    <row r="19" spans="2:38" s="27" customFormat="1" ht="15" customHeight="1">
      <c r="B19" s="572"/>
      <c r="C19" s="574"/>
      <c r="D19" s="574"/>
      <c r="E19" s="569"/>
      <c r="F19" s="574"/>
      <c r="G19" s="567"/>
      <c r="H19" s="567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7"/>
      <c r="U19" s="546"/>
      <c r="V19" s="557"/>
      <c r="W19" s="559"/>
      <c r="X19" s="559"/>
      <c r="Y19" s="559"/>
      <c r="Z19" s="569"/>
      <c r="AA19" s="546"/>
      <c r="AB19" s="569"/>
      <c r="AC19" s="557"/>
      <c r="AD19" s="546"/>
      <c r="AE19" s="552"/>
      <c r="AF19" s="557"/>
      <c r="AG19" s="550"/>
      <c r="AH19" s="559"/>
      <c r="AI19" s="552"/>
      <c r="AJ19" s="552"/>
      <c r="AK19" s="501"/>
      <c r="AL19" s="469"/>
    </row>
    <row r="20" spans="2:7" ht="7.5" customHeight="1">
      <c r="B20" s="36"/>
      <c r="C20" s="37"/>
      <c r="D20" s="37"/>
      <c r="E20" s="37"/>
      <c r="F20" s="37"/>
      <c r="G20" s="37"/>
    </row>
    <row r="21" spans="2:22" ht="7.5" customHeight="1">
      <c r="B21" s="36"/>
      <c r="C21" s="37"/>
      <c r="D21" s="37"/>
      <c r="E21" s="37"/>
      <c r="F21" s="37"/>
      <c r="G21" s="37"/>
      <c r="T21" s="180"/>
      <c r="U21" s="180"/>
      <c r="V21" s="180"/>
    </row>
    <row r="22" spans="2:36" s="25" customFormat="1" ht="28.5" customHeight="1">
      <c r="B22" s="570"/>
      <c r="C22" s="570"/>
      <c r="D22" s="570"/>
      <c r="E22" s="570"/>
      <c r="F22" s="570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3"/>
      <c r="X22" s="203"/>
      <c r="Y22" s="188"/>
      <c r="Z22" s="188"/>
      <c r="AA22" s="188"/>
      <c r="AB22" s="203"/>
      <c r="AC22" s="203"/>
      <c r="AD22" s="203"/>
      <c r="AE22" s="203"/>
      <c r="AF22" s="203"/>
      <c r="AG22" s="203"/>
      <c r="AH22" s="203"/>
      <c r="AI22" s="203"/>
      <c r="AJ22" s="203"/>
    </row>
    <row r="23" spans="2:36" s="25" customFormat="1" ht="28.5" customHeight="1">
      <c r="B23" s="570"/>
      <c r="C23" s="570"/>
      <c r="D23" s="570"/>
      <c r="E23" s="570"/>
      <c r="F23" s="570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AE23" s="203"/>
      <c r="AF23" s="513"/>
      <c r="AJ23" s="511"/>
    </row>
    <row r="24" spans="2:31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E24" s="203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52">
    <mergeCell ref="W12:W13"/>
    <mergeCell ref="W18:W19"/>
    <mergeCell ref="B12:B13"/>
    <mergeCell ref="C12:C13"/>
    <mergeCell ref="F12:F13"/>
    <mergeCell ref="R12:R13"/>
    <mergeCell ref="AJ18:AJ19"/>
    <mergeCell ref="J18:J19"/>
    <mergeCell ref="S18:S19"/>
    <mergeCell ref="N18:N19"/>
    <mergeCell ref="S12:S13"/>
    <mergeCell ref="K18:K19"/>
    <mergeCell ref="Z18:Z19"/>
    <mergeCell ref="U12:U13"/>
    <mergeCell ref="M18:M19"/>
    <mergeCell ref="AF18:AF19"/>
    <mergeCell ref="B23:F23"/>
    <mergeCell ref="B18:B19"/>
    <mergeCell ref="C18:C19"/>
    <mergeCell ref="D18:D19"/>
    <mergeCell ref="E18:E19"/>
    <mergeCell ref="G18:G19"/>
    <mergeCell ref="B22:F22"/>
    <mergeCell ref="F18:F19"/>
    <mergeCell ref="AA18:AA19"/>
    <mergeCell ref="AI18:AI19"/>
    <mergeCell ref="AH18:AH19"/>
    <mergeCell ref="H18:H19"/>
    <mergeCell ref="I18:I19"/>
    <mergeCell ref="Q18:Q19"/>
    <mergeCell ref="R18:R19"/>
    <mergeCell ref="AB18:AB19"/>
    <mergeCell ref="T18:T19"/>
    <mergeCell ref="AG18:AG19"/>
    <mergeCell ref="AE18:AE19"/>
    <mergeCell ref="Y12:AJ12"/>
    <mergeCell ref="AC18:AC19"/>
    <mergeCell ref="Y18:Y19"/>
    <mergeCell ref="T12:T13"/>
    <mergeCell ref="AD18:AD19"/>
    <mergeCell ref="X12:X13"/>
    <mergeCell ref="X18:X19"/>
    <mergeCell ref="V12:V13"/>
    <mergeCell ref="V18:V19"/>
    <mergeCell ref="B2:F2"/>
    <mergeCell ref="B3:F3"/>
    <mergeCell ref="E12:E13"/>
    <mergeCell ref="U18:U19"/>
    <mergeCell ref="D12:D13"/>
    <mergeCell ref="O18:O19"/>
    <mergeCell ref="L18:L19"/>
    <mergeCell ref="P18:P19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24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6"/>
    </row>
    <row r="2" spans="2:14" s="1" customFormat="1" ht="13.5" customHeight="1">
      <c r="B2" s="542"/>
      <c r="C2" s="542"/>
      <c r="D2" s="542"/>
      <c r="E2" s="171"/>
      <c r="F2" s="356"/>
      <c r="G2" s="171"/>
      <c r="H2" s="171"/>
      <c r="I2" s="171"/>
      <c r="J2" s="171"/>
      <c r="M2" s="227"/>
      <c r="N2" s="227"/>
    </row>
    <row r="3" spans="2:14" s="1" customFormat="1" ht="13.5" customHeight="1">
      <c r="B3" s="542"/>
      <c r="C3" s="542"/>
      <c r="D3" s="542"/>
      <c r="E3" s="171"/>
      <c r="F3" s="356"/>
      <c r="G3" s="171"/>
      <c r="H3" s="171"/>
      <c r="I3" s="171"/>
      <c r="J3" s="171"/>
      <c r="M3" s="227"/>
      <c r="N3" s="227"/>
    </row>
    <row r="4" spans="2:14" s="1" customFormat="1" ht="18">
      <c r="B4" s="542"/>
      <c r="C4" s="542"/>
      <c r="D4" s="542"/>
      <c r="E4" s="171"/>
      <c r="F4" s="356"/>
      <c r="G4" s="171"/>
      <c r="H4" s="171"/>
      <c r="I4" s="171"/>
      <c r="J4" s="171"/>
      <c r="M4" s="227"/>
      <c r="N4" s="227"/>
    </row>
    <row r="5" spans="2:14" s="13" customFormat="1" ht="18">
      <c r="B5" s="129" t="s">
        <v>12</v>
      </c>
      <c r="C5" s="129"/>
      <c r="D5" s="129"/>
      <c r="E5" s="171"/>
      <c r="F5" s="356"/>
      <c r="H5" s="171"/>
      <c r="I5" s="280"/>
      <c r="J5" s="171"/>
      <c r="M5" s="228"/>
      <c r="N5" s="228"/>
    </row>
    <row r="6" spans="2:7" ht="18">
      <c r="B6" s="321" t="s">
        <v>136</v>
      </c>
      <c r="C6" s="321"/>
      <c r="D6" s="321"/>
      <c r="F6" s="356"/>
      <c r="G6" s="279"/>
    </row>
    <row r="7" spans="2:7" ht="18">
      <c r="B7" s="321" t="s">
        <v>135</v>
      </c>
      <c r="C7" s="321"/>
      <c r="D7" s="321"/>
      <c r="F7" s="356"/>
      <c r="G7" s="281"/>
    </row>
    <row r="8" spans="2:6" ht="15.75">
      <c r="B8" s="184" t="s">
        <v>153</v>
      </c>
      <c r="C8" s="184"/>
      <c r="D8" s="184"/>
      <c r="F8" s="356"/>
    </row>
    <row r="9" spans="2:14" s="3" customFormat="1" ht="15.75">
      <c r="B9" s="133" t="s">
        <v>256</v>
      </c>
      <c r="C9" s="269"/>
      <c r="D9" s="137"/>
      <c r="E9" s="320">
        <f>+Portada!H39</f>
        <v>3.615</v>
      </c>
      <c r="F9" s="141"/>
      <c r="G9" s="282"/>
      <c r="H9" s="283"/>
      <c r="I9" s="204"/>
      <c r="J9" s="204"/>
      <c r="M9" s="230"/>
      <c r="N9" s="230"/>
    </row>
    <row r="10" spans="2:6" ht="9.75" customHeight="1">
      <c r="B10" s="184"/>
      <c r="C10" s="184"/>
      <c r="D10" s="184"/>
      <c r="F10" s="356"/>
    </row>
    <row r="11" spans="2:12" ht="18.75" customHeight="1">
      <c r="B11" s="585" t="s">
        <v>156</v>
      </c>
      <c r="C11" s="587" t="s">
        <v>87</v>
      </c>
      <c r="D11" s="587" t="s">
        <v>164</v>
      </c>
      <c r="E11" s="322"/>
      <c r="F11" s="330"/>
      <c r="G11" s="322"/>
      <c r="H11" s="322"/>
      <c r="I11" s="322"/>
      <c r="J11" s="322"/>
      <c r="K11" s="323"/>
      <c r="L11" s="323"/>
    </row>
    <row r="12" spans="2:12" ht="18.75" customHeight="1">
      <c r="B12" s="586"/>
      <c r="C12" s="588"/>
      <c r="D12" s="588"/>
      <c r="E12" s="322"/>
      <c r="F12" s="330"/>
      <c r="G12" s="322"/>
      <c r="H12" s="322"/>
      <c r="I12" s="322"/>
      <c r="J12" s="322"/>
      <c r="K12" s="323"/>
      <c r="L12" s="323"/>
    </row>
    <row r="13" spans="2:14" s="16" customFormat="1" ht="9.75" customHeight="1">
      <c r="B13" s="255"/>
      <c r="C13" s="173"/>
      <c r="D13" s="174"/>
      <c r="E13" s="322"/>
      <c r="F13" s="357"/>
      <c r="G13" s="324"/>
      <c r="H13" s="324"/>
      <c r="I13" s="324"/>
      <c r="J13" s="322"/>
      <c r="K13" s="324"/>
      <c r="L13" s="324"/>
      <c r="M13" s="231"/>
      <c r="N13" s="231"/>
    </row>
    <row r="14" spans="2:14" s="13" customFormat="1" ht="19.5" customHeight="1">
      <c r="B14" s="67" t="s">
        <v>19</v>
      </c>
      <c r="C14" s="473">
        <f>SUM(C15:C16)</f>
        <v>1803438.6391000012</v>
      </c>
      <c r="D14" s="471">
        <f>SUM(D15:D16)</f>
        <v>6519430.68034</v>
      </c>
      <c r="E14" s="322"/>
      <c r="F14" s="504"/>
      <c r="G14" s="325"/>
      <c r="H14" s="325"/>
      <c r="I14" s="325"/>
      <c r="J14" s="322"/>
      <c r="K14" s="322"/>
      <c r="L14" s="322"/>
      <c r="M14" s="226"/>
      <c r="N14" s="226"/>
    </row>
    <row r="15" spans="2:14" s="13" customFormat="1" ht="16.5" customHeight="1">
      <c r="B15" s="68" t="s">
        <v>25</v>
      </c>
      <c r="C15" s="472">
        <v>1109661.512670001</v>
      </c>
      <c r="D15" s="472">
        <f>ROUND(+C15*$E$9,5)</f>
        <v>4011426.3683</v>
      </c>
      <c r="E15" s="326"/>
      <c r="F15" s="468"/>
      <c r="G15" s="325"/>
      <c r="H15" s="325"/>
      <c r="I15" s="325"/>
      <c r="J15" s="322"/>
      <c r="K15" s="326"/>
      <c r="L15" s="327"/>
      <c r="M15" s="233"/>
      <c r="N15" s="226"/>
    </row>
    <row r="16" spans="2:14" s="13" customFormat="1" ht="16.5" customHeight="1">
      <c r="B16" s="68" t="s">
        <v>24</v>
      </c>
      <c r="C16" s="472">
        <v>693777.1264300001</v>
      </c>
      <c r="D16" s="472">
        <f>ROUND(+C16*$E$9,5)</f>
        <v>2508004.31204</v>
      </c>
      <c r="E16" s="326"/>
      <c r="F16" s="468"/>
      <c r="G16" s="325"/>
      <c r="H16" s="325"/>
      <c r="I16" s="325"/>
      <c r="J16" s="322"/>
      <c r="K16" s="322"/>
      <c r="L16" s="327"/>
      <c r="M16" s="233"/>
      <c r="N16" s="226"/>
    </row>
    <row r="17" spans="2:14" s="13" customFormat="1" ht="15" customHeight="1">
      <c r="B17" s="15"/>
      <c r="C17" s="474"/>
      <c r="D17" s="472"/>
      <c r="E17" s="322"/>
      <c r="F17" s="437"/>
      <c r="G17" s="325"/>
      <c r="H17" s="325"/>
      <c r="I17" s="325"/>
      <c r="J17" s="322"/>
      <c r="K17" s="326"/>
      <c r="L17" s="327"/>
      <c r="M17" s="233"/>
      <c r="N17" s="226"/>
    </row>
    <row r="18" spans="2:14" s="13" customFormat="1" ht="19.5" customHeight="1">
      <c r="B18" s="18" t="s">
        <v>20</v>
      </c>
      <c r="C18" s="473">
        <f>SUM(C19:C20)</f>
        <v>6121876.37218</v>
      </c>
      <c r="D18" s="471">
        <f>SUM(D19:D20)</f>
        <v>22130583.08543</v>
      </c>
      <c r="E18" s="322"/>
      <c r="F18" s="504"/>
      <c r="G18" s="325"/>
      <c r="H18" s="325"/>
      <c r="I18" s="325"/>
      <c r="J18" s="322"/>
      <c r="K18" s="322"/>
      <c r="L18" s="326"/>
      <c r="M18" s="226"/>
      <c r="N18" s="226"/>
    </row>
    <row r="19" spans="2:14" s="13" customFormat="1" ht="16.5" customHeight="1">
      <c r="B19" s="15" t="s">
        <v>25</v>
      </c>
      <c r="C19" s="472">
        <v>2845048.40946</v>
      </c>
      <c r="D19" s="472">
        <f>ROUND(+C19*$E$9,5)</f>
        <v>10284850.0002</v>
      </c>
      <c r="E19" s="322"/>
      <c r="F19" s="359"/>
      <c r="G19" s="325"/>
      <c r="H19" s="325"/>
      <c r="I19" s="325"/>
      <c r="J19" s="322"/>
      <c r="K19" s="326"/>
      <c r="L19" s="327"/>
      <c r="M19" s="233"/>
      <c r="N19" s="226"/>
    </row>
    <row r="20" spans="2:14" s="13" customFormat="1" ht="16.5" customHeight="1">
      <c r="B20" s="15" t="s">
        <v>111</v>
      </c>
      <c r="C20" s="472">
        <v>3276827.9627199997</v>
      </c>
      <c r="D20" s="472">
        <f>ROUND(+C20*$E$9,5)</f>
        <v>11845733.08523</v>
      </c>
      <c r="E20" s="322"/>
      <c r="F20" s="360"/>
      <c r="G20" s="325"/>
      <c r="H20" s="325"/>
      <c r="I20" s="325"/>
      <c r="J20" s="322"/>
      <c r="K20" s="326"/>
      <c r="L20" s="327"/>
      <c r="M20" s="233"/>
      <c r="N20" s="226"/>
    </row>
    <row r="21" spans="2:14" s="13" customFormat="1" ht="9.75" customHeight="1">
      <c r="B21" s="15"/>
      <c r="C21" s="474"/>
      <c r="D21" s="472"/>
      <c r="E21" s="322"/>
      <c r="F21" s="361"/>
      <c r="G21" s="325"/>
      <c r="H21" s="325"/>
      <c r="I21" s="325"/>
      <c r="J21" s="322"/>
      <c r="K21" s="326"/>
      <c r="L21" s="326"/>
      <c r="M21" s="226"/>
      <c r="N21" s="226"/>
    </row>
    <row r="22" spans="2:14" s="13" customFormat="1" ht="15" customHeight="1">
      <c r="B22" s="581" t="s">
        <v>61</v>
      </c>
      <c r="C22" s="583">
        <f>+C18+C14</f>
        <v>7925315.011280001</v>
      </c>
      <c r="D22" s="583">
        <f>+D18+D14</f>
        <v>28650013.76577</v>
      </c>
      <c r="E22" s="322"/>
      <c r="F22" s="358"/>
      <c r="G22" s="325"/>
      <c r="H22" s="325"/>
      <c r="I22" s="325"/>
      <c r="J22" s="322"/>
      <c r="K22" s="322"/>
      <c r="L22" s="322"/>
      <c r="M22" s="226"/>
      <c r="N22" s="226"/>
    </row>
    <row r="23" spans="2:14" s="16" customFormat="1" ht="15" customHeight="1">
      <c r="B23" s="582"/>
      <c r="C23" s="584"/>
      <c r="D23" s="584"/>
      <c r="E23" s="322"/>
      <c r="F23" s="361"/>
      <c r="G23" s="325"/>
      <c r="H23" s="324"/>
      <c r="I23" s="324"/>
      <c r="J23" s="322"/>
      <c r="K23" s="322"/>
      <c r="L23" s="328"/>
      <c r="M23" s="234"/>
      <c r="N23" s="226"/>
    </row>
    <row r="24" spans="2:14" ht="14.25">
      <c r="B24" s="337"/>
      <c r="C24" s="467"/>
      <c r="D24" s="323"/>
      <c r="E24" s="322"/>
      <c r="F24" s="361"/>
      <c r="G24" s="325"/>
      <c r="H24" s="322"/>
      <c r="I24" s="322"/>
      <c r="J24" s="322"/>
      <c r="K24" s="329"/>
      <c r="L24" s="329"/>
      <c r="M24" s="226"/>
      <c r="N24" s="226"/>
    </row>
    <row r="25" spans="2:14" ht="14.25">
      <c r="B25" s="338"/>
      <c r="D25" s="339"/>
      <c r="E25" s="330"/>
      <c r="F25" s="362"/>
      <c r="G25" s="325"/>
      <c r="H25" s="322"/>
      <c r="I25" s="322"/>
      <c r="J25" s="322"/>
      <c r="K25" s="322"/>
      <c r="L25" s="331"/>
      <c r="M25" s="226"/>
      <c r="N25" s="226"/>
    </row>
    <row r="26" spans="2:14" ht="14.25">
      <c r="B26" s="337"/>
      <c r="D26" s="340"/>
      <c r="E26" s="322"/>
      <c r="F26" s="362"/>
      <c r="G26" s="325"/>
      <c r="H26" s="322"/>
      <c r="I26" s="322"/>
      <c r="J26" s="322"/>
      <c r="K26" s="330"/>
      <c r="L26" s="326"/>
      <c r="M26" s="232"/>
      <c r="N26" s="226"/>
    </row>
    <row r="27" spans="2:14" ht="14.25">
      <c r="B27" s="323"/>
      <c r="D27" s="341"/>
      <c r="E27" s="322"/>
      <c r="F27" s="362"/>
      <c r="G27" s="325"/>
      <c r="H27" s="322"/>
      <c r="I27" s="322"/>
      <c r="J27" s="322"/>
      <c r="K27" s="322"/>
      <c r="L27" s="326"/>
      <c r="M27" s="226"/>
      <c r="N27" s="226"/>
    </row>
    <row r="28" spans="2:14" ht="14.25">
      <c r="B28" s="323"/>
      <c r="C28" s="342"/>
      <c r="D28" s="342"/>
      <c r="E28" s="322"/>
      <c r="F28" s="361"/>
      <c r="G28" s="325"/>
      <c r="H28" s="322"/>
      <c r="I28" s="322"/>
      <c r="J28" s="322"/>
      <c r="K28" s="322"/>
      <c r="L28" s="332"/>
      <c r="M28" s="229"/>
      <c r="N28" s="226"/>
    </row>
    <row r="29" spans="2:14" s="1" customFormat="1" ht="18">
      <c r="B29" s="129" t="s">
        <v>116</v>
      </c>
      <c r="C29" s="129"/>
      <c r="D29" s="129"/>
      <c r="E29" s="322"/>
      <c r="F29" s="361"/>
      <c r="G29" s="325"/>
      <c r="H29" s="333"/>
      <c r="I29" s="333"/>
      <c r="J29" s="322"/>
      <c r="K29" s="322"/>
      <c r="L29" s="322"/>
      <c r="M29" s="226"/>
      <c r="N29" s="226"/>
    </row>
    <row r="30" spans="2:14" s="1" customFormat="1" ht="18">
      <c r="B30" s="321" t="s">
        <v>136</v>
      </c>
      <c r="C30" s="321"/>
      <c r="D30" s="321"/>
      <c r="E30" s="322"/>
      <c r="F30" s="361"/>
      <c r="G30" s="325"/>
      <c r="H30" s="333"/>
      <c r="I30" s="333"/>
      <c r="J30" s="322"/>
      <c r="K30" s="322"/>
      <c r="L30" s="326"/>
      <c r="M30" s="232"/>
      <c r="N30" s="226"/>
    </row>
    <row r="31" spans="2:14" s="1" customFormat="1" ht="18">
      <c r="B31" s="321" t="s">
        <v>137</v>
      </c>
      <c r="C31" s="321"/>
      <c r="D31" s="321"/>
      <c r="E31" s="322"/>
      <c r="F31" s="361"/>
      <c r="G31" s="325"/>
      <c r="H31" s="333"/>
      <c r="I31" s="333"/>
      <c r="J31" s="322"/>
      <c r="K31" s="322"/>
      <c r="L31" s="322"/>
      <c r="M31" s="226"/>
      <c r="N31" s="226"/>
    </row>
    <row r="32" spans="2:14" s="1" customFormat="1" ht="18">
      <c r="B32" s="184" t="s">
        <v>153</v>
      </c>
      <c r="C32" s="184"/>
      <c r="D32" s="184"/>
      <c r="E32" s="322"/>
      <c r="F32" s="361"/>
      <c r="G32" s="325"/>
      <c r="H32" s="322"/>
      <c r="I32" s="322"/>
      <c r="J32" s="322"/>
      <c r="K32" s="322"/>
      <c r="L32" s="322"/>
      <c r="M32" s="226"/>
      <c r="N32" s="226"/>
    </row>
    <row r="33" spans="2:14" s="3" customFormat="1" ht="15.75">
      <c r="B33" s="256" t="str">
        <f>+B9</f>
        <v>Al 31 de octubre de 2020</v>
      </c>
      <c r="C33" s="256"/>
      <c r="D33" s="137"/>
      <c r="E33" s="334"/>
      <c r="F33" s="361"/>
      <c r="G33" s="325"/>
      <c r="H33" s="335"/>
      <c r="I33" s="334"/>
      <c r="J33" s="334"/>
      <c r="K33" s="336"/>
      <c r="L33" s="336"/>
      <c r="M33" s="230"/>
      <c r="N33" s="230"/>
    </row>
    <row r="34" spans="2:14" s="3" customFormat="1" ht="9.75" customHeight="1">
      <c r="B34" s="14"/>
      <c r="C34" s="256"/>
      <c r="D34" s="12"/>
      <c r="E34" s="334"/>
      <c r="F34" s="361"/>
      <c r="G34" s="325"/>
      <c r="H34" s="334"/>
      <c r="I34" s="334"/>
      <c r="J34" s="334"/>
      <c r="K34" s="336"/>
      <c r="L34" s="336"/>
      <c r="M34" s="230"/>
      <c r="N34" s="230"/>
    </row>
    <row r="35" spans="2:12" ht="18.75" customHeight="1">
      <c r="B35" s="585" t="s">
        <v>156</v>
      </c>
      <c r="C35" s="587" t="s">
        <v>87</v>
      </c>
      <c r="D35" s="587" t="s">
        <v>164</v>
      </c>
      <c r="E35" s="322"/>
      <c r="F35" s="361"/>
      <c r="G35" s="325"/>
      <c r="H35" s="322"/>
      <c r="I35" s="322"/>
      <c r="J35" s="322"/>
      <c r="K35" s="323"/>
      <c r="L35" s="323"/>
    </row>
    <row r="36" spans="2:14" s="16" customFormat="1" ht="18.75" customHeight="1">
      <c r="B36" s="586"/>
      <c r="C36" s="588"/>
      <c r="D36" s="588"/>
      <c r="E36" s="322"/>
      <c r="F36" s="361"/>
      <c r="G36" s="325"/>
      <c r="H36" s="322"/>
      <c r="I36" s="322"/>
      <c r="J36" s="322"/>
      <c r="K36" s="324"/>
      <c r="L36" s="324"/>
      <c r="M36" s="231"/>
      <c r="N36" s="231"/>
    </row>
    <row r="37" spans="2:14" s="16" customFormat="1" ht="9.75" customHeight="1">
      <c r="B37" s="17"/>
      <c r="C37" s="260"/>
      <c r="D37" s="19"/>
      <c r="E37" s="322"/>
      <c r="F37" s="361"/>
      <c r="G37" s="325"/>
      <c r="H37" s="322"/>
      <c r="I37" s="322"/>
      <c r="J37" s="322"/>
      <c r="K37" s="324"/>
      <c r="L37" s="324"/>
      <c r="M37" s="231"/>
      <c r="N37" s="231"/>
    </row>
    <row r="38" spans="2:14" s="13" customFormat="1" ht="19.5" customHeight="1">
      <c r="B38" s="18" t="s">
        <v>147</v>
      </c>
      <c r="C38" s="473">
        <f>SUM(C39:C40)</f>
        <v>843024.0310199996</v>
      </c>
      <c r="D38" s="471">
        <f>SUM(D39:D40)</f>
        <v>3047531.872137299</v>
      </c>
      <c r="E38" s="322"/>
      <c r="F38" s="358"/>
      <c r="G38" s="325"/>
      <c r="H38" s="322"/>
      <c r="I38" s="322"/>
      <c r="J38" s="322"/>
      <c r="K38" s="325"/>
      <c r="L38" s="325"/>
      <c r="M38" s="228"/>
      <c r="N38" s="228"/>
    </row>
    <row r="39" spans="2:14" s="13" customFormat="1" ht="16.5" customHeight="1">
      <c r="B39" s="15" t="s">
        <v>25</v>
      </c>
      <c r="C39" s="474">
        <v>0</v>
      </c>
      <c r="D39" s="472">
        <f>+C39*$E$9</f>
        <v>0</v>
      </c>
      <c r="E39" s="322"/>
      <c r="F39" s="360"/>
      <c r="G39" s="325"/>
      <c r="H39" s="322"/>
      <c r="I39" s="322"/>
      <c r="J39" s="322"/>
      <c r="K39" s="325"/>
      <c r="L39" s="325"/>
      <c r="M39" s="228"/>
      <c r="N39" s="228"/>
    </row>
    <row r="40" spans="2:14" s="13" customFormat="1" ht="16.5" customHeight="1">
      <c r="B40" s="15" t="s">
        <v>24</v>
      </c>
      <c r="C40" s="474">
        <v>843024.0310199996</v>
      </c>
      <c r="D40" s="472">
        <f>+C40*$E$9</f>
        <v>3047531.872137299</v>
      </c>
      <c r="E40" s="322"/>
      <c r="F40" s="361"/>
      <c r="G40" s="325"/>
      <c r="H40" s="322"/>
      <c r="I40" s="322"/>
      <c r="J40" s="322"/>
      <c r="K40" s="325"/>
      <c r="L40" s="325"/>
      <c r="M40" s="228"/>
      <c r="N40" s="228"/>
    </row>
    <row r="41" spans="2:14" s="13" customFormat="1" ht="15" customHeight="1">
      <c r="B41" s="15"/>
      <c r="C41" s="474"/>
      <c r="D41" s="472"/>
      <c r="E41" s="322"/>
      <c r="F41" s="361"/>
      <c r="G41" s="325"/>
      <c r="H41" s="322"/>
      <c r="I41" s="322"/>
      <c r="J41" s="322"/>
      <c r="K41" s="325"/>
      <c r="L41" s="325"/>
      <c r="M41" s="228"/>
      <c r="N41" s="228"/>
    </row>
    <row r="42" spans="2:14" s="13" customFormat="1" ht="19.5" customHeight="1">
      <c r="B42" s="18" t="s">
        <v>148</v>
      </c>
      <c r="C42" s="473">
        <f>SUM(C43:C44)</f>
        <v>143000</v>
      </c>
      <c r="D42" s="471">
        <f>SUM(D43:D44)</f>
        <v>516945.00000000006</v>
      </c>
      <c r="E42" s="322"/>
      <c r="F42" s="358"/>
      <c r="G42" s="325"/>
      <c r="H42" s="322"/>
      <c r="I42" s="322"/>
      <c r="J42" s="322"/>
      <c r="K42" s="325"/>
      <c r="L42" s="325"/>
      <c r="M42" s="228"/>
      <c r="N42" s="228"/>
    </row>
    <row r="43" spans="2:14" s="13" customFormat="1" ht="16.5" customHeight="1">
      <c r="B43" s="15" t="s">
        <v>25</v>
      </c>
      <c r="C43" s="474">
        <v>0</v>
      </c>
      <c r="D43" s="472">
        <f>+C43*$E$9</f>
        <v>0</v>
      </c>
      <c r="E43" s="322"/>
      <c r="F43" s="360"/>
      <c r="G43" s="325"/>
      <c r="H43" s="322"/>
      <c r="I43" s="322"/>
      <c r="J43" s="322"/>
      <c r="K43" s="325"/>
      <c r="L43" s="325"/>
      <c r="M43" s="228"/>
      <c r="N43" s="228"/>
    </row>
    <row r="44" spans="2:14" s="13" customFormat="1" ht="16.5" customHeight="1">
      <c r="B44" s="15" t="s">
        <v>24</v>
      </c>
      <c r="C44" s="474">
        <v>143000</v>
      </c>
      <c r="D44" s="472">
        <f>+C44*$E$9</f>
        <v>516945.00000000006</v>
      </c>
      <c r="E44" s="322"/>
      <c r="F44" s="360"/>
      <c r="G44" s="325"/>
      <c r="H44" s="322"/>
      <c r="I44" s="322"/>
      <c r="J44" s="322"/>
      <c r="K44" s="325"/>
      <c r="L44" s="325"/>
      <c r="M44" s="228"/>
      <c r="N44" s="228"/>
    </row>
    <row r="45" spans="2:14" s="13" customFormat="1" ht="7.5" customHeight="1">
      <c r="B45" s="15"/>
      <c r="C45" s="474"/>
      <c r="D45" s="472"/>
      <c r="E45" s="322"/>
      <c r="F45" s="325"/>
      <c r="G45" s="325"/>
      <c r="H45" s="322"/>
      <c r="I45" s="322"/>
      <c r="J45" s="322"/>
      <c r="K45" s="325"/>
      <c r="L45" s="325"/>
      <c r="M45" s="228"/>
      <c r="N45" s="228"/>
    </row>
    <row r="46" spans="2:14" s="13" customFormat="1" ht="15" customHeight="1">
      <c r="B46" s="581" t="s">
        <v>61</v>
      </c>
      <c r="C46" s="583">
        <f>+C42+C38</f>
        <v>986024.0310199996</v>
      </c>
      <c r="D46" s="583">
        <f>+D42+D38</f>
        <v>3564476.872137299</v>
      </c>
      <c r="E46" s="322"/>
      <c r="F46" s="325"/>
      <c r="G46" s="325"/>
      <c r="H46" s="322"/>
      <c r="I46" s="322"/>
      <c r="J46" s="322"/>
      <c r="K46" s="325"/>
      <c r="L46" s="325"/>
      <c r="M46" s="228"/>
      <c r="N46" s="228"/>
    </row>
    <row r="47" spans="2:14" s="16" customFormat="1" ht="15" customHeight="1">
      <c r="B47" s="582"/>
      <c r="C47" s="584"/>
      <c r="D47" s="584"/>
      <c r="E47" s="322"/>
      <c r="F47" s="351"/>
      <c r="G47" s="325"/>
      <c r="H47" s="322"/>
      <c r="I47" s="322"/>
      <c r="J47" s="322"/>
      <c r="K47" s="324"/>
      <c r="L47" s="324"/>
      <c r="M47" s="231"/>
      <c r="N47" s="231"/>
    </row>
    <row r="48" spans="2:12" ht="16.5" customHeight="1">
      <c r="B48" s="28" t="s">
        <v>139</v>
      </c>
      <c r="C48" s="205"/>
      <c r="D48" s="205"/>
      <c r="E48" s="322"/>
      <c r="F48" s="325"/>
      <c r="G48" s="325"/>
      <c r="H48" s="322"/>
      <c r="I48" s="322"/>
      <c r="J48" s="322"/>
      <c r="K48" s="323"/>
      <c r="L48" s="323"/>
    </row>
    <row r="49" spans="2:12" ht="12.75">
      <c r="B49" s="2" t="s">
        <v>140</v>
      </c>
      <c r="C49" s="205"/>
      <c r="D49" s="205"/>
      <c r="E49" s="322"/>
      <c r="F49" s="322"/>
      <c r="G49" s="322"/>
      <c r="H49" s="322"/>
      <c r="I49" s="322"/>
      <c r="J49" s="322"/>
      <c r="K49" s="323"/>
      <c r="L49" s="323"/>
    </row>
    <row r="50" spans="2:12" ht="12.75">
      <c r="B50" s="323"/>
      <c r="C50" s="505"/>
      <c r="D50" s="343"/>
      <c r="E50" s="322"/>
      <c r="F50" s="322"/>
      <c r="G50" s="322"/>
      <c r="H50" s="322"/>
      <c r="I50" s="322"/>
      <c r="J50" s="322"/>
      <c r="K50" s="323"/>
      <c r="L50" s="323"/>
    </row>
    <row r="51" spans="2:12" ht="12.75">
      <c r="B51" s="323"/>
      <c r="C51" s="343"/>
      <c r="D51" s="440"/>
      <c r="E51" s="322"/>
      <c r="F51" s="322"/>
      <c r="G51" s="322"/>
      <c r="H51" s="322"/>
      <c r="I51" s="322"/>
      <c r="J51" s="322"/>
      <c r="K51" s="323"/>
      <c r="L51" s="323"/>
    </row>
    <row r="52" spans="2:4" ht="12.75">
      <c r="B52" s="323"/>
      <c r="C52" s="508"/>
      <c r="D52" s="323"/>
    </row>
    <row r="53" spans="2:4" ht="12.75">
      <c r="B53" s="323"/>
      <c r="C53" s="343"/>
      <c r="D53" s="343"/>
    </row>
    <row r="54" spans="2:4" ht="12.75">
      <c r="B54" s="323"/>
      <c r="C54" s="343"/>
      <c r="D54" s="343"/>
    </row>
    <row r="55" spans="2:4" ht="12.75">
      <c r="B55" s="323"/>
      <c r="C55" s="343"/>
      <c r="D55" s="343"/>
    </row>
    <row r="56" spans="2:4" ht="12.75">
      <c r="B56" s="323"/>
      <c r="C56" s="437"/>
      <c r="D56" s="437"/>
    </row>
    <row r="57" spans="2:4" ht="12.75">
      <c r="B57" s="323"/>
      <c r="C57" s="343"/>
      <c r="D57" s="343"/>
    </row>
    <row r="58" spans="2:4" ht="12.75">
      <c r="B58" s="323"/>
      <c r="C58" s="343"/>
      <c r="D58" s="343"/>
    </row>
    <row r="59" spans="2:4" ht="12.75">
      <c r="B59" s="323"/>
      <c r="C59" s="343"/>
      <c r="D59" s="323"/>
    </row>
    <row r="60" spans="2:4" ht="12.75">
      <c r="B60" s="323"/>
      <c r="C60" s="344"/>
      <c r="D60" s="323"/>
    </row>
  </sheetData>
  <sheetProtection/>
  <mergeCells count="15">
    <mergeCell ref="D11:D12"/>
    <mergeCell ref="D22:D23"/>
    <mergeCell ref="B11:B12"/>
    <mergeCell ref="B22:B23"/>
    <mergeCell ref="C22:C23"/>
    <mergeCell ref="B2:D2"/>
    <mergeCell ref="B3:D3"/>
    <mergeCell ref="B4:D4"/>
    <mergeCell ref="C11:C12"/>
    <mergeCell ref="B46:B47"/>
    <mergeCell ref="C46:C47"/>
    <mergeCell ref="D46:D47"/>
    <mergeCell ref="B35:B36"/>
    <mergeCell ref="C35:C36"/>
    <mergeCell ref="D35:D36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21" t="s">
        <v>136</v>
      </c>
      <c r="C6" s="321"/>
      <c r="D6" s="321"/>
      <c r="M6" s="190"/>
    </row>
    <row r="7" spans="2:13" s="136" customFormat="1" ht="18">
      <c r="B7" s="321" t="s">
        <v>135</v>
      </c>
      <c r="C7" s="321"/>
      <c r="D7" s="321"/>
      <c r="M7" s="190"/>
    </row>
    <row r="8" spans="2:13" s="136" customFormat="1" ht="18">
      <c r="B8" s="345" t="s">
        <v>37</v>
      </c>
      <c r="C8" s="184"/>
      <c r="D8" s="184"/>
      <c r="M8" s="190"/>
    </row>
    <row r="9" spans="2:13" s="136" customFormat="1" ht="18">
      <c r="B9" s="589" t="str">
        <f>+'DEP-C2'!B9</f>
        <v>Al 31 de octubre de 2020</v>
      </c>
      <c r="C9" s="589"/>
      <c r="D9" s="267"/>
      <c r="E9" s="320">
        <f>+Portada!H39</f>
        <v>3.615</v>
      </c>
      <c r="M9" s="190"/>
    </row>
    <row r="10" spans="2:13" s="65" customFormat="1" ht="9.75" customHeight="1">
      <c r="B10" s="590"/>
      <c r="C10" s="590"/>
      <c r="D10" s="590"/>
      <c r="E10" s="284"/>
      <c r="M10" s="165"/>
    </row>
    <row r="11" spans="2:4" ht="16.5" customHeight="1">
      <c r="B11" s="595" t="s">
        <v>94</v>
      </c>
      <c r="C11" s="597" t="s">
        <v>87</v>
      </c>
      <c r="D11" s="587" t="s">
        <v>164</v>
      </c>
    </row>
    <row r="12" spans="2:13" s="81" customFormat="1" ht="16.5" customHeight="1">
      <c r="B12" s="596"/>
      <c r="C12" s="598"/>
      <c r="D12" s="588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64</v>
      </c>
      <c r="C14" s="475">
        <f>SUM(C15:C16)</f>
        <v>1828388.2634800011</v>
      </c>
      <c r="D14" s="385">
        <f>SUM(D15:D16)</f>
        <v>6609623.57248</v>
      </c>
      <c r="M14" s="166"/>
    </row>
    <row r="15" spans="2:13" s="81" customFormat="1" ht="16.5">
      <c r="B15" s="80" t="s">
        <v>25</v>
      </c>
      <c r="C15" s="476">
        <v>1542920.946930001</v>
      </c>
      <c r="D15" s="391">
        <f>ROUND(+C15*$E$9,5)</f>
        <v>5577659.22315</v>
      </c>
      <c r="E15" s="285"/>
      <c r="F15" s="437"/>
      <c r="G15" s="286"/>
      <c r="M15" s="166"/>
    </row>
    <row r="16" spans="2:13" s="81" customFormat="1" ht="16.5">
      <c r="B16" s="80" t="s">
        <v>24</v>
      </c>
      <c r="C16" s="476">
        <v>285467.31655000005</v>
      </c>
      <c r="D16" s="391">
        <f>ROUND(+C16*$E$9,5)</f>
        <v>1031964.34933</v>
      </c>
      <c r="E16" s="285"/>
      <c r="F16" s="437"/>
      <c r="M16" s="166"/>
    </row>
    <row r="17" spans="2:13" s="81" customFormat="1" ht="15" customHeight="1">
      <c r="B17" s="64"/>
      <c r="C17" s="477"/>
      <c r="D17" s="384"/>
      <c r="M17" s="166"/>
    </row>
    <row r="18" spans="2:13" s="81" customFormat="1" ht="16.5">
      <c r="B18" s="163" t="s">
        <v>63</v>
      </c>
      <c r="C18" s="475">
        <f>SUM(C19:C20)</f>
        <v>6096926.7478</v>
      </c>
      <c r="D18" s="475">
        <f>SUM(D19:D20)</f>
        <v>22040390.1933</v>
      </c>
      <c r="E18" s="285"/>
      <c r="M18" s="166"/>
    </row>
    <row r="19" spans="2:13" s="81" customFormat="1" ht="16.5">
      <c r="B19" s="80" t="s">
        <v>25</v>
      </c>
      <c r="C19" s="476">
        <f>+C23+C27+C31</f>
        <v>2411788.9752</v>
      </c>
      <c r="D19" s="476">
        <f>+D23+D27+D31</f>
        <v>8718617.14535</v>
      </c>
      <c r="M19" s="166"/>
    </row>
    <row r="20" spans="2:13" s="81" customFormat="1" ht="16.5">
      <c r="B20" s="80" t="s">
        <v>24</v>
      </c>
      <c r="C20" s="476">
        <f>+C24+C28+C32</f>
        <v>3685137.7726000003</v>
      </c>
      <c r="D20" s="476">
        <f>+D24+D28+D32</f>
        <v>13321773.04795</v>
      </c>
      <c r="M20" s="166"/>
    </row>
    <row r="21" spans="2:13" s="81" customFormat="1" ht="9.75" customHeight="1">
      <c r="B21" s="82"/>
      <c r="C21" s="476"/>
      <c r="D21" s="391"/>
      <c r="M21" s="166"/>
    </row>
    <row r="22" spans="2:13" s="81" customFormat="1" ht="16.5">
      <c r="B22" s="347" t="s">
        <v>176</v>
      </c>
      <c r="C22" s="478">
        <f>SUM(C23:C24)</f>
        <v>5591702.04825</v>
      </c>
      <c r="D22" s="383">
        <f>SUM(D23:D24)</f>
        <v>20214002.904430002</v>
      </c>
      <c r="G22" s="285"/>
      <c r="I22" s="287"/>
      <c r="M22" s="166"/>
    </row>
    <row r="23" spans="2:13" s="81" customFormat="1" ht="16.5">
      <c r="B23" s="348" t="s">
        <v>25</v>
      </c>
      <c r="C23" s="477">
        <v>2041046.85746</v>
      </c>
      <c r="D23" s="384">
        <f>ROUND(+C23*$E$9,5)</f>
        <v>7378384.38972</v>
      </c>
      <c r="G23" s="285"/>
      <c r="I23" s="287"/>
      <c r="M23" s="166"/>
    </row>
    <row r="24" spans="2:13" s="81" customFormat="1" ht="16.5">
      <c r="B24" s="348" t="s">
        <v>24</v>
      </c>
      <c r="C24" s="477">
        <v>3550655.19079</v>
      </c>
      <c r="D24" s="384">
        <f>ROUND(+C24*$E$9,5)</f>
        <v>12835618.51471</v>
      </c>
      <c r="M24" s="166"/>
    </row>
    <row r="25" spans="2:13" s="81" customFormat="1" ht="9.75" customHeight="1">
      <c r="B25" s="82"/>
      <c r="C25" s="476"/>
      <c r="D25" s="391"/>
      <c r="M25" s="166"/>
    </row>
    <row r="26" spans="2:13" s="81" customFormat="1" ht="16.5">
      <c r="B26" s="347" t="s">
        <v>177</v>
      </c>
      <c r="C26" s="478">
        <f>SUM(C27:C28)</f>
        <v>237488.14242</v>
      </c>
      <c r="D26" s="383">
        <f>SUM(D27:D28)</f>
        <v>858519.63485</v>
      </c>
      <c r="G26" s="288"/>
      <c r="M26" s="166"/>
    </row>
    <row r="27" spans="2:13" s="81" customFormat="1" ht="16.5">
      <c r="B27" s="348" t="s">
        <v>25</v>
      </c>
      <c r="C27" s="477">
        <v>113306.27937999999</v>
      </c>
      <c r="D27" s="384">
        <f>ROUND(+C27*$E$9,5)</f>
        <v>409602.19996</v>
      </c>
      <c r="M27" s="166"/>
    </row>
    <row r="28" spans="2:13" s="81" customFormat="1" ht="16.5">
      <c r="B28" s="348" t="s">
        <v>24</v>
      </c>
      <c r="C28" s="477">
        <v>124181.86304000001</v>
      </c>
      <c r="D28" s="384">
        <f>ROUND(+C28*$E$9,5)</f>
        <v>448917.43489</v>
      </c>
      <c r="M28" s="166"/>
    </row>
    <row r="29" spans="2:13" s="81" customFormat="1" ht="9.75" customHeight="1">
      <c r="B29" s="82"/>
      <c r="C29" s="384"/>
      <c r="D29" s="391"/>
      <c r="M29" s="166"/>
    </row>
    <row r="30" spans="2:13" s="81" customFormat="1" ht="16.5">
      <c r="B30" s="349" t="s">
        <v>178</v>
      </c>
      <c r="C30" s="478">
        <f>+SUM(C31:C32)</f>
        <v>267736.55713000003</v>
      </c>
      <c r="D30" s="383">
        <f>SUM(D31:D32)</f>
        <v>967867.65402</v>
      </c>
      <c r="M30" s="166"/>
    </row>
    <row r="31" spans="2:13" s="81" customFormat="1" ht="16.5">
      <c r="B31" s="348" t="s">
        <v>25</v>
      </c>
      <c r="C31" s="477">
        <v>257435.83836000002</v>
      </c>
      <c r="D31" s="384">
        <f>ROUND(+C31*$E$9,5)</f>
        <v>930630.55567</v>
      </c>
      <c r="M31" s="166"/>
    </row>
    <row r="32" spans="2:13" s="81" customFormat="1" ht="16.5">
      <c r="B32" s="348" t="s">
        <v>24</v>
      </c>
      <c r="C32" s="477">
        <v>10300.71877</v>
      </c>
      <c r="D32" s="384">
        <f>ROUND(+C32*$E$9,5)</f>
        <v>37237.09835</v>
      </c>
      <c r="M32" s="166"/>
    </row>
    <row r="33" spans="2:13" s="81" customFormat="1" ht="9.75" customHeight="1">
      <c r="B33" s="194"/>
      <c r="C33" s="477"/>
      <c r="D33" s="384"/>
      <c r="M33" s="166"/>
    </row>
    <row r="34" spans="2:13" s="81" customFormat="1" ht="15" customHeight="1">
      <c r="B34" s="591" t="s">
        <v>61</v>
      </c>
      <c r="C34" s="593">
        <f>+C18+C14</f>
        <v>7925315.011280001</v>
      </c>
      <c r="D34" s="593">
        <f>+D18+D14</f>
        <v>28650013.765780002</v>
      </c>
      <c r="M34" s="166"/>
    </row>
    <row r="35" spans="2:13" s="81" customFormat="1" ht="15" customHeight="1">
      <c r="B35" s="592"/>
      <c r="C35" s="594"/>
      <c r="D35" s="594"/>
      <c r="M35" s="166"/>
    </row>
    <row r="36" ht="16.5">
      <c r="F36" s="81"/>
    </row>
    <row r="37" spans="3:6" ht="16.5">
      <c r="C37" s="193"/>
      <c r="D37" s="102"/>
      <c r="F37" s="81"/>
    </row>
    <row r="38" spans="3:6" ht="16.5">
      <c r="C38" s="193"/>
      <c r="D38" s="193"/>
      <c r="F38" s="81"/>
    </row>
    <row r="40" spans="2:13" s="136" customFormat="1" ht="18">
      <c r="B40" s="129" t="s">
        <v>117</v>
      </c>
      <c r="C40" s="129"/>
      <c r="D40" s="129"/>
      <c r="M40" s="190"/>
    </row>
    <row r="41" spans="2:13" s="136" customFormat="1" ht="18">
      <c r="B41" s="321" t="s">
        <v>136</v>
      </c>
      <c r="C41" s="321"/>
      <c r="D41" s="321"/>
      <c r="M41" s="190"/>
    </row>
    <row r="42" spans="2:13" s="136" customFormat="1" ht="18">
      <c r="B42" s="321" t="s">
        <v>137</v>
      </c>
      <c r="C42" s="321"/>
      <c r="D42" s="321"/>
      <c r="M42" s="190"/>
    </row>
    <row r="43" spans="2:13" s="136" customFormat="1" ht="18">
      <c r="B43" s="345" t="s">
        <v>37</v>
      </c>
      <c r="C43" s="184"/>
      <c r="D43" s="184"/>
      <c r="M43" s="190"/>
    </row>
    <row r="44" spans="2:13" s="136" customFormat="1" ht="18">
      <c r="B44" s="589" t="str">
        <f>+B9</f>
        <v>Al 31 de octubre de 2020</v>
      </c>
      <c r="C44" s="589"/>
      <c r="D44" s="254"/>
      <c r="M44" s="190"/>
    </row>
    <row r="45" spans="2:13" s="65" customFormat="1" ht="9.75" customHeight="1">
      <c r="B45" s="590"/>
      <c r="C45" s="590"/>
      <c r="D45" s="590"/>
      <c r="M45" s="165"/>
    </row>
    <row r="46" spans="2:4" ht="16.5" customHeight="1">
      <c r="B46" s="595" t="s">
        <v>94</v>
      </c>
      <c r="C46" s="597" t="s">
        <v>87</v>
      </c>
      <c r="D46" s="587" t="s">
        <v>164</v>
      </c>
    </row>
    <row r="47" spans="2:13" s="81" customFormat="1" ht="16.5" customHeight="1">
      <c r="B47" s="596"/>
      <c r="C47" s="598"/>
      <c r="D47" s="588"/>
      <c r="M47" s="166"/>
    </row>
    <row r="48" spans="2:13" s="81" customFormat="1" ht="9.75" customHeight="1">
      <c r="B48" s="64"/>
      <c r="C48" s="161"/>
      <c r="D48" s="195"/>
      <c r="M48" s="166"/>
    </row>
    <row r="49" spans="2:13" s="81" customFormat="1" ht="16.5">
      <c r="B49" s="163" t="s">
        <v>64</v>
      </c>
      <c r="C49" s="475">
        <f>SUM(C50:C51)</f>
        <v>348024.0310199996</v>
      </c>
      <c r="D49" s="385">
        <f>SUM(D50:D51)</f>
        <v>1258106.87214</v>
      </c>
      <c r="F49" s="351"/>
      <c r="M49" s="166"/>
    </row>
    <row r="50" spans="2:13" s="81" customFormat="1" ht="16.5">
      <c r="B50" s="80" t="s">
        <v>24</v>
      </c>
      <c r="C50" s="476">
        <v>348024.0310199996</v>
      </c>
      <c r="D50" s="391">
        <f>ROUND(+C50*$E$9,5)</f>
        <v>1258106.87214</v>
      </c>
      <c r="F50" s="350"/>
      <c r="M50" s="166"/>
    </row>
    <row r="51" spans="2:13" s="81" customFormat="1" ht="21.75" customHeight="1" hidden="1">
      <c r="B51" s="82" t="s">
        <v>65</v>
      </c>
      <c r="C51" s="476">
        <v>0</v>
      </c>
      <c r="D51" s="391">
        <f>+C51*$E$9</f>
        <v>0</v>
      </c>
      <c r="M51" s="166"/>
    </row>
    <row r="52" spans="2:13" s="81" customFormat="1" ht="15" customHeight="1">
      <c r="B52" s="64"/>
      <c r="C52" s="477"/>
      <c r="D52" s="384"/>
      <c r="M52" s="166"/>
    </row>
    <row r="53" spans="2:13" s="81" customFormat="1" ht="16.5">
      <c r="B53" s="163" t="s">
        <v>63</v>
      </c>
      <c r="C53" s="475">
        <f>SUM(C54:C55)</f>
        <v>638000</v>
      </c>
      <c r="D53" s="475">
        <f>SUM(D54:D55)</f>
        <v>2306370</v>
      </c>
      <c r="F53" s="351"/>
      <c r="M53" s="166"/>
    </row>
    <row r="54" spans="2:13" s="81" customFormat="1" ht="16.5">
      <c r="B54" s="80" t="s">
        <v>25</v>
      </c>
      <c r="C54" s="476">
        <f>+C58</f>
        <v>0</v>
      </c>
      <c r="D54" s="391">
        <f>+D58</f>
        <v>0</v>
      </c>
      <c r="F54" s="351"/>
      <c r="M54" s="166"/>
    </row>
    <row r="55" spans="2:13" s="81" customFormat="1" ht="16.5">
      <c r="B55" s="80" t="s">
        <v>24</v>
      </c>
      <c r="C55" s="476">
        <f>+C59</f>
        <v>638000</v>
      </c>
      <c r="D55" s="391">
        <f>+D59</f>
        <v>2306370</v>
      </c>
      <c r="F55" s="350"/>
      <c r="M55" s="166"/>
    </row>
    <row r="56" spans="2:13" s="81" customFormat="1" ht="9.75" customHeight="1">
      <c r="B56" s="82"/>
      <c r="C56" s="476"/>
      <c r="D56" s="391"/>
      <c r="M56" s="166"/>
    </row>
    <row r="57" spans="2:13" s="81" customFormat="1" ht="16.5">
      <c r="B57" s="347" t="s">
        <v>176</v>
      </c>
      <c r="C57" s="478">
        <f>SUM(C58:C59)</f>
        <v>638000</v>
      </c>
      <c r="D57" s="478">
        <f>SUM(D58:D59)</f>
        <v>2306370</v>
      </c>
      <c r="F57" s="351"/>
      <c r="M57" s="166"/>
    </row>
    <row r="58" spans="2:13" s="81" customFormat="1" ht="16.5" customHeight="1">
      <c r="B58" s="348" t="s">
        <v>25</v>
      </c>
      <c r="C58" s="477">
        <v>0</v>
      </c>
      <c r="D58" s="384">
        <f>ROUND(+C58*$E$9,5)</f>
        <v>0</v>
      </c>
      <c r="F58" s="350"/>
      <c r="M58" s="166"/>
    </row>
    <row r="59" spans="2:13" s="81" customFormat="1" ht="16.5" customHeight="1">
      <c r="B59" s="348" t="s">
        <v>24</v>
      </c>
      <c r="C59" s="477">
        <v>638000</v>
      </c>
      <c r="D59" s="384">
        <f>ROUND(+C59*$E$9,5)</f>
        <v>2306370</v>
      </c>
      <c r="F59" s="206"/>
      <c r="M59" s="166"/>
    </row>
    <row r="60" spans="2:13" s="81" customFormat="1" ht="9.75" customHeight="1">
      <c r="B60" s="194"/>
      <c r="C60" s="477"/>
      <c r="D60" s="384"/>
      <c r="M60" s="166"/>
    </row>
    <row r="61" spans="2:13" s="81" customFormat="1" ht="15" customHeight="1">
      <c r="B61" s="591" t="s">
        <v>61</v>
      </c>
      <c r="C61" s="593">
        <f>+C53+C49</f>
        <v>986024.0310199996</v>
      </c>
      <c r="D61" s="593">
        <f>+D53+D49</f>
        <v>3564476.87214</v>
      </c>
      <c r="M61" s="166"/>
    </row>
    <row r="62" spans="2:13" s="81" customFormat="1" ht="15" customHeight="1">
      <c r="B62" s="592"/>
      <c r="C62" s="594"/>
      <c r="D62" s="594"/>
      <c r="F62" s="351"/>
      <c r="M62" s="166"/>
    </row>
    <row r="64" spans="3:6" ht="12.75">
      <c r="C64" s="193"/>
      <c r="D64" s="131"/>
      <c r="F64" s="352"/>
    </row>
    <row r="65" ht="12.75">
      <c r="C65" s="192"/>
    </row>
  </sheetData>
  <sheetProtection/>
  <mergeCells count="16">
    <mergeCell ref="C34:C35"/>
    <mergeCell ref="C46:C47"/>
    <mergeCell ref="D46:D47"/>
    <mergeCell ref="B44:C44"/>
    <mergeCell ref="D34:D35"/>
    <mergeCell ref="B34:B35"/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21" t="s">
        <v>136</v>
      </c>
      <c r="C6" s="321"/>
      <c r="D6" s="321"/>
      <c r="K6" s="132"/>
    </row>
    <row r="7" spans="2:11" ht="18">
      <c r="B7" s="321" t="s">
        <v>135</v>
      </c>
      <c r="C7" s="321"/>
      <c r="D7" s="321"/>
      <c r="K7" s="132"/>
    </row>
    <row r="8" spans="2:11" ht="16.5">
      <c r="B8" s="345" t="s">
        <v>32</v>
      </c>
      <c r="C8" s="184"/>
      <c r="D8" s="184"/>
      <c r="K8" s="132"/>
    </row>
    <row r="9" spans="2:11" s="136" customFormat="1" ht="18">
      <c r="B9" s="133" t="str">
        <f>+'DEP-C2'!B9</f>
        <v>Al 31 de octubre de 2020</v>
      </c>
      <c r="C9" s="133"/>
      <c r="D9" s="267"/>
      <c r="E9" s="320">
        <f>+Portada!H39</f>
        <v>3.615</v>
      </c>
      <c r="K9" s="190"/>
    </row>
    <row r="10" spans="2:11" ht="9.75" customHeight="1">
      <c r="B10" s="599"/>
      <c r="C10" s="599"/>
      <c r="D10" s="599"/>
      <c r="K10" s="132"/>
    </row>
    <row r="11" spans="2:11" ht="16.5" customHeight="1">
      <c r="B11" s="595" t="s">
        <v>95</v>
      </c>
      <c r="C11" s="597" t="s">
        <v>87</v>
      </c>
      <c r="D11" s="587" t="s">
        <v>214</v>
      </c>
      <c r="K11" s="132"/>
    </row>
    <row r="12" spans="2:11" ht="16.5" customHeight="1">
      <c r="B12" s="596"/>
      <c r="C12" s="598"/>
      <c r="D12" s="588"/>
      <c r="F12" s="65"/>
      <c r="G12" s="65"/>
      <c r="H12" s="207"/>
      <c r="I12" s="207"/>
      <c r="K12" s="132"/>
    </row>
    <row r="13" spans="2:11" s="81" customFormat="1" ht="9.75" customHeight="1">
      <c r="B13" s="257"/>
      <c r="C13" s="104"/>
      <c r="D13" s="104"/>
      <c r="F13" s="65"/>
      <c r="G13" s="65"/>
      <c r="H13" s="207"/>
      <c r="I13" s="207"/>
      <c r="K13" s="166"/>
    </row>
    <row r="14" spans="2:11" s="65" customFormat="1" ht="16.5" customHeight="1">
      <c r="B14" s="353" t="s">
        <v>89</v>
      </c>
      <c r="C14" s="383">
        <f>+C16+C20</f>
        <v>3970605.0891500004</v>
      </c>
      <c r="D14" s="383">
        <f>+D16+D20</f>
        <v>14353737.39726</v>
      </c>
      <c r="E14" s="215"/>
      <c r="F14" s="351"/>
      <c r="H14" s="207"/>
      <c r="I14" s="207"/>
      <c r="K14" s="165"/>
    </row>
    <row r="15" spans="2:11" s="65" customFormat="1" ht="9.75" customHeight="1">
      <c r="B15" s="63"/>
      <c r="C15" s="479"/>
      <c r="D15" s="479"/>
      <c r="K15" s="165"/>
    </row>
    <row r="16" spans="2:11" s="65" customFormat="1" ht="16.5" customHeight="1">
      <c r="B16" s="354" t="s">
        <v>33</v>
      </c>
      <c r="C16" s="383">
        <f>SUM(C17:C18)</f>
        <v>3276827.96272</v>
      </c>
      <c r="D16" s="383">
        <f>SUM(D17:D18)</f>
        <v>11845733.08523</v>
      </c>
      <c r="F16" s="470"/>
      <c r="H16" s="208"/>
      <c r="K16" s="165"/>
    </row>
    <row r="17" spans="2:11" s="65" customFormat="1" ht="16.5" customHeight="1">
      <c r="B17" s="346" t="s">
        <v>220</v>
      </c>
      <c r="C17" s="384">
        <v>2000000</v>
      </c>
      <c r="D17" s="384">
        <f>ROUND(+C17*$E$9,5)</f>
        <v>7230000</v>
      </c>
      <c r="F17" s="350"/>
      <c r="H17" s="208"/>
      <c r="K17" s="165"/>
    </row>
    <row r="18" spans="2:11" s="65" customFormat="1" ht="16.5" customHeight="1">
      <c r="B18" s="346" t="s">
        <v>232</v>
      </c>
      <c r="C18" s="384">
        <v>1276827.9627200002</v>
      </c>
      <c r="D18" s="384">
        <f>ROUND(+C18*$E$9,5)</f>
        <v>4615733.08523</v>
      </c>
      <c r="F18" s="350"/>
      <c r="H18" s="208"/>
      <c r="K18" s="165"/>
    </row>
    <row r="19" spans="2:11" s="65" customFormat="1" ht="12" customHeight="1">
      <c r="B19" s="64"/>
      <c r="C19" s="384"/>
      <c r="D19" s="384"/>
      <c r="H19" s="208"/>
      <c r="K19" s="165"/>
    </row>
    <row r="20" spans="2:11" s="65" customFormat="1" ht="16.5" customHeight="1">
      <c r="B20" s="354" t="s">
        <v>34</v>
      </c>
      <c r="C20" s="383">
        <f>SUM(C21:C26)</f>
        <v>693777.12643</v>
      </c>
      <c r="D20" s="383">
        <f>SUM(D21:D26)</f>
        <v>2508004.31203</v>
      </c>
      <c r="F20" s="470"/>
      <c r="H20" s="208"/>
      <c r="K20" s="165"/>
    </row>
    <row r="21" spans="2:11" s="65" customFormat="1" ht="16.5" customHeight="1">
      <c r="B21" s="346" t="s">
        <v>221</v>
      </c>
      <c r="C21" s="384">
        <v>405219.80988</v>
      </c>
      <c r="D21" s="384">
        <f aca="true" t="shared" si="0" ref="D21:D26">ROUND(+C21*$E$9,5)</f>
        <v>1464869.61272</v>
      </c>
      <c r="E21" s="451"/>
      <c r="F21" s="350"/>
      <c r="H21" s="208"/>
      <c r="K21" s="165"/>
    </row>
    <row r="22" spans="2:11" s="65" customFormat="1" ht="16.5" customHeight="1">
      <c r="B22" s="346" t="s">
        <v>182</v>
      </c>
      <c r="C22" s="384">
        <v>196898.68959999998</v>
      </c>
      <c r="D22" s="384">
        <f t="shared" si="0"/>
        <v>711788.7629</v>
      </c>
      <c r="E22" s="451"/>
      <c r="F22" s="350"/>
      <c r="H22" s="208"/>
      <c r="K22" s="165"/>
    </row>
    <row r="23" spans="2:11" s="65" customFormat="1" ht="16.5" customHeight="1">
      <c r="B23" s="346" t="s">
        <v>0</v>
      </c>
      <c r="C23" s="384">
        <v>87035.50669000001</v>
      </c>
      <c r="D23" s="384">
        <f t="shared" si="0"/>
        <v>314633.35668</v>
      </c>
      <c r="E23" s="451"/>
      <c r="F23" s="350"/>
      <c r="G23" s="290"/>
      <c r="H23" s="208"/>
      <c r="K23" s="165"/>
    </row>
    <row r="24" spans="2:11" s="65" customFormat="1" ht="16.5" customHeight="1">
      <c r="B24" s="346" t="s">
        <v>240</v>
      </c>
      <c r="C24" s="384">
        <v>2766.25173</v>
      </c>
      <c r="D24" s="384">
        <f t="shared" si="0"/>
        <v>10000</v>
      </c>
      <c r="E24" s="451"/>
      <c r="F24" s="350"/>
      <c r="G24" s="290"/>
      <c r="H24" s="208"/>
      <c r="K24" s="165"/>
    </row>
    <row r="25" spans="2:11" s="65" customFormat="1" ht="16.5" customHeight="1">
      <c r="B25" s="346" t="s">
        <v>185</v>
      </c>
      <c r="C25" s="384">
        <v>1813.31267</v>
      </c>
      <c r="D25" s="384">
        <f t="shared" si="0"/>
        <v>6555.1253</v>
      </c>
      <c r="E25" s="451"/>
      <c r="F25" s="350"/>
      <c r="G25" s="207"/>
      <c r="H25" s="207"/>
      <c r="K25" s="165"/>
    </row>
    <row r="26" spans="2:11" s="65" customFormat="1" ht="16.5" customHeight="1">
      <c r="B26" s="346" t="s">
        <v>183</v>
      </c>
      <c r="C26" s="384">
        <v>43.55586</v>
      </c>
      <c r="D26" s="384">
        <f t="shared" si="0"/>
        <v>157.45443</v>
      </c>
      <c r="F26" s="350"/>
      <c r="G26" s="207"/>
      <c r="H26" s="207"/>
      <c r="I26" s="207"/>
      <c r="K26" s="165"/>
    </row>
    <row r="27" spans="2:8" s="65" customFormat="1" ht="15" customHeight="1">
      <c r="B27" s="66"/>
      <c r="C27" s="384"/>
      <c r="D27" s="384"/>
      <c r="G27" s="224"/>
      <c r="H27" s="224"/>
    </row>
    <row r="28" spans="2:8" s="65" customFormat="1" ht="16.5" customHeight="1">
      <c r="B28" s="353" t="s">
        <v>90</v>
      </c>
      <c r="C28" s="383">
        <f>+C30+C38</f>
        <v>3954709.92213</v>
      </c>
      <c r="D28" s="383">
        <f>+D30+D38</f>
        <v>14296276.36849265</v>
      </c>
      <c r="F28" s="351"/>
      <c r="G28" s="207"/>
      <c r="H28" s="207"/>
    </row>
    <row r="29" spans="2:4" s="65" customFormat="1" ht="9.75" customHeight="1">
      <c r="B29" s="63"/>
      <c r="C29" s="479"/>
      <c r="D29" s="479"/>
    </row>
    <row r="30" spans="2:8" s="65" customFormat="1" ht="16.5" customHeight="1">
      <c r="B30" s="354" t="s">
        <v>33</v>
      </c>
      <c r="C30" s="383">
        <f>SUM(C31:C36)</f>
        <v>2845048.40946</v>
      </c>
      <c r="D30" s="383">
        <f>SUM(D31:D36)</f>
        <v>10284850.00019</v>
      </c>
      <c r="F30" s="351"/>
      <c r="H30" s="208"/>
    </row>
    <row r="31" spans="2:8" s="65" customFormat="1" ht="16.5" customHeight="1">
      <c r="B31" s="346" t="s">
        <v>219</v>
      </c>
      <c r="C31" s="384">
        <v>2412765.75934</v>
      </c>
      <c r="D31" s="384">
        <f aca="true" t="shared" si="1" ref="D31:D36">ROUND(+C31*$E$9,5)</f>
        <v>8722148.22001</v>
      </c>
      <c r="E31" s="382"/>
      <c r="F31" s="447"/>
      <c r="H31" s="208"/>
    </row>
    <row r="32" spans="2:8" s="65" customFormat="1" ht="16.5" customHeight="1">
      <c r="B32" s="346" t="s">
        <v>180</v>
      </c>
      <c r="C32" s="384">
        <v>203274.01263000004</v>
      </c>
      <c r="D32" s="384">
        <f t="shared" si="1"/>
        <v>734835.55566</v>
      </c>
      <c r="E32" s="382"/>
      <c r="F32" s="447"/>
      <c r="H32" s="208"/>
    </row>
    <row r="33" spans="2:8" s="65" customFormat="1" ht="16.5" customHeight="1">
      <c r="B33" s="346" t="s">
        <v>186</v>
      </c>
      <c r="C33" s="384">
        <v>99585.06224</v>
      </c>
      <c r="D33" s="384">
        <f t="shared" si="1"/>
        <v>360000</v>
      </c>
      <c r="E33" s="382"/>
      <c r="F33" s="447"/>
      <c r="H33" s="208"/>
    </row>
    <row r="34" spans="2:8" s="65" customFormat="1" ht="16.5" customHeight="1">
      <c r="B34" s="346" t="s">
        <v>179</v>
      </c>
      <c r="C34" s="384">
        <v>62761.74952</v>
      </c>
      <c r="D34" s="384">
        <f t="shared" si="1"/>
        <v>226883.72451</v>
      </c>
      <c r="E34" s="382"/>
      <c r="F34" s="447"/>
      <c r="H34" s="208"/>
    </row>
    <row r="35" spans="2:8" s="65" customFormat="1" ht="16.5" customHeight="1">
      <c r="B35" s="346" t="s">
        <v>234</v>
      </c>
      <c r="C35" s="384">
        <v>54161.825730000004</v>
      </c>
      <c r="D35" s="384">
        <f t="shared" si="1"/>
        <v>195795.00001</v>
      </c>
      <c r="E35" s="382"/>
      <c r="F35" s="447"/>
      <c r="H35" s="208"/>
    </row>
    <row r="36" spans="2:8" s="65" customFormat="1" ht="16.5" customHeight="1">
      <c r="B36" s="346" t="s">
        <v>235</v>
      </c>
      <c r="C36" s="384">
        <v>12500</v>
      </c>
      <c r="D36" s="384">
        <f t="shared" si="1"/>
        <v>45187.5</v>
      </c>
      <c r="E36" s="382"/>
      <c r="F36" s="447"/>
      <c r="H36" s="208"/>
    </row>
    <row r="37" spans="2:8" s="65" customFormat="1" ht="12" customHeight="1">
      <c r="B37" s="64"/>
      <c r="C37" s="384"/>
      <c r="D37" s="384"/>
      <c r="H37" s="208"/>
    </row>
    <row r="38" spans="2:8" s="65" customFormat="1" ht="16.5" customHeight="1">
      <c r="B38" s="354" t="s">
        <v>34</v>
      </c>
      <c r="C38" s="383">
        <f>SUM(C39:C44)</f>
        <v>1109661.5126699996</v>
      </c>
      <c r="D38" s="383">
        <f>SUM(D39:D44)</f>
        <v>4011426.3683026503</v>
      </c>
      <c r="F38" s="351"/>
      <c r="H38" s="208"/>
    </row>
    <row r="39" spans="2:8" s="65" customFormat="1" ht="16.5" customHeight="1">
      <c r="B39" s="346" t="s">
        <v>223</v>
      </c>
      <c r="C39" s="384">
        <v>564373.44398</v>
      </c>
      <c r="D39" s="384">
        <f>ROUND(+C39*$E$9,5)</f>
        <v>2040209.99999</v>
      </c>
      <c r="F39" s="351"/>
      <c r="H39" s="208"/>
    </row>
    <row r="40" spans="2:8" s="65" customFormat="1" ht="16.5" customHeight="1">
      <c r="B40" s="346" t="s">
        <v>181</v>
      </c>
      <c r="C40" s="384">
        <v>478146.6113699999</v>
      </c>
      <c r="D40" s="384">
        <f>ROUND(+C40*$E$9,5)</f>
        <v>1728500.0001</v>
      </c>
      <c r="E40" s="382"/>
      <c r="F40" s="507"/>
      <c r="H40" s="208"/>
    </row>
    <row r="41" spans="2:8" s="65" customFormat="1" ht="16.5" customHeight="1">
      <c r="B41" s="346" t="s">
        <v>221</v>
      </c>
      <c r="C41" s="384">
        <v>37003.35964</v>
      </c>
      <c r="D41" s="384">
        <f>ROUND(+C41*$E$9,5)</f>
        <v>133767.1451</v>
      </c>
      <c r="E41" s="382"/>
      <c r="F41" s="447"/>
      <c r="H41" s="208"/>
    </row>
    <row r="42" spans="2:8" s="65" customFormat="1" ht="16.5" customHeight="1">
      <c r="B42" s="346" t="s">
        <v>211</v>
      </c>
      <c r="C42" s="384">
        <v>23710.72911</v>
      </c>
      <c r="D42" s="384">
        <f>ROUND(+C42*$E$9,8)</f>
        <v>85714.28573265</v>
      </c>
      <c r="E42" s="382"/>
      <c r="F42" s="447"/>
      <c r="H42" s="208"/>
    </row>
    <row r="43" spans="2:8" s="65" customFormat="1" ht="16.5" customHeight="1">
      <c r="B43" s="346" t="s">
        <v>188</v>
      </c>
      <c r="C43" s="384">
        <v>4979.253110000001</v>
      </c>
      <c r="D43" s="384">
        <f>ROUND(+C43*$E$9,5)</f>
        <v>17999.99999</v>
      </c>
      <c r="E43" s="382"/>
      <c r="F43" s="447"/>
      <c r="H43" s="208"/>
    </row>
    <row r="44" spans="2:8" s="65" customFormat="1" ht="16.5" customHeight="1">
      <c r="B44" s="346" t="s">
        <v>184</v>
      </c>
      <c r="C44" s="384">
        <v>1448.11546</v>
      </c>
      <c r="D44" s="384">
        <f>ROUND(+C44*$E$9,5)</f>
        <v>5234.93739</v>
      </c>
      <c r="E44" s="382"/>
      <c r="F44" s="447"/>
      <c r="H44" s="208"/>
    </row>
    <row r="45" spans="2:8" s="65" customFormat="1" ht="9" customHeight="1">
      <c r="B45" s="64"/>
      <c r="C45" s="384"/>
      <c r="D45" s="384"/>
      <c r="H45" s="208"/>
    </row>
    <row r="46" spans="2:8" s="65" customFormat="1" ht="15" customHeight="1">
      <c r="B46" s="591" t="s">
        <v>61</v>
      </c>
      <c r="C46" s="593">
        <f>+C28+C14</f>
        <v>7925315.01128</v>
      </c>
      <c r="D46" s="593">
        <f>+D28+D14</f>
        <v>28650013.76575265</v>
      </c>
      <c r="F46" s="351"/>
      <c r="H46" s="208"/>
    </row>
    <row r="47" spans="2:8" s="81" customFormat="1" ht="15" customHeight="1">
      <c r="B47" s="592"/>
      <c r="C47" s="594"/>
      <c r="D47" s="594"/>
      <c r="H47" s="208"/>
    </row>
    <row r="48" spans="2:8" s="81" customFormat="1" ht="7.5" customHeight="1">
      <c r="B48" s="105"/>
      <c r="C48" s="106"/>
      <c r="D48" s="106"/>
      <c r="H48" s="208"/>
    </row>
    <row r="49" spans="2:4" ht="12.75">
      <c r="B49" s="86" t="s">
        <v>222</v>
      </c>
      <c r="C49" s="452"/>
      <c r="D49" s="86"/>
    </row>
    <row r="50" spans="2:4" ht="12.75">
      <c r="B50" s="86" t="s">
        <v>224</v>
      </c>
      <c r="C50" s="466"/>
      <c r="D50" s="86"/>
    </row>
    <row r="51" spans="2:5" ht="14.25">
      <c r="B51" s="516" t="s">
        <v>257</v>
      </c>
      <c r="C51" s="86"/>
      <c r="D51" s="169"/>
      <c r="E51" s="192"/>
    </row>
    <row r="52" spans="2:5" ht="13.5" customHeight="1">
      <c r="B52" s="516" t="s">
        <v>258</v>
      </c>
      <c r="C52" s="86"/>
      <c r="D52" s="86"/>
      <c r="E52" s="192"/>
    </row>
    <row r="53" spans="2:5" ht="12.75">
      <c r="B53" s="462"/>
      <c r="C53" s="192"/>
      <c r="D53" s="192"/>
      <c r="E53" s="192"/>
    </row>
    <row r="54" spans="2:5" ht="12.75">
      <c r="B54" s="86"/>
      <c r="C54" s="192"/>
      <c r="D54" s="192"/>
      <c r="E54" s="192"/>
    </row>
    <row r="55" spans="3:5" ht="12.75">
      <c r="C55" s="192"/>
      <c r="D55" s="192"/>
      <c r="E55" s="192"/>
    </row>
    <row r="56" spans="2:4" s="136" customFormat="1" ht="18">
      <c r="B56" s="129" t="s">
        <v>118</v>
      </c>
      <c r="C56" s="129"/>
      <c r="D56" s="129"/>
    </row>
    <row r="57" spans="2:4" ht="18">
      <c r="B57" s="321" t="s">
        <v>136</v>
      </c>
      <c r="C57" s="321"/>
      <c r="D57" s="321"/>
    </row>
    <row r="58" spans="2:4" ht="18">
      <c r="B58" s="321" t="s">
        <v>137</v>
      </c>
      <c r="C58" s="321"/>
      <c r="D58" s="321"/>
    </row>
    <row r="59" spans="2:4" ht="16.5">
      <c r="B59" s="345" t="s">
        <v>32</v>
      </c>
      <c r="C59" s="184"/>
      <c r="D59" s="184"/>
    </row>
    <row r="60" spans="2:4" s="136" customFormat="1" ht="18">
      <c r="B60" s="133" t="str">
        <f>+B9</f>
        <v>Al 31 de octubre de 2020</v>
      </c>
      <c r="C60" s="133"/>
      <c r="D60" s="254"/>
    </row>
    <row r="61" spans="2:4" ht="9.75" customHeight="1">
      <c r="B61" s="599"/>
      <c r="C61" s="599"/>
      <c r="D61" s="599"/>
    </row>
    <row r="62" spans="2:4" ht="16.5" customHeight="1">
      <c r="B62" s="595" t="s">
        <v>95</v>
      </c>
      <c r="C62" s="597" t="s">
        <v>87</v>
      </c>
      <c r="D62" s="587" t="s">
        <v>214</v>
      </c>
    </row>
    <row r="63" spans="2:4" ht="16.5" customHeight="1">
      <c r="B63" s="596"/>
      <c r="C63" s="598"/>
      <c r="D63" s="588"/>
    </row>
    <row r="64" spans="2:4" s="81" customFormat="1" ht="9.75" customHeight="1">
      <c r="B64" s="257"/>
      <c r="C64" s="104"/>
      <c r="D64" s="104"/>
    </row>
    <row r="65" spans="2:4" s="81" customFormat="1" ht="16.5" customHeight="1">
      <c r="B65" s="353" t="s">
        <v>239</v>
      </c>
      <c r="C65" s="383">
        <f>+C67+C69</f>
        <v>0</v>
      </c>
      <c r="D65" s="383">
        <f>+D67+D69</f>
        <v>0</v>
      </c>
    </row>
    <row r="66" spans="2:4" s="81" customFormat="1" ht="9.75" customHeight="1" hidden="1">
      <c r="B66" s="510"/>
      <c r="C66" s="104"/>
      <c r="D66" s="104"/>
    </row>
    <row r="67" spans="2:4" s="81" customFormat="1" ht="16.5" hidden="1">
      <c r="B67" s="354" t="s">
        <v>33</v>
      </c>
      <c r="C67" s="383">
        <v>0</v>
      </c>
      <c r="D67" s="383">
        <v>0</v>
      </c>
    </row>
    <row r="68" spans="2:4" s="81" customFormat="1" ht="9.75" customHeight="1" hidden="1">
      <c r="B68" s="510"/>
      <c r="C68" s="104"/>
      <c r="D68" s="104"/>
    </row>
    <row r="69" spans="2:4" s="81" customFormat="1" ht="16.5" hidden="1">
      <c r="B69" s="354" t="s">
        <v>34</v>
      </c>
      <c r="C69" s="383">
        <f>SUM(C70:C70)</f>
        <v>0</v>
      </c>
      <c r="D69" s="383">
        <f>SUM(D70:D70)</f>
        <v>0</v>
      </c>
    </row>
    <row r="70" spans="2:4" s="81" customFormat="1" ht="16.5" hidden="1">
      <c r="B70" s="346"/>
      <c r="C70" s="384">
        <v>0</v>
      </c>
      <c r="D70" s="384">
        <f>ROUND(+C70*$E$9,8)</f>
        <v>0</v>
      </c>
    </row>
    <row r="71" spans="2:4" s="81" customFormat="1" ht="12" customHeight="1">
      <c r="B71" s="510"/>
      <c r="C71" s="104"/>
      <c r="D71" s="104"/>
    </row>
    <row r="72" spans="2:6" s="65" customFormat="1" ht="16.5" customHeight="1">
      <c r="B72" s="353" t="s">
        <v>237</v>
      </c>
      <c r="C72" s="383">
        <f>+C74+C78</f>
        <v>986024.0310199998</v>
      </c>
      <c r="D72" s="383">
        <f>+D74+D78</f>
        <v>3564476.8721373</v>
      </c>
      <c r="F72" s="351"/>
    </row>
    <row r="73" spans="2:8" s="65" customFormat="1" ht="9.75" customHeight="1">
      <c r="B73" s="64"/>
      <c r="C73" s="384"/>
      <c r="D73" s="384"/>
      <c r="H73" s="208"/>
    </row>
    <row r="74" spans="2:8" s="65" customFormat="1" ht="16.5" customHeight="1">
      <c r="B74" s="354" t="s">
        <v>33</v>
      </c>
      <c r="C74" s="383">
        <f>SUM(C75:C76)</f>
        <v>143000</v>
      </c>
      <c r="D74" s="383">
        <f>SUM(D75:D76)</f>
        <v>516945</v>
      </c>
      <c r="F74" s="351"/>
      <c r="G74" s="209"/>
      <c r="H74" s="209"/>
    </row>
    <row r="75" spans="2:8" s="65" customFormat="1" ht="16.5" customHeight="1">
      <c r="B75" s="346" t="s">
        <v>252</v>
      </c>
      <c r="C75" s="384">
        <v>93000</v>
      </c>
      <c r="D75" s="384">
        <f>ROUND(+C75*$E$9,8)</f>
        <v>336195</v>
      </c>
      <c r="F75" s="351"/>
      <c r="G75" s="209"/>
      <c r="H75" s="209"/>
    </row>
    <row r="76" spans="2:8" s="65" customFormat="1" ht="16.5" customHeight="1">
      <c r="B76" s="346" t="s">
        <v>179</v>
      </c>
      <c r="C76" s="384">
        <v>50000</v>
      </c>
      <c r="D76" s="384">
        <f>ROUND(+C76*$E$9,8)</f>
        <v>180750</v>
      </c>
      <c r="F76" s="351"/>
      <c r="G76" s="209"/>
      <c r="H76" s="209"/>
    </row>
    <row r="77" spans="2:4" s="65" customFormat="1" ht="9.75" customHeight="1">
      <c r="B77" s="63"/>
      <c r="C77" s="479"/>
      <c r="D77" s="479"/>
    </row>
    <row r="78" spans="2:8" s="65" customFormat="1" ht="16.5" customHeight="1">
      <c r="B78" s="354" t="s">
        <v>34</v>
      </c>
      <c r="C78" s="383">
        <f>SUM(C79:C84)</f>
        <v>843024.0310199998</v>
      </c>
      <c r="D78" s="383">
        <f>SUM(D79:D84)</f>
        <v>3047531.8721373</v>
      </c>
      <c r="F78" s="351"/>
      <c r="H78" s="208"/>
    </row>
    <row r="79" spans="2:8" s="65" customFormat="1" ht="16.5" customHeight="1">
      <c r="B79" s="346" t="s">
        <v>187</v>
      </c>
      <c r="C79" s="384">
        <v>266909.17449999973</v>
      </c>
      <c r="D79" s="384">
        <f aca="true" t="shared" si="2" ref="D79:D84">ROUND(+C79*$E$9,8)</f>
        <v>964876.6658175</v>
      </c>
      <c r="E79" s="382"/>
      <c r="F79" s="447"/>
      <c r="H79" s="208"/>
    </row>
    <row r="80" spans="2:8" s="65" customFormat="1" ht="16.5" customHeight="1">
      <c r="B80" s="346" t="s">
        <v>241</v>
      </c>
      <c r="C80" s="384">
        <v>194757.95296999998</v>
      </c>
      <c r="D80" s="384">
        <f t="shared" si="2"/>
        <v>704049.99998655</v>
      </c>
      <c r="E80" s="382"/>
      <c r="F80" s="447"/>
      <c r="H80" s="208"/>
    </row>
    <row r="81" spans="2:8" s="65" customFormat="1" ht="16.5" customHeight="1">
      <c r="B81" s="346" t="s">
        <v>157</v>
      </c>
      <c r="C81" s="384">
        <v>191119.00591000004</v>
      </c>
      <c r="D81" s="384">
        <f t="shared" si="2"/>
        <v>690895.20636465</v>
      </c>
      <c r="E81" s="382"/>
      <c r="F81" s="447"/>
      <c r="H81" s="208"/>
    </row>
    <row r="82" spans="2:8" s="65" customFormat="1" ht="16.5" customHeight="1">
      <c r="B82" s="346" t="s">
        <v>188</v>
      </c>
      <c r="C82" s="384">
        <v>94237.89764000001</v>
      </c>
      <c r="D82" s="384">
        <f t="shared" si="2"/>
        <v>340669.9999686</v>
      </c>
      <c r="E82" s="382"/>
      <c r="F82" s="447"/>
      <c r="H82" s="208"/>
    </row>
    <row r="83" spans="2:8" s="65" customFormat="1" ht="16.5" customHeight="1">
      <c r="B83" s="346" t="s">
        <v>184</v>
      </c>
      <c r="C83" s="384">
        <v>80000</v>
      </c>
      <c r="D83" s="384">
        <f t="shared" si="2"/>
        <v>289200</v>
      </c>
      <c r="E83" s="382"/>
      <c r="F83" s="447"/>
      <c r="H83" s="208"/>
    </row>
    <row r="84" spans="2:8" s="65" customFormat="1" ht="16.5" customHeight="1">
      <c r="B84" s="346" t="s">
        <v>253</v>
      </c>
      <c r="C84" s="384">
        <v>16000</v>
      </c>
      <c r="D84" s="384">
        <f t="shared" si="2"/>
        <v>57840</v>
      </c>
      <c r="E84" s="382"/>
      <c r="F84" s="447"/>
      <c r="H84" s="208"/>
    </row>
    <row r="85" spans="2:8" s="65" customFormat="1" ht="9" customHeight="1">
      <c r="B85" s="64"/>
      <c r="C85" s="384"/>
      <c r="D85" s="384"/>
      <c r="H85" s="208"/>
    </row>
    <row r="86" spans="2:8" s="65" customFormat="1" ht="15" customHeight="1">
      <c r="B86" s="591" t="s">
        <v>61</v>
      </c>
      <c r="C86" s="593">
        <f>+C65+C72</f>
        <v>986024.0310199998</v>
      </c>
      <c r="D86" s="593">
        <f>+D65+D72</f>
        <v>3564476.8721373</v>
      </c>
      <c r="F86" s="351"/>
      <c r="H86" s="208"/>
    </row>
    <row r="87" spans="2:8" s="81" customFormat="1" ht="15" customHeight="1">
      <c r="B87" s="592"/>
      <c r="C87" s="594"/>
      <c r="D87" s="594"/>
      <c r="F87" s="216"/>
      <c r="H87" s="208"/>
    </row>
    <row r="89" spans="3:4" ht="12.75">
      <c r="C89" s="102"/>
      <c r="D89" s="289"/>
    </row>
    <row r="90" spans="3:4" ht="12.75">
      <c r="C90" s="291"/>
      <c r="D90" s="291"/>
    </row>
    <row r="91" ht="12.75">
      <c r="C91" s="438"/>
    </row>
    <row r="92" ht="12.75">
      <c r="C92" s="438"/>
    </row>
    <row r="93" ht="12.75">
      <c r="C93" s="438"/>
    </row>
    <row r="94" ht="12.75">
      <c r="C94" s="438"/>
    </row>
    <row r="95" ht="12.75">
      <c r="C95" s="438"/>
    </row>
    <row r="96" ht="12.75">
      <c r="C96" s="438"/>
    </row>
    <row r="97" ht="12.75">
      <c r="C97" s="438"/>
    </row>
  </sheetData>
  <sheetProtection/>
  <mergeCells count="14">
    <mergeCell ref="D62:D63"/>
    <mergeCell ref="B11:B12"/>
    <mergeCell ref="D46:D47"/>
    <mergeCell ref="C11:C12"/>
    <mergeCell ref="B10:D10"/>
    <mergeCell ref="B86:B87"/>
    <mergeCell ref="C86:C87"/>
    <mergeCell ref="D86:D87"/>
    <mergeCell ref="B61:D61"/>
    <mergeCell ref="B62:B63"/>
    <mergeCell ref="D11:D12"/>
    <mergeCell ref="C46:C47"/>
    <mergeCell ref="B46:B47"/>
    <mergeCell ref="C62:C63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ignoredErrors>
    <ignoredError sqref="D42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8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91</v>
      </c>
      <c r="C5" s="129"/>
      <c r="D5" s="129"/>
      <c r="I5" s="279"/>
    </row>
    <row r="6" spans="2:9" ht="18">
      <c r="B6" s="321" t="s">
        <v>136</v>
      </c>
      <c r="C6" s="321"/>
      <c r="D6" s="321"/>
      <c r="I6" s="289"/>
    </row>
    <row r="7" spans="2:4" ht="18">
      <c r="B7" s="321" t="s">
        <v>135</v>
      </c>
      <c r="C7" s="321"/>
      <c r="D7" s="321"/>
    </row>
    <row r="8" spans="2:4" ht="16.5">
      <c r="B8" s="345" t="s">
        <v>1</v>
      </c>
      <c r="C8" s="184"/>
      <c r="D8" s="184"/>
    </row>
    <row r="9" spans="2:5" ht="15.75">
      <c r="B9" s="133" t="str">
        <f>+'DEP-C2'!B9</f>
        <v>Al 31 de octubre de 2020</v>
      </c>
      <c r="C9" s="133"/>
      <c r="D9" s="267"/>
      <c r="E9" s="320">
        <f>+Portada!H39</f>
        <v>3.615</v>
      </c>
    </row>
    <row r="10" spans="2:4" ht="9.75" customHeight="1">
      <c r="B10" s="599"/>
      <c r="C10" s="599"/>
      <c r="D10" s="599"/>
    </row>
    <row r="11" spans="2:4" ht="16.5" customHeight="1">
      <c r="B11" s="585" t="s">
        <v>150</v>
      </c>
      <c r="C11" s="587" t="s">
        <v>87</v>
      </c>
      <c r="D11" s="604" t="s">
        <v>164</v>
      </c>
    </row>
    <row r="12" spans="2:8" s="81" customFormat="1" ht="16.5" customHeight="1">
      <c r="B12" s="586"/>
      <c r="C12" s="588"/>
      <c r="D12" s="605"/>
      <c r="H12" s="206"/>
    </row>
    <row r="13" spans="2:8" s="81" customFormat="1" ht="9.75" customHeight="1">
      <c r="B13" s="255"/>
      <c r="C13" s="517"/>
      <c r="D13" s="138"/>
      <c r="H13" s="206"/>
    </row>
    <row r="14" spans="2:9" s="65" customFormat="1" ht="16.5" customHeight="1">
      <c r="B14" s="364" t="s">
        <v>0</v>
      </c>
      <c r="C14" s="518">
        <f>SUM(C15:C16)</f>
        <v>4579153.198419999</v>
      </c>
      <c r="D14" s="478">
        <f>SUM(D15:D16)</f>
        <v>16553638.812288249</v>
      </c>
      <c r="E14" s="219"/>
      <c r="F14" s="351"/>
      <c r="G14" s="292"/>
      <c r="H14" s="292"/>
      <c r="I14" s="292"/>
    </row>
    <row r="15" spans="2:8" s="65" customFormat="1" ht="16.5" customHeight="1">
      <c r="B15" s="69" t="s">
        <v>24</v>
      </c>
      <c r="C15" s="519">
        <v>624443.2762900001</v>
      </c>
      <c r="D15" s="477">
        <f>ROUND(+C15*$E$9,8)</f>
        <v>2257362.44378835</v>
      </c>
      <c r="E15" s="464"/>
      <c r="F15" s="350"/>
      <c r="G15" s="355"/>
      <c r="H15" s="292"/>
    </row>
    <row r="16" spans="2:8" s="65" customFormat="1" ht="16.5" customHeight="1">
      <c r="B16" s="69" t="s">
        <v>25</v>
      </c>
      <c r="C16" s="519">
        <v>3954709.922129999</v>
      </c>
      <c r="D16" s="477">
        <f>ROUND(+C16*$E$9,8)</f>
        <v>14296276.3684999</v>
      </c>
      <c r="E16" s="464"/>
      <c r="F16" s="350"/>
      <c r="G16" s="292"/>
      <c r="H16" s="292"/>
    </row>
    <row r="17" spans="2:8" s="65" customFormat="1" ht="12" customHeight="1">
      <c r="B17" s="69"/>
      <c r="C17" s="519"/>
      <c r="D17" s="477"/>
      <c r="E17" s="463"/>
      <c r="H17" s="210"/>
    </row>
    <row r="18" spans="2:8" s="65" customFormat="1" ht="16.5" customHeight="1">
      <c r="B18" s="364" t="s">
        <v>189</v>
      </c>
      <c r="C18" s="518">
        <f>SUM(C19:C19)</f>
        <v>69333.85014</v>
      </c>
      <c r="D18" s="478">
        <f>SUM(D19:D19)</f>
        <v>250641.8682561</v>
      </c>
      <c r="E18" s="463"/>
      <c r="F18" s="351"/>
      <c r="G18" s="293"/>
      <c r="H18" s="293"/>
    </row>
    <row r="19" spans="2:8" s="65" customFormat="1" ht="16.5" customHeight="1">
      <c r="B19" s="69" t="s">
        <v>24</v>
      </c>
      <c r="C19" s="519">
        <v>69333.85014</v>
      </c>
      <c r="D19" s="477">
        <f>ROUND(+C19*$E$9,8)</f>
        <v>250641.8682561</v>
      </c>
      <c r="E19" s="464"/>
      <c r="F19" s="350"/>
      <c r="H19" s="210"/>
    </row>
    <row r="20" spans="2:8" s="65" customFormat="1" ht="11.25" customHeight="1">
      <c r="B20" s="69"/>
      <c r="C20" s="519"/>
      <c r="D20" s="477"/>
      <c r="E20" s="463"/>
      <c r="H20" s="210"/>
    </row>
    <row r="21" spans="2:8" s="65" customFormat="1" ht="16.5" customHeight="1">
      <c r="B21" s="364" t="s">
        <v>190</v>
      </c>
      <c r="C21" s="518">
        <f>+C22</f>
        <v>3276827.9627199997</v>
      </c>
      <c r="D21" s="478">
        <f>+D22</f>
        <v>11845733.0852328</v>
      </c>
      <c r="E21" s="463"/>
      <c r="F21" s="351"/>
      <c r="H21" s="210"/>
    </row>
    <row r="22" spans="2:8" s="65" customFormat="1" ht="16.5" customHeight="1">
      <c r="B22" s="69" t="s">
        <v>24</v>
      </c>
      <c r="C22" s="519">
        <v>3276827.9627199997</v>
      </c>
      <c r="D22" s="477">
        <f>ROUND(+C22*$E$9,8)</f>
        <v>11845733.0852328</v>
      </c>
      <c r="E22" s="464"/>
      <c r="F22" s="350"/>
      <c r="H22" s="210"/>
    </row>
    <row r="23" spans="2:8" s="65" customFormat="1" ht="9.75" customHeight="1">
      <c r="B23" s="68"/>
      <c r="C23" s="520"/>
      <c r="D23" s="476"/>
      <c r="F23" s="350"/>
      <c r="H23" s="210"/>
    </row>
    <row r="24" spans="2:8" s="65" customFormat="1" ht="15" customHeight="1">
      <c r="B24" s="591" t="s">
        <v>61</v>
      </c>
      <c r="C24" s="602">
        <f>+C18+C14+C21</f>
        <v>7925315.011279998</v>
      </c>
      <c r="D24" s="600">
        <f>+D18+D14+D21</f>
        <v>28650013.76577715</v>
      </c>
      <c r="F24" s="351"/>
      <c r="H24" s="210"/>
    </row>
    <row r="25" spans="2:8" s="81" customFormat="1" ht="15" customHeight="1">
      <c r="B25" s="592"/>
      <c r="C25" s="603"/>
      <c r="D25" s="601"/>
      <c r="H25" s="206"/>
    </row>
    <row r="26" spans="2:8" s="81" customFormat="1" ht="7.5" customHeight="1">
      <c r="B26" s="252"/>
      <c r="C26" s="139"/>
      <c r="D26" s="139"/>
      <c r="H26" s="206"/>
    </row>
    <row r="27" spans="2:8" s="65" customFormat="1" ht="17.25" customHeight="1">
      <c r="B27" s="458" t="s">
        <v>191</v>
      </c>
      <c r="C27" s="458"/>
      <c r="D27" s="458"/>
      <c r="H27" s="210"/>
    </row>
    <row r="28" spans="2:8" s="65" customFormat="1" ht="17.25" customHeight="1">
      <c r="B28" s="458" t="s">
        <v>192</v>
      </c>
      <c r="C28" s="459"/>
      <c r="D28" s="458"/>
      <c r="H28" s="210"/>
    </row>
    <row r="29" spans="3:4" ht="12.75">
      <c r="C29" s="245"/>
      <c r="D29" s="245"/>
    </row>
    <row r="30" ht="12.75">
      <c r="C30" s="294"/>
    </row>
    <row r="32" spans="3:4" ht="12.75">
      <c r="C32" s="131"/>
      <c r="D32" s="131"/>
    </row>
    <row r="33" spans="2:8" s="136" customFormat="1" ht="18">
      <c r="B33" s="129" t="s">
        <v>119</v>
      </c>
      <c r="C33" s="129"/>
      <c r="D33" s="129"/>
      <c r="H33" s="220"/>
    </row>
    <row r="34" spans="2:8" s="136" customFormat="1" ht="18">
      <c r="B34" s="321" t="s">
        <v>136</v>
      </c>
      <c r="C34" s="321"/>
      <c r="D34" s="321"/>
      <c r="H34" s="220"/>
    </row>
    <row r="35" spans="2:8" s="136" customFormat="1" ht="18">
      <c r="B35" s="321" t="s">
        <v>137</v>
      </c>
      <c r="C35" s="321"/>
      <c r="D35" s="321"/>
      <c r="H35" s="220"/>
    </row>
    <row r="36" spans="2:8" s="136" customFormat="1" ht="18">
      <c r="B36" s="345" t="s">
        <v>1</v>
      </c>
      <c r="C36" s="184"/>
      <c r="D36" s="184"/>
      <c r="H36" s="220"/>
    </row>
    <row r="37" spans="2:8" s="136" customFormat="1" ht="18">
      <c r="B37" s="133" t="str">
        <f>+B9</f>
        <v>Al 31 de octubre de 2020</v>
      </c>
      <c r="C37" s="133"/>
      <c r="D37" s="254"/>
      <c r="H37" s="220"/>
    </row>
    <row r="38" spans="2:4" ht="9.75" customHeight="1">
      <c r="B38" s="599"/>
      <c r="C38" s="599"/>
      <c r="D38" s="599"/>
    </row>
    <row r="39" spans="2:4" ht="16.5" customHeight="1">
      <c r="B39" s="585" t="s">
        <v>150</v>
      </c>
      <c r="C39" s="587" t="s">
        <v>87</v>
      </c>
      <c r="D39" s="587" t="s">
        <v>164</v>
      </c>
    </row>
    <row r="40" spans="2:8" s="81" customFormat="1" ht="16.5" customHeight="1">
      <c r="B40" s="586"/>
      <c r="C40" s="588"/>
      <c r="D40" s="588"/>
      <c r="H40" s="206"/>
    </row>
    <row r="41" spans="2:8" s="81" customFormat="1" ht="9.75" customHeight="1">
      <c r="B41" s="255"/>
      <c r="C41" s="261"/>
      <c r="D41" s="140"/>
      <c r="H41" s="206"/>
    </row>
    <row r="42" spans="2:8" s="65" customFormat="1" ht="16.5" customHeight="1">
      <c r="B42" s="364" t="s">
        <v>0</v>
      </c>
      <c r="C42" s="383">
        <f>SUM(C43:C44)</f>
        <v>267802.73087999976</v>
      </c>
      <c r="D42" s="478">
        <f>SUM(D43:D44)</f>
        <v>968106.8721312</v>
      </c>
      <c r="E42" s="219"/>
      <c r="H42" s="210"/>
    </row>
    <row r="43" spans="2:8" s="65" customFormat="1" ht="16.5" customHeight="1">
      <c r="B43" s="69" t="s">
        <v>24</v>
      </c>
      <c r="C43" s="384">
        <v>267802.73087999976</v>
      </c>
      <c r="D43" s="477">
        <f>ROUND(+C43*$E$9,8)</f>
        <v>968106.8721312</v>
      </c>
      <c r="E43" s="219"/>
      <c r="F43" s="363"/>
      <c r="H43" s="210"/>
    </row>
    <row r="44" spans="2:8" s="65" customFormat="1" ht="16.5" customHeight="1" hidden="1">
      <c r="B44" s="69" t="s">
        <v>25</v>
      </c>
      <c r="C44" s="384">
        <v>0</v>
      </c>
      <c r="D44" s="477">
        <f>ROUND(+C44*$E$9,8)</f>
        <v>0</v>
      </c>
      <c r="E44" s="219"/>
      <c r="F44" s="363"/>
      <c r="H44" s="210"/>
    </row>
    <row r="45" spans="2:8" s="65" customFormat="1" ht="12" customHeight="1">
      <c r="B45" s="69"/>
      <c r="C45" s="384"/>
      <c r="D45" s="477"/>
      <c r="E45" s="219"/>
      <c r="H45" s="210"/>
    </row>
    <row r="46" spans="2:8" s="65" customFormat="1" ht="16.5" customHeight="1">
      <c r="B46" s="364" t="s">
        <v>159</v>
      </c>
      <c r="C46" s="383">
        <f>+C47</f>
        <v>718221.30014</v>
      </c>
      <c r="D46" s="478">
        <f>+D47</f>
        <v>2596370.0000061</v>
      </c>
      <c r="E46" s="221"/>
      <c r="F46" s="109"/>
      <c r="H46" s="210"/>
    </row>
    <row r="47" spans="2:8" s="65" customFormat="1" ht="16.5" customHeight="1">
      <c r="B47" s="69" t="s">
        <v>24</v>
      </c>
      <c r="C47" s="384">
        <v>718221.30014</v>
      </c>
      <c r="D47" s="477">
        <f>ROUND(+C47*$E$9,8)</f>
        <v>2596370.0000061</v>
      </c>
      <c r="E47" s="221"/>
      <c r="F47" s="355"/>
      <c r="H47" s="210"/>
    </row>
    <row r="48" spans="2:8" s="65" customFormat="1" ht="9.75" customHeight="1">
      <c r="B48" s="68"/>
      <c r="C48" s="391"/>
      <c r="D48" s="476"/>
      <c r="H48" s="210"/>
    </row>
    <row r="49" spans="2:8" s="65" customFormat="1" ht="15" customHeight="1">
      <c r="B49" s="591" t="s">
        <v>61</v>
      </c>
      <c r="C49" s="593">
        <f>+C42+C46</f>
        <v>986024.0310199996</v>
      </c>
      <c r="D49" s="600">
        <f>+D42+D46</f>
        <v>3564476.8721373</v>
      </c>
      <c r="H49" s="210"/>
    </row>
    <row r="50" spans="2:8" s="81" customFormat="1" ht="15" customHeight="1">
      <c r="B50" s="592"/>
      <c r="C50" s="594"/>
      <c r="D50" s="601"/>
      <c r="H50" s="206"/>
    </row>
    <row r="51" ht="4.5" customHeight="1"/>
    <row r="52" spans="3:4" ht="12.75">
      <c r="C52" s="438"/>
      <c r="D52" s="245"/>
    </row>
    <row r="53" ht="12.75">
      <c r="C53" s="168"/>
    </row>
    <row r="56" ht="12.75">
      <c r="C56" s="168"/>
    </row>
  </sheetData>
  <sheetProtection/>
  <mergeCells count="14">
    <mergeCell ref="B10:D10"/>
    <mergeCell ref="C24:C25"/>
    <mergeCell ref="D11:D12"/>
    <mergeCell ref="B11:B12"/>
    <mergeCell ref="B38:D38"/>
    <mergeCell ref="D24:D25"/>
    <mergeCell ref="B49:B50"/>
    <mergeCell ref="C49:C50"/>
    <mergeCell ref="D49:D50"/>
    <mergeCell ref="B39:B40"/>
    <mergeCell ref="C11:C12"/>
    <mergeCell ref="B24:B25"/>
    <mergeCell ref="C39:C40"/>
    <mergeCell ref="D39:D40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2020-11-29T23:04:31Z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