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'DEP-C1'!$A$1:$AI$49</definedName>
    <definedName name="_xlnm.Print_Area" localSheetId="5">'DEP-C2'!$B$1:$D$46</definedName>
    <definedName name="_xlnm.Print_Area" localSheetId="6">'DEP-C3'!$B$5:$D$61</definedName>
    <definedName name="_xlnm.Print_Area" localSheetId="7">'DEP-C4'!$B$1:$D$80</definedName>
    <definedName name="_xlnm.Print_Area" localSheetId="8">'DEP-C5'!$B$1:$D$50</definedName>
    <definedName name="_xlnm.Print_Area" localSheetId="9">'DEP-C6'!$B$1:$E$74</definedName>
    <definedName name="_xlnm.Print_Area" localSheetId="10">'DEP-C7'!$B$1:$E$83</definedName>
    <definedName name="_xlnm.Print_Area" localSheetId="11">'DEP-C8'!$B$1:$D$120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<sst xmlns="http://schemas.openxmlformats.org/spreadsheetml/2006/main" count="589" uniqueCount="252">
  <si>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</si>
  <si>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</si>
  <si>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</si>
  <si>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</si>
  <si>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</si>
  <si>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</si>
  <si>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</si>
  <si>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</si>
  <si>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</si>
  <si>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</si>
  <si>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</si>
  <si>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</si>
  <si>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</si>
  <si>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</si>
  <si>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</si>
  <si>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</si>
  <si>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</si>
  <si>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</si>
  <si>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</si>
  <si>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</si>
  <si>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</si>
  <si>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</si>
  <si>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</si>
  <si>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</si>
  <si>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</si>
  <si>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</si>
  <si>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</si>
  <si>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</si>
  <si>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</si>
  <si>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</si>
  <si>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</si>
  <si>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</si>
  <si>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</si>
  <si>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</si>
  <si>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</si>
  <si>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</si>
  <si>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</si>
  <si>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</si>
  <si>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</si>
  <si>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</si>
  <si>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</si>
  <si>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</si>
  <si>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</si>
  <si>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</si>
  <si>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</si>
  <si>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</si>
  <si>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</si>
  <si>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</si>
  <si>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</si>
  <si>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</si>
  <si>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</si>
  <si>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</si>
  <si>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</si>
  <si>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</si>
  <si>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</si>
  <si>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</si>
  <si>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</si>
  <si>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</si>
  <si>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</si>
  <si>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</si>
  <si>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</si>
  <si>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</si>
  <si>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</si>
  <si>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</si>
  <si>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</si>
  <si>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</si>
  <si>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</si>
  <si>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</si>
  <si>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</si>
  <si>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</si>
  <si>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</si>
  <si>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</si>
  <si>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</si>
  <si>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</si>
  <si>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</si>
  <si>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</si>
  <si>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</si>
  <si>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</si>
  <si>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</si>
  <si>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</si>
  <si>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</si>
  <si>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</si>
  <si>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</si>
  <si>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</si>
  <si>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</si>
  <si>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</si>
  <si>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</si>
  <si>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</si>
  <si>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</si>
  <si>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</si>
  <si>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</si>
  <si>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</si>
  <si>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</si>
  <si>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</si>
  <si>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</si>
  <si>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</si>
  <si>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</si>
  <si>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</si>
  <si>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</si>
  <si>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</si>
  <si>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</si>
  <si>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</si>
  <si>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</si>
  <si>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</si>
  <si>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</si>
  <si>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</si>
  <si>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</si>
  <si>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</si>
  <si>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</si>
  <si>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</si>
  <si>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</si>
  <si>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</si>
  <si>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</si>
  <si>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</si>
  <si>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</si>
  <si>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</si>
  <si>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</si>
  <si>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</si>
  <si>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</si>
  <si>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</si>
  <si>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</si>
  <si>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</si>
  <si>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</si>
  <si>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</si>
  <si>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</si>
  <si>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</si>
  <si>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</si>
  <si>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</si>
  <si>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</si>
  <si>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</si>
  <si>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</si>
  <si>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</si>
  <si>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</si>
  <si>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</si>
  <si>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</si>
  <si>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</si>
  <si>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</si>
  <si>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</si>
  <si>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</si>
  <si>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</si>
  <si>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</si>
  <si>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</si>
  <si>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</si>
  <si>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</si>
  <si>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</si>
  <si>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</si>
  <si>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</si>
  <si>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</si>
  <si>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</si>
  <si>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</si>
  <si>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</si>
  <si>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</si>
  <si>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</si>
  <si>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</si>
  <si>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</si>
  <si>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</si>
  <si>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</si>
  <si>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</si>
  <si>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</si>
  <si>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</si>
  <si>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</si>
  <si>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</si>
  <si>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</si>
  <si>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</si>
  <si>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</si>
  <si>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</si>
  <si>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</si>
  <si>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</si>
  <si>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</si>
  <si>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</si>
  <si>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</si>
  <si>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</si>
  <si>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</si>
  <si>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</si>
  <si>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</si>
  <si>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</si>
  <si>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</si>
  <si>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</si>
  <si>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</si>
  <si>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</si>
  <si>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</si>
  <si>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</si>
  <si>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</si>
  <si>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</si>
  <si>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</si>
  <si>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</si>
  <si>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</si>
  <si>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</si>
  <si>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</si>
  <si>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</si>
  <si>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</si>
  <si>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</si>
  <si>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</si>
  <si>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</si>
  <si>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</si>
  <si>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</si>
  <si>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</si>
  <si>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</si>
  <si>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</si>
  <si>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</si>
  <si>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</si>
  <si>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</si>
  <si>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</si>
  <si>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</si>
  <si>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</si>
  <si>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</si>
  <si>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</si>
  <si>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</si>
  <si>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</si>
  <si>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</si>
  <si>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</si>
  <si>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</si>
  <si>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</si>
  <si>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</si>
  <si>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</si>
  <si>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</si>
  <si>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</si>
  <si>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</si>
  <si>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</si>
  <si>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</si>
  <si>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</si>
  <si>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</si>
  <si>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</si>
  <si>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</si>
  <si>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</si>
  <si>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</si>
  <si>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</si>
  <si>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</si>
  <si>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</si>
  <si>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</si>
  <si>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</si>
  <si>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</si>
  <si>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</si>
  <si>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</si>
  <si>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</si>
  <si>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</si>
  <si>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Banco Financiero</t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</si>
  <si>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</si>
  <si>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</si>
  <si>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</si>
  <si>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Citibank del Perú</t>
  </si>
  <si>
    <t>Sumitomo Mitsui Banking Corporation</t>
  </si>
  <si>
    <t>Servicios Postales del Perú</t>
  </si>
  <si>
    <t>Banco Paribas</t>
  </si>
  <si>
    <t>Sima Iquitos</t>
  </si>
  <si>
    <t>Deutsche Bank S.A.E</t>
  </si>
  <si>
    <t>Sima Perú</t>
  </si>
  <si>
    <t>AL 31 DE MARZO 2019</t>
  </si>
  <si>
    <t>Período: De 2009 al 31 de marzo de 2019</t>
  </si>
  <si>
    <t>Al 31 de marzo de 2019</t>
  </si>
  <si>
    <t xml:space="preserve"> 3/  Incluye: Bonos COFIDE por US$ 1 900,0 millones y Bonos Fondo MIVIVIENDA por US$ 1 401,7 millones.</t>
  </si>
  <si>
    <t xml:space="preserve"> 4/  Incluye: Bonos COFIDE por US$ 306,7 millones y Bonos Fondo MIVIVIENDA por US$ 128,3 millones.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</si>
</sst>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0.0%"/>
    <numFmt numFmtId="170" formatCode="0.000"/>
    <numFmt numFmtId="171" formatCode="_ * #,##0.0_ ;_ * \-#,##0.0_ ;_ * &quot;-&quot;??_ ;_ @_ "/>
    <numFmt numFmtId="172" formatCode="0.0000"/>
    <numFmt numFmtId="173" formatCode="#,##0.00000000;[Red]\-#,##0.00000000"/>
    <numFmt numFmtId="174" formatCode="_ * #,##0.000_ ;_ * \-#,##0.000_ ;_ * &quot;-&quot;??_ ;_ @_ "/>
    <numFmt numFmtId="175" formatCode="#,##0.000000000;[Red]\-#,##0.000000000"/>
    <numFmt numFmtId="176" formatCode="#,##0.00000000000;[Red]\-#,##0.00000000000"/>
    <numFmt numFmtId="177" formatCode="#,##0.000000000000000;[Red]\-#,##0.000000000000000"/>
    <numFmt numFmtId="178" formatCode="0.00000"/>
    <numFmt numFmtId="179" formatCode="0.0000000"/>
    <numFmt numFmtId="180" formatCode="0.000000000"/>
    <numFmt numFmtId="181" formatCode="###,###,###,###,###.0"/>
    <numFmt numFmtId="182" formatCode="0.0000000000"/>
    <numFmt numFmtId="183" formatCode="0.00000000000"/>
    <numFmt numFmtId="184" formatCode="0.0000000000000"/>
    <numFmt numFmtId="185" formatCode="0.00000000000000"/>
    <numFmt numFmtId="186" formatCode="0.000000000000000"/>
    <numFmt numFmtId="187" formatCode="0.000000"/>
    <numFmt numFmtId="188" formatCode="0.00000000"/>
    <numFmt numFmtId="189" formatCode="0.000000000000"/>
    <numFmt numFmtId="190" formatCode="#,##0.0000000000;[Red]\-#,##0.0000000000"/>
    <numFmt numFmtId="191" formatCode="#,##0.0000000000000;[Red]\-#,##0.0000000000000"/>
    <numFmt numFmtId="192" formatCode="#.#;[Red]\-#.###0"/>
    <numFmt numFmtId="193" formatCode="#,##0.0;[Red]\-#,##0.0"/>
    <numFmt numFmtId="194" formatCode="#,##0.0"/>
    <numFmt numFmtId="195" formatCode="0.0_ ;[Red]\-0.0\ "/>
    <numFmt numFmtId="196" formatCode="#,##0.00000000000"/>
    <numFmt numFmtId="197" formatCode="#,##0.000000;[Red]\-#,##0.000000"/>
    <numFmt numFmtId="198" formatCode="#,##0.0000000;[Red]\-#,##0.0000000"/>
    <numFmt numFmtId="199" formatCode="###,###,###,###.0000"/>
    <numFmt numFmtId="200" formatCode="#,##0.00000;[Red]\-#,##0.00000"/>
    <numFmt numFmtId="201" formatCode="#,##0.000;[Red]\-#,##0.000"/>
    <numFmt numFmtId="202" formatCode="#,##0.00000000"/>
    <numFmt numFmtId="203" formatCode="#,##0.000000000000;[Red]\-#,##0.000000000000"/>
    <numFmt numFmtId="204" formatCode="#,##0.000000;\-#,##0.000000"/>
    <numFmt numFmtId="205" formatCode="#,##0.0000;[Red]\-#,##0.0000"/>
    <numFmt numFmtId="206" formatCode="#,##0.0000000000;\-#,##0.0000000000"/>
    <numFmt numFmtId="207" formatCode="#,##0.00000000;\-#,##0.00000000"/>
    <numFmt numFmtId="208" formatCode="#,##0.0_ ;[Red]\-#,##0.0\ "/>
    <numFmt numFmtId="209" formatCode="#,##0_ ;[Red]\-#,##0\ "/>
    <numFmt numFmtId="210" formatCode="#,##0.000"/>
    <numFmt numFmtId="211" formatCode="#,##0.00000"/>
    <numFmt numFmtId="212" formatCode="#,##0;[Red]#,##0"/>
    <numFmt numFmtId="213" formatCode="#,##0.00000_);[Red]\(#,##0.00000\)"/>
    <numFmt numFmtId="214" formatCode="#,##0.000000"/>
    <numFmt numFmtId="215" formatCode="_ * #,##0.00000_ ;_ * \-#,##0.00000_ ;_ * &quot;-&quot;??_ ;_ @_ "/>
    <numFmt numFmtId="216" formatCode="#,##0_);\(#,##0\)"/>
    <numFmt numFmtId="217" formatCode="#,##0.0000"/>
    <numFmt numFmtId="218" formatCode="#,##0.0000000;\-#,##0.0000000"/>
    <numFmt numFmtId="219" formatCode="#,##0.0;\-#,##0.0"/>
    <numFmt numFmtId="220" formatCode="#,##0.000;\-#,##0.000"/>
    <numFmt numFmtId="221" formatCode="#,##0.0000;\-#,##0.0000"/>
    <numFmt numFmtId="222" formatCode="#,##0.00000;\-#,##0.0000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4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4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5" fontId="3" fillId="48" borderId="0" xfId="300" applyNumberFormat="1" applyFont="1" applyFill="1" applyBorder="1" applyAlignment="1">
      <alignment horizontal="center" vertical="center"/>
    </xf>
    <xf numFmtId="189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3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66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5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19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78" fontId="35" fillId="48" borderId="0" xfId="331" applyNumberFormat="1" applyFont="1" applyFill="1">
      <alignment/>
      <protection/>
    </xf>
    <xf numFmtId="189" fontId="0" fillId="48" borderId="0" xfId="331" applyNumberFormat="1" applyFont="1" applyFill="1" applyBorder="1" applyAlignment="1">
      <alignment vertical="center"/>
      <protection/>
    </xf>
    <xf numFmtId="180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0" applyNumberFormat="1" applyFont="1" applyFill="1" applyAlignment="1">
      <alignment vertical="center"/>
    </xf>
    <xf numFmtId="182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88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79" fontId="0" fillId="47" borderId="0" xfId="300" applyNumberFormat="1" applyFont="1" applyFill="1" applyAlignment="1">
      <alignment/>
    </xf>
    <xf numFmtId="206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07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198" fontId="0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4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3" fontId="0" fillId="48" borderId="0" xfId="331" applyNumberFormat="1" applyFont="1" applyFill="1" applyBorder="1" applyAlignment="1">
      <alignment vertical="center"/>
      <protection/>
    </xf>
    <xf numFmtId="173" fontId="0" fillId="48" borderId="0" xfId="331" applyNumberFormat="1" applyFont="1" applyFill="1" applyBorder="1" applyAlignment="1">
      <alignment vertical="center"/>
      <protection/>
    </xf>
    <xf numFmtId="204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1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8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89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9" fontId="0" fillId="48" borderId="0" xfId="300" applyNumberFormat="1" applyFont="1" applyFill="1" applyBorder="1" applyAlignment="1">
      <alignment horizontal="right" vertical="center" indent="2"/>
    </xf>
    <xf numFmtId="179" fontId="8" fillId="48" borderId="0" xfId="0" applyNumberFormat="1" applyFont="1" applyFill="1" applyAlignment="1">
      <alignment/>
    </xf>
    <xf numFmtId="182" fontId="7" fillId="48" borderId="0" xfId="0" applyNumberFormat="1" applyFont="1" applyFill="1" applyAlignment="1">
      <alignment/>
    </xf>
    <xf numFmtId="170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0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2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3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4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67" fontId="0" fillId="48" borderId="0" xfId="307" applyNumberFormat="1" applyFont="1" applyFill="1" applyBorder="1" applyAlignment="1">
      <alignment horizontal="right" vertical="center"/>
    </xf>
    <xf numFmtId="180" fontId="3" fillId="48" borderId="0" xfId="0" applyNumberFormat="1" applyFont="1" applyFill="1" applyAlignment="1">
      <alignment horizontal="justify" vertical="center" wrapText="1"/>
    </xf>
    <xf numFmtId="180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72" fontId="0" fillId="48" borderId="0" xfId="0" applyNumberFormat="1" applyFont="1" applyFill="1" applyAlignment="1">
      <alignment vertical="center"/>
    </xf>
    <xf numFmtId="183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7" fontId="0" fillId="48" borderId="0" xfId="308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175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78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0" fontId="3" fillId="48" borderId="0" xfId="300" applyNumberFormat="1" applyFont="1" applyFill="1" applyBorder="1" applyAlignment="1">
      <alignment vertical="center"/>
    </xf>
    <xf numFmtId="180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79" fontId="0" fillId="48" borderId="0" xfId="307" applyNumberFormat="1" applyFont="1" applyFill="1" applyBorder="1" applyAlignment="1">
      <alignment vertical="center"/>
    </xf>
    <xf numFmtId="179" fontId="3" fillId="48" borderId="0" xfId="307" applyNumberFormat="1" applyFont="1" applyFill="1" applyBorder="1" applyAlignment="1">
      <alignment vertical="center"/>
    </xf>
    <xf numFmtId="180" fontId="0" fillId="48" borderId="0" xfId="323" applyNumberFormat="1" applyFont="1" applyFill="1" applyBorder="1" applyAlignment="1">
      <alignment vertical="center" wrapText="1"/>
      <protection/>
    </xf>
    <xf numFmtId="183" fontId="0" fillId="48" borderId="0" xfId="323" applyNumberFormat="1" applyFont="1" applyFill="1" applyBorder="1" applyAlignment="1">
      <alignment vertical="center" wrapText="1"/>
      <protection/>
    </xf>
    <xf numFmtId="170" fontId="8" fillId="48" borderId="0" xfId="0" applyNumberFormat="1" applyFont="1" applyFill="1" applyAlignment="1">
      <alignment horizontal="right"/>
    </xf>
    <xf numFmtId="188" fontId="12" fillId="47" borderId="0" xfId="0" applyNumberFormat="1" applyFont="1" applyFill="1" applyAlignment="1">
      <alignment/>
    </xf>
    <xf numFmtId="182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5" fontId="12" fillId="47" borderId="0" xfId="0" applyNumberFormat="1" applyFont="1" applyFill="1" applyBorder="1" applyAlignment="1">
      <alignment/>
    </xf>
    <xf numFmtId="172" fontId="8" fillId="48" borderId="0" xfId="0" applyNumberFormat="1" applyFont="1" applyFill="1" applyAlignment="1">
      <alignment/>
    </xf>
    <xf numFmtId="193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08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188" fontId="8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195" fontId="8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0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79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76" fontId="35" fillId="48" borderId="0" xfId="323" applyNumberFormat="1" applyFont="1" applyFill="1" applyAlignment="1">
      <alignment vertical="top"/>
      <protection/>
    </xf>
    <xf numFmtId="203" fontId="0" fillId="48" borderId="0" xfId="323" applyNumberFormat="1" applyFont="1" applyFill="1" applyAlignment="1">
      <alignment/>
      <protection/>
    </xf>
    <xf numFmtId="190" fontId="0" fillId="48" borderId="0" xfId="323" applyNumberFormat="1" applyFont="1" applyFill="1">
      <alignment/>
      <protection/>
    </xf>
    <xf numFmtId="201" fontId="0" fillId="48" borderId="0" xfId="323" applyNumberFormat="1" applyFont="1" applyFill="1">
      <alignment/>
      <protection/>
    </xf>
    <xf numFmtId="165" fontId="0" fillId="48" borderId="0" xfId="323" applyNumberFormat="1" applyFont="1" applyFill="1">
      <alignment/>
      <protection/>
    </xf>
    <xf numFmtId="175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1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90" fontId="35" fillId="48" borderId="0" xfId="323" applyNumberFormat="1" applyFont="1" applyFill="1" applyAlignment="1">
      <alignment vertical="top"/>
      <protection/>
    </xf>
    <xf numFmtId="19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0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3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78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4" fontId="91" fillId="47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77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5" fontId="92" fillId="48" borderId="0" xfId="0" applyNumberFormat="1" applyFont="1" applyFill="1" applyAlignment="1">
      <alignment/>
    </xf>
    <xf numFmtId="197" fontId="92" fillId="48" borderId="0" xfId="0" applyNumberFormat="1" applyFont="1" applyFill="1" applyAlignment="1">
      <alignment/>
    </xf>
    <xf numFmtId="205" fontId="92" fillId="47" borderId="0" xfId="0" applyNumberFormat="1" applyFont="1" applyFill="1" applyAlignment="1">
      <alignment/>
    </xf>
    <xf numFmtId="176" fontId="92" fillId="48" borderId="0" xfId="0" applyNumberFormat="1" applyFont="1" applyFill="1" applyAlignment="1">
      <alignment/>
    </xf>
    <xf numFmtId="200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2" fontId="77" fillId="48" borderId="0" xfId="0" applyNumberFormat="1" applyFont="1" applyFill="1" applyAlignment="1">
      <alignment/>
    </xf>
    <xf numFmtId="202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2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2" fontId="92" fillId="48" borderId="0" xfId="0" applyNumberFormat="1" applyFont="1" applyFill="1" applyAlignment="1">
      <alignment/>
    </xf>
    <xf numFmtId="170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0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0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09" fontId="6" fillId="48" borderId="22" xfId="300" applyNumberFormat="1" applyFont="1" applyFill="1" applyBorder="1" applyAlignment="1">
      <alignment horizontal="right" vertical="center" indent="1"/>
    </xf>
    <xf numFmtId="209" fontId="11" fillId="48" borderId="22" xfId="300" applyNumberFormat="1" applyFont="1" applyFill="1" applyBorder="1" applyAlignment="1">
      <alignment horizontal="right" vertical="center" indent="1"/>
    </xf>
    <xf numFmtId="209" fontId="8" fillId="48" borderId="22" xfId="300" applyNumberFormat="1" applyFont="1" applyFill="1" applyBorder="1" applyAlignment="1">
      <alignment horizontal="right" vertical="center" indent="1"/>
    </xf>
    <xf numFmtId="209" fontId="0" fillId="48" borderId="22" xfId="300" applyNumberFormat="1" applyFont="1" applyFill="1" applyBorder="1" applyAlignment="1">
      <alignment horizontal="right" vertical="center" indent="1"/>
    </xf>
    <xf numFmtId="209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0" fontId="35" fillId="48" borderId="0" xfId="323" applyNumberFormat="1" applyFont="1" applyFill="1" applyAlignment="1">
      <alignment vertical="top"/>
      <protection/>
    </xf>
    <xf numFmtId="209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2" fontId="11" fillId="48" borderId="22" xfId="300" applyNumberFormat="1" applyFont="1" applyFill="1" applyBorder="1" applyAlignment="1">
      <alignment horizontal="right" vertical="center" indent="2"/>
    </xf>
    <xf numFmtId="212" fontId="5" fillId="48" borderId="22" xfId="300" applyNumberFormat="1" applyFont="1" applyFill="1" applyBorder="1" applyAlignment="1">
      <alignment horizontal="right" vertical="center" indent="2"/>
    </xf>
    <xf numFmtId="212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4" fontId="0" fillId="48" borderId="0" xfId="307" applyNumberFormat="1" applyFont="1" applyFill="1" applyBorder="1" applyAlignment="1">
      <alignment vertical="center"/>
    </xf>
    <xf numFmtId="194" fontId="3" fillId="48" borderId="33" xfId="307" applyNumberFormat="1" applyFont="1" applyFill="1" applyBorder="1" applyAlignment="1">
      <alignment vertical="center"/>
    </xf>
    <xf numFmtId="169" fontId="44" fillId="48" borderId="43" xfId="331" applyNumberFormat="1" applyFont="1" applyFill="1" applyBorder="1" applyAlignment="1">
      <alignment horizontal="right" vertical="center" indent="2"/>
      <protection/>
    </xf>
    <xf numFmtId="169" fontId="0" fillId="48" borderId="43" xfId="350" applyNumberFormat="1" applyFont="1" applyFill="1" applyBorder="1" applyAlignment="1">
      <alignment horizontal="right" vertical="center" indent="1"/>
    </xf>
    <xf numFmtId="169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89" fontId="0" fillId="48" borderId="0" xfId="300" applyNumberFormat="1" applyFont="1" applyFill="1" applyBorder="1" applyAlignment="1">
      <alignment/>
    </xf>
    <xf numFmtId="211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86" fontId="0" fillId="48" borderId="0" xfId="0" applyNumberFormat="1" applyFont="1" applyFill="1" applyBorder="1" applyAlignment="1">
      <alignment/>
    </xf>
    <xf numFmtId="212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1" fontId="92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/>
    </xf>
    <xf numFmtId="211" fontId="0" fillId="48" borderId="0" xfId="308" applyNumberFormat="1" applyFont="1" applyFill="1" applyAlignment="1">
      <alignment/>
    </xf>
    <xf numFmtId="209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3" fontId="8" fillId="48" borderId="19" xfId="0" applyNumberFormat="1" applyFont="1" applyFill="1" applyBorder="1" applyAlignment="1">
      <alignment horizontal="left" vertical="center" indent="3"/>
    </xf>
    <xf numFmtId="0" fontId="8" fillId="48" borderId="0" xfId="0" applyFont="1" applyFill="1" applyBorder="1" applyAlignment="1">
      <alignment/>
    </xf>
    <xf numFmtId="210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1" fontId="0" fillId="48" borderId="0" xfId="323" applyNumberFormat="1" applyFont="1" applyFill="1" applyBorder="1" applyAlignment="1">
      <alignment vertical="top"/>
      <protection/>
    </xf>
    <xf numFmtId="211" fontId="0" fillId="48" borderId="0" xfId="300" applyNumberFormat="1" applyFont="1" applyFill="1" applyBorder="1" applyAlignment="1">
      <alignment/>
    </xf>
    <xf numFmtId="215" fontId="0" fillId="48" borderId="0" xfId="300" applyNumberFormat="1" applyFont="1" applyFill="1" applyAlignment="1">
      <alignment/>
    </xf>
    <xf numFmtId="194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4" fontId="0" fillId="48" borderId="0" xfId="0" applyNumberFormat="1" applyFont="1" applyFill="1" applyAlignment="1">
      <alignment vertical="center"/>
    </xf>
    <xf numFmtId="213" fontId="92" fillId="48" borderId="0" xfId="0" applyNumberFormat="1" applyFont="1" applyFill="1" applyAlignment="1">
      <alignment/>
    </xf>
    <xf numFmtId="211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1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69" fontId="0" fillId="48" borderId="43" xfId="350" applyNumberFormat="1" applyFont="1" applyFill="1" applyBorder="1" applyAlignment="1">
      <alignment horizontal="left" vertical="center" indent="2"/>
    </xf>
    <xf numFmtId="169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/>
    </xf>
    <xf numFmtId="3" fontId="8" fillId="0" borderId="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2" fontId="6" fillId="48" borderId="22" xfId="300" applyNumberFormat="1" applyFont="1" applyFill="1" applyBorder="1" applyAlignment="1">
      <alignment horizontal="right" vertical="center" indent="1"/>
    </xf>
    <xf numFmtId="212" fontId="11" fillId="48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1" fontId="96" fillId="48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left" vertical="center" indent="3"/>
    </xf>
    <xf numFmtId="0" fontId="0" fillId="0" borderId="19" xfId="0" applyFont="1" applyFill="1" applyBorder="1" applyAlignment="1">
      <alignment horizontal="left" vertical="center" indent="3"/>
    </xf>
    <xf numFmtId="207" fontId="3" fillId="48" borderId="0" xfId="300" applyNumberFormat="1" applyFont="1" applyFill="1" applyBorder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0" fontId="97" fillId="48" borderId="0" xfId="0" applyNumberFormat="1" applyFont="1" applyFill="1" applyAlignment="1">
      <alignment horizontal="center" vertical="center" wrapText="1"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1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212" fontId="6" fillId="48" borderId="22" xfId="300" applyNumberFormat="1" applyFont="1" applyFill="1" applyBorder="1" applyAlignment="1">
      <alignment horizontal="right" vertical="center" indent="2"/>
    </xf>
    <xf numFmtId="212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9" fontId="6" fillId="48" borderId="21" xfId="300" applyNumberFormat="1" applyFont="1" applyFill="1" applyBorder="1" applyAlignment="1">
      <alignment horizontal="right" vertical="center" indent="1"/>
    </xf>
    <xf numFmtId="209" fontId="6" fillId="48" borderId="23" xfId="300" applyNumberFormat="1" applyFont="1" applyFill="1" applyBorder="1" applyAlignment="1">
      <alignment horizontal="right" vertical="center" indent="1"/>
    </xf>
    <xf numFmtId="204" fontId="92" fillId="48" borderId="0" xfId="0" applyNumberFormat="1" applyFont="1" applyFill="1" applyAlignment="1">
      <alignment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7079.15421456</c:v>
                </c:pt>
                <c:pt idx="1">
                  <c:v>1533.4896107000002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4122.967286409999</c:v>
                </c:pt>
                <c:pt idx="1">
                  <c:v>4489.67653885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8089.42249549</c:v>
                </c:pt>
                <c:pt idx="1">
                  <c:v>523.2213297699999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2876.01630341</c:v>
                </c:pt>
                <c:pt idx="1">
                  <c:v>5736.6275218499995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5736.6275218499995</c:v>
                </c:pt>
                <c:pt idx="1">
                  <c:v>1870.7902138800002</c:v>
                </c:pt>
                <c:pt idx="2">
                  <c:v>668.44854249</c:v>
                </c:pt>
                <c:pt idx="3">
                  <c:v>14.12407387</c:v>
                </c:pt>
                <c:pt idx="4">
                  <c:v>322.65347317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6835.201893439999</c:v>
                </c:pt>
                <c:pt idx="1">
                  <c:v>1442.68375156</c:v>
                </c:pt>
                <c:pt idx="2">
                  <c:v>203.26143076999998</c:v>
                </c:pt>
                <c:pt idx="3">
                  <c:v>131.49674949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25"/>
          <c:y val="0.12875"/>
          <c:w val="0.788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'DEP-C1'!$C$12:$AI$13</c:f>
              <c:multiLvlStrCache/>
            </c:multiLvlStrRef>
          </c:cat>
          <c:val>
            <c:numRef>
              <c:f>'DEP-C1'!$C$15:$AI$15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'DEP-C1'!$C$12:$AI$13</c:f>
              <c:multiLvlStrCache/>
            </c:multiLvlStrRef>
          </c:cat>
          <c:val>
            <c:numRef>
              <c:f>'DEP-C1'!$C$16:$AI$16</c:f>
              <c:numCache/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48775"/>
          <c:w val="0.193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1032019.xls#Indice!B6" /><Relationship Id="rId10" Type="http://schemas.openxmlformats.org/officeDocument/2006/relationships/hyperlink" Target="#Reporte_Deuda_Empresas_SG_31032019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jpeg" /><Relationship Id="rId4" Type="http://schemas.openxmlformats.org/officeDocument/2006/relationships/hyperlink" Target="#Reporte_Deuda_Empresas_SG_31032019.xls#Indice!B6" /><Relationship Id="rId5" Type="http://schemas.openxmlformats.org/officeDocument/2006/relationships/hyperlink" Target="#Reporte_Deuda_Empresas_SG_31032019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32019.xls#Indice!B6" /><Relationship Id="rId4" Type="http://schemas.openxmlformats.org/officeDocument/2006/relationships/hyperlink" Target="#Reporte_Deuda_Empresas_SG_31032019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1047750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5924550</xdr:colOff>
      <xdr:row>0</xdr:row>
      <xdr:rowOff>161925</xdr:rowOff>
    </xdr:from>
    <xdr:to>
      <xdr:col>1</xdr:col>
      <xdr:colOff>6324600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619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0</xdr:row>
      <xdr:rowOff>66675</xdr:rowOff>
    </xdr:from>
    <xdr:to>
      <xdr:col>3</xdr:col>
      <xdr:colOff>1133475</xdr:colOff>
      <xdr:row>1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66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6429375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581025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14300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6</xdr:col>
      <xdr:colOff>133350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62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1228725</xdr:colOff>
      <xdr:row>0</xdr:row>
      <xdr:rowOff>85725</xdr:rowOff>
    </xdr:from>
    <xdr:to>
      <xdr:col>6</xdr:col>
      <xdr:colOff>209550</xdr:colOff>
      <xdr:row>2</xdr:row>
      <xdr:rowOff>47625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0" y="8572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17</xdr:col>
      <xdr:colOff>581025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96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21</xdr:row>
      <xdr:rowOff>85725</xdr:rowOff>
    </xdr:from>
    <xdr:to>
      <xdr:col>25</xdr:col>
      <xdr:colOff>390525</xdr:colOff>
      <xdr:row>48</xdr:row>
      <xdr:rowOff>66675</xdr:rowOff>
    </xdr:to>
    <xdr:graphicFrame>
      <xdr:nvGraphicFramePr>
        <xdr:cNvPr id="2" name="7 Gráfico"/>
        <xdr:cNvGraphicFramePr/>
      </xdr:nvGraphicFramePr>
      <xdr:xfrm>
        <a:off x="2371725" y="4086225"/>
        <a:ext cx="98964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714375</xdr:colOff>
      <xdr:row>0</xdr:row>
      <xdr:rowOff>114300</xdr:rowOff>
    </xdr:from>
    <xdr:to>
      <xdr:col>18</xdr:col>
      <xdr:colOff>238125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14300"/>
          <a:ext cx="3429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66675</xdr:rowOff>
    </xdr:from>
    <xdr:to>
      <xdr:col>3</xdr:col>
      <xdr:colOff>1181100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400050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30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104775</xdr:rowOff>
    </xdr:from>
    <xdr:to>
      <xdr:col>2</xdr:col>
      <xdr:colOff>847725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0" t="str">
        <f>+Portada!$B$6</f>
        <v>DEUDA DE LAS EMPRESAS PÚBLICAS</v>
      </c>
      <c r="C6" s="520"/>
      <c r="D6" s="520"/>
      <c r="E6" s="520"/>
      <c r="F6" s="520"/>
      <c r="G6" s="520"/>
    </row>
    <row r="7" spans="2:7" s="4" customFormat="1" ht="24.75" customHeight="1">
      <c r="B7" s="521" t="s">
        <v>247</v>
      </c>
      <c r="C7" s="521"/>
      <c r="D7" s="521"/>
      <c r="E7" s="521"/>
      <c r="F7" s="521"/>
      <c r="G7" s="521"/>
    </row>
    <row r="8" spans="2:5" s="4" customFormat="1" ht="15.75" customHeight="1">
      <c r="B8" s="250"/>
      <c r="C8" s="250"/>
      <c r="D8" s="250"/>
      <c r="E8" s="130"/>
    </row>
    <row r="9" spans="2:5" ht="19.5" customHeight="1">
      <c r="B9" s="86"/>
      <c r="C9" s="86"/>
      <c r="D9" s="415" t="s">
        <v>68</v>
      </c>
      <c r="E9" s="86"/>
    </row>
    <row r="10" spans="2:5" s="7" customFormat="1" ht="19.5" customHeight="1">
      <c r="B10" s="183"/>
      <c r="C10" s="183"/>
      <c r="D10" s="415" t="s">
        <v>179</v>
      </c>
      <c r="E10" s="71"/>
    </row>
    <row r="11" spans="2:5" s="7" customFormat="1" ht="19.5" customHeight="1">
      <c r="B11" s="184"/>
      <c r="C11" s="183"/>
      <c r="D11" s="415" t="s">
        <v>180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19" t="s">
        <v>222</v>
      </c>
      <c r="E13" s="519"/>
      <c r="F13" s="519"/>
      <c r="G13" s="519"/>
      <c r="H13" s="519"/>
    </row>
    <row r="14" spans="2:6" s="7" customFormat="1" ht="19.5" customHeight="1">
      <c r="B14" s="183" t="s">
        <v>12</v>
      </c>
      <c r="C14" s="183" t="s">
        <v>8</v>
      </c>
      <c r="D14" s="519" t="s">
        <v>154</v>
      </c>
      <c r="E14" s="519"/>
      <c r="F14" s="519"/>
    </row>
    <row r="15" spans="2:6" s="7" customFormat="1" ht="19.5" customHeight="1">
      <c r="B15" s="183" t="s">
        <v>13</v>
      </c>
      <c r="C15" s="183" t="s">
        <v>8</v>
      </c>
      <c r="D15" s="522" t="s">
        <v>37</v>
      </c>
      <c r="E15" s="522"/>
      <c r="F15" s="522"/>
    </row>
    <row r="16" spans="2:6" s="7" customFormat="1" ht="19.5" customHeight="1">
      <c r="B16" s="183" t="s">
        <v>14</v>
      </c>
      <c r="C16" s="183" t="s">
        <v>8</v>
      </c>
      <c r="D16" s="522" t="s">
        <v>32</v>
      </c>
      <c r="E16" s="522"/>
      <c r="F16" s="522"/>
    </row>
    <row r="17" spans="2:6" s="7" customFormat="1" ht="19.5" customHeight="1">
      <c r="B17" s="183" t="s">
        <v>92</v>
      </c>
      <c r="C17" s="183" t="s">
        <v>8</v>
      </c>
      <c r="D17" s="522" t="s">
        <v>1</v>
      </c>
      <c r="E17" s="522"/>
      <c r="F17" s="522"/>
    </row>
    <row r="18" spans="2:6" s="7" customFormat="1" ht="19.5" customHeight="1">
      <c r="B18" s="183" t="s">
        <v>60</v>
      </c>
      <c r="C18" s="183" t="s">
        <v>8</v>
      </c>
      <c r="D18" s="522" t="s">
        <v>58</v>
      </c>
      <c r="E18" s="522"/>
      <c r="F18" s="522"/>
    </row>
    <row r="19" spans="2:6" s="7" customFormat="1" ht="19.5" customHeight="1">
      <c r="B19" s="183" t="s">
        <v>15</v>
      </c>
      <c r="C19" s="183" t="s">
        <v>8</v>
      </c>
      <c r="D19" s="522" t="s">
        <v>106</v>
      </c>
      <c r="E19" s="522"/>
      <c r="F19" s="522"/>
    </row>
    <row r="20" spans="2:6" s="7" customFormat="1" ht="19.5" customHeight="1">
      <c r="B20" s="183" t="s">
        <v>16</v>
      </c>
      <c r="C20" s="183" t="s">
        <v>8</v>
      </c>
      <c r="D20" s="522" t="s">
        <v>59</v>
      </c>
      <c r="E20" s="522"/>
      <c r="F20" s="522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32019.xls#Resumen!B5" display="CUADROS RESUMEN"/>
    <hyperlink ref="D11" location="Reporte_Deuda_Empresas_SG_31032019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32019.xls#Portada!B6" display="PORTADA"/>
    <hyperlink ref="D19" location="'Grupo Acreedor'!A1" display="POR GRUPO DEL ACREEDOR"/>
    <hyperlink ref="D14:F14" location="Reporte_Deuda_Empresas_SG_31032019.xls#'DEP-C2'!B5" display="POR TIPO DE DEUDA Y TIPO DE EMPRESA"/>
    <hyperlink ref="D16:F16" location="Reporte_Deuda_Empresas_SG_31032019.xls#'DEP-C4'!B5" display="POR TIPO DE EMPRESA Y ACREEDOR"/>
    <hyperlink ref="D15:F15" location="Reporte_Deuda_Empresas_SG_31032019.xls#'DEP-C3'!B5" display="POR TIPO DE MONEDA"/>
    <hyperlink ref="D17:F17" location="Reporte_Deuda_Empresas_SG_31032019.xls#'DEP-C5'!B5" display="POR GRUPO EMPRESARIAL DEL DEUDOR"/>
    <hyperlink ref="D18:F18" location="Reporte_Deuda_Empresas_SG_31032019.xls#'DEP-C6'!B5" display="POR GRUPO EMPRESARIAL Y ENTIDAD DEUDORA"/>
    <hyperlink ref="D20:F20" location="Reporte_Deuda_Empresas_SG_31032019.xls#'DEP-C8'!B5" display="POR TIPO DE CONCERTACIÓN Y TIPO DE EMPRESA"/>
    <hyperlink ref="D19:F19" location="Reporte_Deuda_Empresas_SG_31032019.xls#'DEP-C7'!B5" display="POR TIPO DE EMPRESA Y GRUPO DEL ACREEDOR "/>
    <hyperlink ref="D13:F13" r:id="rId1" display="EVOLUCIÓN DE LA DEUDA DE LAS EMPRESAS PÚBLICAS"/>
    <hyperlink ref="D13:H13" location="Reporte_Deuda_Empresas_SG_31032019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79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137</v>
      </c>
      <c r="C6" s="321"/>
      <c r="D6" s="321"/>
      <c r="E6" s="321"/>
      <c r="F6" s="88"/>
    </row>
    <row r="7" spans="2:6" s="89" customFormat="1" ht="18.75">
      <c r="B7" s="321" t="s">
        <v>136</v>
      </c>
      <c r="C7" s="321"/>
      <c r="D7" s="321"/>
      <c r="E7" s="265"/>
      <c r="F7" s="88"/>
    </row>
    <row r="8" spans="2:6" s="89" customFormat="1" ht="18.75">
      <c r="B8" s="345" t="s">
        <v>58</v>
      </c>
      <c r="C8" s="365"/>
      <c r="D8" s="365"/>
      <c r="E8" s="365"/>
      <c r="F8" s="88"/>
    </row>
    <row r="9" spans="2:6" s="89" customFormat="1" ht="18.75">
      <c r="B9" s="133" t="str">
        <f>+'DEP-C2'!B9</f>
        <v>Al 31 de marzo de 2019</v>
      </c>
      <c r="C9" s="366"/>
      <c r="D9" s="270"/>
      <c r="E9" s="270"/>
      <c r="F9" s="320">
        <f>+Portada!H39</f>
        <v>3.321</v>
      </c>
    </row>
    <row r="10" spans="2:5" ht="9.75" customHeight="1">
      <c r="B10" s="596"/>
      <c r="C10" s="596"/>
      <c r="D10" s="596"/>
      <c r="E10" s="596"/>
    </row>
    <row r="11" spans="2:5" ht="18" customHeight="1">
      <c r="B11" s="592" t="s">
        <v>97</v>
      </c>
      <c r="C11" s="592" t="s">
        <v>26</v>
      </c>
      <c r="D11" s="601" t="s">
        <v>88</v>
      </c>
      <c r="E11" s="599" t="s">
        <v>165</v>
      </c>
    </row>
    <row r="12" spans="2:6" s="81" customFormat="1" ht="18" customHeight="1">
      <c r="B12" s="593"/>
      <c r="C12" s="593"/>
      <c r="D12" s="595"/>
      <c r="E12" s="600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1" t="s">
        <v>223</v>
      </c>
      <c r="C14" s="372"/>
      <c r="D14" s="488">
        <f>SUM(D15:D25)</f>
        <v>4774678.655289998</v>
      </c>
      <c r="E14" s="383">
        <f>SUM(E15:E25)</f>
        <v>15856707.814218089</v>
      </c>
      <c r="F14" s="71"/>
    </row>
    <row r="15" spans="2:6" s="65" customFormat="1" ht="16.5" customHeight="1">
      <c r="B15" s="93" t="s">
        <v>217</v>
      </c>
      <c r="C15" s="83" t="s">
        <v>93</v>
      </c>
      <c r="D15" s="489">
        <v>2368311.05019</v>
      </c>
      <c r="E15" s="384">
        <f aca="true" t="shared" si="0" ref="E15:E25">ROUND(D15*$F$9,8)</f>
        <v>7865160.99768099</v>
      </c>
      <c r="F15" s="71"/>
    </row>
    <row r="16" spans="2:6" s="65" customFormat="1" ht="16.5" customHeight="1">
      <c r="B16" s="93" t="s">
        <v>174</v>
      </c>
      <c r="C16" s="83" t="s">
        <v>93</v>
      </c>
      <c r="D16" s="489">
        <v>1649695.70747</v>
      </c>
      <c r="E16" s="384">
        <f t="shared" si="0"/>
        <v>5478639.44450787</v>
      </c>
      <c r="F16" s="71"/>
    </row>
    <row r="17" spans="2:6" s="65" customFormat="1" ht="16.5" customHeight="1">
      <c r="B17" s="93" t="s">
        <v>215</v>
      </c>
      <c r="C17" s="83" t="s">
        <v>94</v>
      </c>
      <c r="D17" s="489">
        <v>548312.9125600001</v>
      </c>
      <c r="E17" s="384">
        <f t="shared" si="0"/>
        <v>1820947.18261176</v>
      </c>
      <c r="F17" s="71"/>
    </row>
    <row r="18" spans="2:6" s="65" customFormat="1" ht="16.5" customHeight="1">
      <c r="B18" s="93" t="s">
        <v>125</v>
      </c>
      <c r="C18" s="83" t="s">
        <v>93</v>
      </c>
      <c r="D18" s="489">
        <v>104960.52875</v>
      </c>
      <c r="E18" s="384">
        <f t="shared" si="0"/>
        <v>348573.91597875</v>
      </c>
      <c r="F18" s="71"/>
    </row>
    <row r="19" spans="2:6" s="65" customFormat="1" ht="16.5" customHeight="1">
      <c r="B19" s="93" t="s">
        <v>200</v>
      </c>
      <c r="C19" s="83" t="s">
        <v>94</v>
      </c>
      <c r="D19" s="489">
        <v>40700.29943</v>
      </c>
      <c r="E19" s="384">
        <f t="shared" si="0"/>
        <v>135165.69440703</v>
      </c>
      <c r="F19" s="71"/>
    </row>
    <row r="20" spans="2:6" s="65" customFormat="1" ht="16.5" customHeight="1">
      <c r="B20" s="93" t="s">
        <v>173</v>
      </c>
      <c r="C20" s="83" t="s">
        <v>94</v>
      </c>
      <c r="D20" s="489">
        <v>28785.9197</v>
      </c>
      <c r="E20" s="384">
        <f t="shared" si="0"/>
        <v>95598.0393237</v>
      </c>
      <c r="F20" s="71"/>
    </row>
    <row r="21" spans="2:6" s="65" customFormat="1" ht="16.5" customHeight="1">
      <c r="B21" s="93" t="s">
        <v>172</v>
      </c>
      <c r="C21" s="83" t="s">
        <v>94</v>
      </c>
      <c r="D21" s="489">
        <v>12653.46</v>
      </c>
      <c r="E21" s="384">
        <f t="shared" si="0"/>
        <v>42022.14066</v>
      </c>
      <c r="F21" s="71"/>
    </row>
    <row r="22" spans="2:6" s="65" customFormat="1" ht="16.5" customHeight="1">
      <c r="B22" s="93" t="s">
        <v>198</v>
      </c>
      <c r="C22" s="83" t="s">
        <v>94</v>
      </c>
      <c r="D22" s="489">
        <v>12615.872730000001</v>
      </c>
      <c r="E22" s="384">
        <f t="shared" si="0"/>
        <v>41897.31333633</v>
      </c>
      <c r="F22" s="71"/>
    </row>
    <row r="23" spans="2:6" s="65" customFormat="1" ht="16.5" customHeight="1">
      <c r="B23" s="93" t="s">
        <v>201</v>
      </c>
      <c r="C23" s="83" t="s">
        <v>94</v>
      </c>
      <c r="D23" s="489">
        <v>4254.87575</v>
      </c>
      <c r="E23" s="384">
        <f t="shared" si="0"/>
        <v>14130.44236575</v>
      </c>
      <c r="F23" s="71"/>
    </row>
    <row r="24" spans="2:6" s="65" customFormat="1" ht="16.5" customHeight="1">
      <c r="B24" s="66" t="s">
        <v>199</v>
      </c>
      <c r="C24" s="83" t="s">
        <v>94</v>
      </c>
      <c r="D24" s="489">
        <v>2560.9146299999998</v>
      </c>
      <c r="E24" s="384">
        <f t="shared" si="0"/>
        <v>8504.79748623</v>
      </c>
      <c r="F24" s="71"/>
    </row>
    <row r="25" spans="2:6" s="65" customFormat="1" ht="16.5" customHeight="1">
      <c r="B25" s="66" t="s">
        <v>159</v>
      </c>
      <c r="C25" s="83" t="s">
        <v>94</v>
      </c>
      <c r="D25" s="489">
        <v>1827.11408</v>
      </c>
      <c r="E25" s="384">
        <f t="shared" si="0"/>
        <v>6067.84585968</v>
      </c>
      <c r="F25" s="71"/>
    </row>
    <row r="26" spans="2:6" s="65" customFormat="1" ht="12" customHeight="1">
      <c r="B26" s="93"/>
      <c r="C26" s="83"/>
      <c r="D26" s="489"/>
      <c r="E26" s="384"/>
      <c r="F26" s="71"/>
    </row>
    <row r="27" spans="2:7" s="65" customFormat="1" ht="16.5" customHeight="1">
      <c r="B27" s="371" t="s">
        <v>116</v>
      </c>
      <c r="C27" s="372"/>
      <c r="D27" s="488">
        <f>SUM(D28:D40)</f>
        <v>78026.71679999998</v>
      </c>
      <c r="E27" s="383">
        <f>SUM(E28:E40)</f>
        <v>259126.7264928</v>
      </c>
      <c r="F27" s="91"/>
      <c r="G27" s="455"/>
    </row>
    <row r="28" spans="2:9" s="92" customFormat="1" ht="16.5" customHeight="1">
      <c r="B28" s="93" t="s">
        <v>204</v>
      </c>
      <c r="C28" s="83" t="s">
        <v>94</v>
      </c>
      <c r="D28" s="489">
        <v>45038.102909999994</v>
      </c>
      <c r="E28" s="384">
        <f aca="true" t="shared" si="1" ref="E28:E34">ROUND(D28*$F$9,8)</f>
        <v>149571.53976411</v>
      </c>
      <c r="F28" s="91"/>
      <c r="G28" s="455"/>
      <c r="H28" s="65"/>
      <c r="I28" s="65"/>
    </row>
    <row r="29" spans="2:9" s="92" customFormat="1" ht="16.5" customHeight="1">
      <c r="B29" s="93" t="s">
        <v>214</v>
      </c>
      <c r="C29" s="83" t="s">
        <v>94</v>
      </c>
      <c r="D29" s="489">
        <v>5734.226100000001</v>
      </c>
      <c r="E29" s="384">
        <f t="shared" si="1"/>
        <v>19043.3648781</v>
      </c>
      <c r="F29" s="91"/>
      <c r="G29" s="455"/>
      <c r="H29" s="65"/>
      <c r="I29" s="65"/>
    </row>
    <row r="30" spans="2:9" s="92" customFormat="1" ht="16.5" customHeight="1">
      <c r="B30" s="93" t="s">
        <v>202</v>
      </c>
      <c r="C30" s="83" t="s">
        <v>94</v>
      </c>
      <c r="D30" s="489">
        <v>5619.63156</v>
      </c>
      <c r="E30" s="384">
        <f t="shared" si="1"/>
        <v>18662.79641076</v>
      </c>
      <c r="F30" s="91"/>
      <c r="G30" s="455"/>
      <c r="H30" s="65"/>
      <c r="I30" s="65"/>
    </row>
    <row r="31" spans="2:9" s="92" customFormat="1" ht="16.5" customHeight="1">
      <c r="B31" s="66" t="s">
        <v>212</v>
      </c>
      <c r="C31" s="83" t="s">
        <v>94</v>
      </c>
      <c r="D31" s="489">
        <v>4367.760920000001</v>
      </c>
      <c r="E31" s="384">
        <f>ROUND(D31*$F$9,8)</f>
        <v>14505.33401532</v>
      </c>
      <c r="F31" s="91"/>
      <c r="G31" s="455"/>
      <c r="H31" s="65"/>
      <c r="I31" s="65"/>
    </row>
    <row r="32" spans="2:9" s="92" customFormat="1" ht="16.5" customHeight="1">
      <c r="B32" s="66" t="s">
        <v>70</v>
      </c>
      <c r="C32" s="83" t="s">
        <v>94</v>
      </c>
      <c r="D32" s="489">
        <v>4035.8685699999996</v>
      </c>
      <c r="E32" s="384">
        <f t="shared" si="1"/>
        <v>13403.11952097</v>
      </c>
      <c r="F32" s="91"/>
      <c r="G32" s="455"/>
      <c r="H32" s="65"/>
      <c r="I32" s="65"/>
    </row>
    <row r="33" spans="2:9" s="92" customFormat="1" ht="16.5" customHeight="1">
      <c r="B33" s="93" t="s">
        <v>203</v>
      </c>
      <c r="C33" s="83" t="s">
        <v>94</v>
      </c>
      <c r="D33" s="489">
        <v>3234.68314</v>
      </c>
      <c r="E33" s="384">
        <f>ROUND(D33*$F$9,8)</f>
        <v>10742.38270794</v>
      </c>
      <c r="F33" s="91"/>
      <c r="G33" s="455"/>
      <c r="H33" s="65"/>
      <c r="I33" s="65"/>
    </row>
    <row r="34" spans="2:9" s="92" customFormat="1" ht="16.5" customHeight="1">
      <c r="B34" s="66" t="s">
        <v>44</v>
      </c>
      <c r="C34" s="83" t="s">
        <v>94</v>
      </c>
      <c r="D34" s="489">
        <v>2822.16259</v>
      </c>
      <c r="E34" s="384">
        <f t="shared" si="1"/>
        <v>9372.40196139</v>
      </c>
      <c r="F34" s="91"/>
      <c r="G34" s="455"/>
      <c r="H34" s="65"/>
      <c r="I34" s="65"/>
    </row>
    <row r="35" spans="2:9" s="92" customFormat="1" ht="16.5" customHeight="1">
      <c r="B35" s="66" t="s">
        <v>42</v>
      </c>
      <c r="C35" s="83" t="s">
        <v>94</v>
      </c>
      <c r="D35" s="489">
        <v>2356.4102299999995</v>
      </c>
      <c r="E35" s="384">
        <f aca="true" t="shared" si="2" ref="E35:E40">ROUND(D35*$F$9,8)</f>
        <v>7825.63837383</v>
      </c>
      <c r="F35" s="91"/>
      <c r="G35" s="455"/>
      <c r="H35" s="65"/>
      <c r="I35" s="65"/>
    </row>
    <row r="36" spans="2:9" s="92" customFormat="1" ht="16.5" customHeight="1">
      <c r="B36" s="66" t="s">
        <v>49</v>
      </c>
      <c r="C36" s="83" t="s">
        <v>94</v>
      </c>
      <c r="D36" s="489">
        <v>2262.00443</v>
      </c>
      <c r="E36" s="384">
        <f t="shared" si="2"/>
        <v>7512.11671203</v>
      </c>
      <c r="F36" s="91"/>
      <c r="G36" s="455"/>
      <c r="H36" s="65"/>
      <c r="I36" s="65"/>
    </row>
    <row r="37" spans="2:9" s="92" customFormat="1" ht="16.5" customHeight="1">
      <c r="B37" s="66" t="s">
        <v>51</v>
      </c>
      <c r="C37" s="83" t="s">
        <v>94</v>
      </c>
      <c r="D37" s="489">
        <v>1580.00558</v>
      </c>
      <c r="E37" s="384">
        <f t="shared" si="2"/>
        <v>5247.19853118</v>
      </c>
      <c r="F37" s="91"/>
      <c r="G37" s="455"/>
      <c r="H37" s="65"/>
      <c r="I37" s="65"/>
    </row>
    <row r="38" spans="2:9" s="92" customFormat="1" ht="16.5" customHeight="1">
      <c r="B38" s="66" t="s">
        <v>213</v>
      </c>
      <c r="C38" s="83" t="s">
        <v>94</v>
      </c>
      <c r="D38" s="489">
        <v>593.9776899999999</v>
      </c>
      <c r="E38" s="384">
        <f t="shared" si="2"/>
        <v>1972.59990849</v>
      </c>
      <c r="F38" s="91"/>
      <c r="G38" s="455"/>
      <c r="H38" s="65"/>
      <c r="I38" s="65"/>
    </row>
    <row r="39" spans="2:9" s="92" customFormat="1" ht="16.5" customHeight="1">
      <c r="B39" s="66" t="s">
        <v>237</v>
      </c>
      <c r="C39" s="83" t="s">
        <v>94</v>
      </c>
      <c r="D39" s="489">
        <v>291.56256</v>
      </c>
      <c r="E39" s="384">
        <f t="shared" si="2"/>
        <v>968.27926176</v>
      </c>
      <c r="F39" s="91"/>
      <c r="G39" s="455"/>
      <c r="H39" s="65"/>
      <c r="I39" s="65"/>
    </row>
    <row r="40" spans="2:9" s="92" customFormat="1" ht="16.5" customHeight="1">
      <c r="B40" s="66" t="s">
        <v>43</v>
      </c>
      <c r="C40" s="83" t="s">
        <v>94</v>
      </c>
      <c r="D40" s="489">
        <v>90.32052</v>
      </c>
      <c r="E40" s="384">
        <f t="shared" si="2"/>
        <v>299.95444692</v>
      </c>
      <c r="F40" s="91"/>
      <c r="G40" s="455"/>
      <c r="H40" s="65"/>
      <c r="I40" s="65"/>
    </row>
    <row r="41" spans="2:7" s="65" customFormat="1" ht="12" customHeight="1">
      <c r="B41" s="93"/>
      <c r="C41" s="83"/>
      <c r="D41" s="489"/>
      <c r="E41" s="384"/>
      <c r="F41" s="91"/>
      <c r="G41" s="455"/>
    </row>
    <row r="42" spans="2:9" s="92" customFormat="1" ht="16.5" customHeight="1">
      <c r="B42" s="371" t="s">
        <v>87</v>
      </c>
      <c r="C42" s="372"/>
      <c r="D42" s="488">
        <f>+D43</f>
        <v>3236717.1234</v>
      </c>
      <c r="E42" s="491">
        <f>+E43</f>
        <v>10749137.5668114</v>
      </c>
      <c r="F42" s="91"/>
      <c r="G42" s="455"/>
      <c r="H42" s="65"/>
      <c r="I42" s="65"/>
    </row>
    <row r="43" spans="2:9" s="92" customFormat="1" ht="16.5" customHeight="1">
      <c r="B43" s="93" t="s">
        <v>207</v>
      </c>
      <c r="C43" s="83" t="s">
        <v>94</v>
      </c>
      <c r="D43" s="489">
        <v>3236717.1234</v>
      </c>
      <c r="E43" s="384">
        <f>ROUND(D43*$F$9,8)</f>
        <v>10749137.5668114</v>
      </c>
      <c r="F43" s="91"/>
      <c r="G43" s="455"/>
      <c r="H43" s="65"/>
      <c r="I43" s="65"/>
    </row>
    <row r="44" spans="2:7" s="65" customFormat="1" ht="9.75" customHeight="1">
      <c r="B44" s="84"/>
      <c r="C44" s="85"/>
      <c r="D44" s="490"/>
      <c r="E44" s="487"/>
      <c r="F44" s="91"/>
      <c r="G44" s="455"/>
    </row>
    <row r="45" spans="2:9" s="81" customFormat="1" ht="15" customHeight="1">
      <c r="B45" s="588" t="s">
        <v>61</v>
      </c>
      <c r="C45" s="602"/>
      <c r="D45" s="604">
        <f>+D27+D14+D42</f>
        <v>8089422.495489998</v>
      </c>
      <c r="E45" s="590">
        <f>+E27+E14+E42</f>
        <v>26864972.107522286</v>
      </c>
      <c r="F45" s="91"/>
      <c r="G45" s="455"/>
      <c r="H45" s="65"/>
      <c r="I45" s="65"/>
    </row>
    <row r="46" spans="2:9" s="81" customFormat="1" ht="15" customHeight="1">
      <c r="B46" s="589"/>
      <c r="C46" s="603"/>
      <c r="D46" s="605"/>
      <c r="E46" s="591"/>
      <c r="F46" s="91"/>
      <c r="G46" s="455"/>
      <c r="H46" s="65"/>
      <c r="I46" s="65"/>
    </row>
    <row r="47" spans="2:9" ht="15">
      <c r="B47" s="141"/>
      <c r="C47" s="141"/>
      <c r="D47" s="141"/>
      <c r="E47" s="141"/>
      <c r="F47" s="91"/>
      <c r="G47" s="455"/>
      <c r="H47" s="65"/>
      <c r="I47" s="65"/>
    </row>
    <row r="48" spans="2:9" ht="15">
      <c r="B48" s="141"/>
      <c r="C48" s="141"/>
      <c r="D48" s="467"/>
      <c r="E48" s="430"/>
      <c r="F48" s="91"/>
      <c r="G48" s="455"/>
      <c r="H48" s="65"/>
      <c r="I48" s="65"/>
    </row>
    <row r="49" spans="2:9" ht="15">
      <c r="B49" s="141"/>
      <c r="C49" s="141"/>
      <c r="D49" s="431"/>
      <c r="E49" s="432"/>
      <c r="F49" s="91"/>
      <c r="G49" s="455"/>
      <c r="H49" s="65"/>
      <c r="I49" s="65"/>
    </row>
    <row r="50" spans="2:9" ht="15">
      <c r="B50" s="141"/>
      <c r="C50" s="432"/>
      <c r="D50" s="431"/>
      <c r="E50" s="432"/>
      <c r="F50" s="91"/>
      <c r="G50" s="455"/>
      <c r="H50" s="65"/>
      <c r="I50" s="65"/>
    </row>
    <row r="51" spans="2:9" ht="15">
      <c r="B51" s="141"/>
      <c r="C51" s="141"/>
      <c r="D51" s="433"/>
      <c r="E51" s="433"/>
      <c r="F51" s="91"/>
      <c r="G51" s="65"/>
      <c r="H51" s="65"/>
      <c r="I51" s="65"/>
    </row>
    <row r="52" spans="2:7" ht="18">
      <c r="B52" s="367" t="s">
        <v>121</v>
      </c>
      <c r="C52" s="367"/>
      <c r="D52" s="367"/>
      <c r="E52" s="367"/>
      <c r="F52" s="429"/>
      <c r="G52" s="455"/>
    </row>
    <row r="53" spans="2:7" s="89" customFormat="1" ht="18.75">
      <c r="B53" s="368" t="s">
        <v>137</v>
      </c>
      <c r="C53" s="368"/>
      <c r="D53" s="368"/>
      <c r="E53" s="368"/>
      <c r="F53" s="429"/>
      <c r="G53" s="455"/>
    </row>
    <row r="54" spans="2:7" s="89" customFormat="1" ht="18.75">
      <c r="B54" s="368" t="s">
        <v>138</v>
      </c>
      <c r="C54" s="368"/>
      <c r="D54" s="368"/>
      <c r="E54" s="259"/>
      <c r="F54" s="429"/>
      <c r="G54" s="65"/>
    </row>
    <row r="55" spans="2:7" s="89" customFormat="1" ht="18.75">
      <c r="B55" s="370" t="s">
        <v>58</v>
      </c>
      <c r="C55" s="369"/>
      <c r="D55" s="369"/>
      <c r="E55" s="369"/>
      <c r="F55" s="429"/>
      <c r="G55" s="65"/>
    </row>
    <row r="56" spans="2:7" s="89" customFormat="1" ht="18.75">
      <c r="B56" s="133" t="str">
        <f>+B9</f>
        <v>Al 31 de marzo de 2019</v>
      </c>
      <c r="C56" s="366"/>
      <c r="D56" s="258"/>
      <c r="E56" s="258"/>
      <c r="F56" s="429"/>
      <c r="G56" s="65"/>
    </row>
    <row r="57" spans="2:7" ht="6" customHeight="1">
      <c r="B57" s="606"/>
      <c r="C57" s="606"/>
      <c r="D57" s="606"/>
      <c r="E57" s="606"/>
      <c r="F57" s="429"/>
      <c r="G57" s="65"/>
    </row>
    <row r="58" spans="2:5" ht="18" customHeight="1">
      <c r="B58" s="592" t="s">
        <v>97</v>
      </c>
      <c r="C58" s="592" t="s">
        <v>26</v>
      </c>
      <c r="D58" s="601" t="s">
        <v>88</v>
      </c>
      <c r="E58" s="599" t="s">
        <v>165</v>
      </c>
    </row>
    <row r="59" spans="2:6" s="81" customFormat="1" ht="18" customHeight="1">
      <c r="B59" s="593"/>
      <c r="C59" s="593"/>
      <c r="D59" s="595"/>
      <c r="E59" s="600"/>
      <c r="F59" s="90"/>
    </row>
    <row r="60" spans="2:6" s="81" customFormat="1" ht="9.75" customHeight="1">
      <c r="B60" s="110"/>
      <c r="C60" s="257"/>
      <c r="D60" s="94"/>
      <c r="E60" s="261"/>
      <c r="F60" s="90"/>
    </row>
    <row r="61" spans="2:7" s="65" customFormat="1" ht="16.5" customHeight="1">
      <c r="B61" s="371" t="s">
        <v>86</v>
      </c>
      <c r="C61" s="372"/>
      <c r="D61" s="488">
        <f>SUM(D62:D68)</f>
        <v>77082.34537</v>
      </c>
      <c r="E61" s="383">
        <f>SUM(E62:E68)</f>
        <v>255990.46897377</v>
      </c>
      <c r="F61" s="71"/>
      <c r="G61" s="455"/>
    </row>
    <row r="62" spans="2:7" s="65" customFormat="1" ht="16.5" customHeight="1">
      <c r="B62" s="93" t="s">
        <v>175</v>
      </c>
      <c r="C62" s="83" t="s">
        <v>94</v>
      </c>
      <c r="D62" s="507">
        <v>36994.72893999999</v>
      </c>
      <c r="E62" s="384">
        <f aca="true" t="shared" si="3" ref="E62:E68">ROUND(D62*$F$9,8)</f>
        <v>122859.49480974</v>
      </c>
      <c r="F62" s="71"/>
      <c r="G62" s="455"/>
    </row>
    <row r="63" spans="2:7" s="65" customFormat="1" ht="16.5" customHeight="1">
      <c r="B63" s="93" t="s">
        <v>200</v>
      </c>
      <c r="C63" s="83" t="s">
        <v>94</v>
      </c>
      <c r="D63" s="507">
        <v>19502.487729999997</v>
      </c>
      <c r="E63" s="384">
        <f t="shared" si="3"/>
        <v>64767.76175133</v>
      </c>
      <c r="F63" s="71"/>
      <c r="G63" s="455"/>
    </row>
    <row r="64" spans="2:7" s="65" customFormat="1" ht="16.5" customHeight="1">
      <c r="B64" s="93" t="s">
        <v>225</v>
      </c>
      <c r="C64" s="83" t="s">
        <v>94</v>
      </c>
      <c r="D64" s="507">
        <v>13565.352780000001</v>
      </c>
      <c r="E64" s="384">
        <f t="shared" si="3"/>
        <v>45050.53658238</v>
      </c>
      <c r="F64" s="71"/>
      <c r="G64" s="455"/>
    </row>
    <row r="65" spans="2:7" s="65" customFormat="1" ht="16.5" customHeight="1">
      <c r="B65" s="93" t="s">
        <v>239</v>
      </c>
      <c r="C65" s="83" t="s">
        <v>94</v>
      </c>
      <c r="D65" s="507">
        <v>4991.8004200000005</v>
      </c>
      <c r="E65" s="384">
        <f t="shared" si="3"/>
        <v>16577.76919482</v>
      </c>
      <c r="F65" s="71"/>
      <c r="G65" s="455"/>
    </row>
    <row r="66" spans="2:7" s="65" customFormat="1" ht="16.5" customHeight="1">
      <c r="B66" s="93" t="s">
        <v>244</v>
      </c>
      <c r="C66" s="83" t="s">
        <v>94</v>
      </c>
      <c r="D66" s="507">
        <v>1500</v>
      </c>
      <c r="E66" s="384">
        <f t="shared" si="3"/>
        <v>4981.5</v>
      </c>
      <c r="F66" s="71"/>
      <c r="G66" s="455"/>
    </row>
    <row r="67" spans="2:7" s="65" customFormat="1" ht="16.5" customHeight="1">
      <c r="B67" s="93" t="s">
        <v>199</v>
      </c>
      <c r="C67" s="83" t="s">
        <v>94</v>
      </c>
      <c r="D67" s="507">
        <v>407.52984999999995</v>
      </c>
      <c r="E67" s="384">
        <f t="shared" si="3"/>
        <v>1353.40663185</v>
      </c>
      <c r="F67" s="71"/>
      <c r="G67" s="455"/>
    </row>
    <row r="68" spans="2:7" s="65" customFormat="1" ht="16.5" customHeight="1">
      <c r="B68" s="93" t="s">
        <v>242</v>
      </c>
      <c r="C68" s="83" t="s">
        <v>94</v>
      </c>
      <c r="D68" s="507">
        <v>120.44565</v>
      </c>
      <c r="E68" s="384">
        <f t="shared" si="3"/>
        <v>400.00000365</v>
      </c>
      <c r="F68" s="71"/>
      <c r="G68" s="455"/>
    </row>
    <row r="69" spans="2:7" s="65" customFormat="1" ht="12" customHeight="1">
      <c r="B69" s="70"/>
      <c r="C69" s="72"/>
      <c r="D69" s="492"/>
      <c r="E69" s="396"/>
      <c r="F69" s="71"/>
      <c r="G69" s="455"/>
    </row>
    <row r="70" spans="2:7" s="92" customFormat="1" ht="16.5" customHeight="1">
      <c r="B70" s="371" t="s">
        <v>160</v>
      </c>
      <c r="C70" s="72"/>
      <c r="D70" s="488">
        <f>SUM(D71:D71)</f>
        <v>446138.98440000013</v>
      </c>
      <c r="E70" s="383">
        <f>SUM(E71:E71)</f>
        <v>1481627.5671924</v>
      </c>
      <c r="F70" s="91"/>
      <c r="G70" s="506"/>
    </row>
    <row r="71" spans="2:6" s="92" customFormat="1" ht="16.5" customHeight="1">
      <c r="B71" s="93" t="s">
        <v>207</v>
      </c>
      <c r="C71" s="83" t="s">
        <v>94</v>
      </c>
      <c r="D71" s="489">
        <v>446138.98440000013</v>
      </c>
      <c r="E71" s="384">
        <f>ROUND(D71*$F$9,8)</f>
        <v>1481627.5671924</v>
      </c>
      <c r="F71" s="91"/>
    </row>
    <row r="72" spans="2:6" s="65" customFormat="1" ht="9.75" customHeight="1">
      <c r="B72" s="84"/>
      <c r="C72" s="85"/>
      <c r="D72" s="490"/>
      <c r="E72" s="487"/>
      <c r="F72" s="71"/>
    </row>
    <row r="73" spans="2:6" s="81" customFormat="1" ht="15" customHeight="1">
      <c r="B73" s="588" t="s">
        <v>61</v>
      </c>
      <c r="C73" s="602"/>
      <c r="D73" s="604">
        <f>+D61+D70</f>
        <v>523221.3297700001</v>
      </c>
      <c r="E73" s="590">
        <f>+E61+E70</f>
        <v>1737618.0361661701</v>
      </c>
      <c r="F73" s="90"/>
    </row>
    <row r="74" spans="2:6" s="81" customFormat="1" ht="15" customHeight="1">
      <c r="B74" s="589"/>
      <c r="C74" s="603"/>
      <c r="D74" s="605"/>
      <c r="E74" s="591"/>
      <c r="F74" s="90"/>
    </row>
    <row r="76" spans="2:5" ht="15">
      <c r="B76" s="134"/>
      <c r="D76" s="373"/>
      <c r="E76" s="295"/>
    </row>
    <row r="77" spans="2:5" ht="15">
      <c r="B77" s="134"/>
      <c r="D77" s="373"/>
      <c r="E77" s="295"/>
    </row>
    <row r="78" spans="4:5" ht="12.75">
      <c r="D78" s="296"/>
      <c r="E78" s="296"/>
    </row>
    <row r="79" spans="4:5" ht="12.75">
      <c r="D79" s="245"/>
      <c r="E79" s="245"/>
    </row>
  </sheetData>
  <sheetProtection/>
  <mergeCells count="18">
    <mergeCell ref="B58:B59"/>
    <mergeCell ref="C58:C59"/>
    <mergeCell ref="D58:D59"/>
    <mergeCell ref="E58:E59"/>
    <mergeCell ref="B45:B46"/>
    <mergeCell ref="C45:C46"/>
    <mergeCell ref="D45:D46"/>
    <mergeCell ref="E45:E46"/>
    <mergeCell ref="B10:E10"/>
    <mergeCell ref="B11:B12"/>
    <mergeCell ref="C11:C12"/>
    <mergeCell ref="E11:E12"/>
    <mergeCell ref="D11:D12"/>
    <mergeCell ref="E73:E74"/>
    <mergeCell ref="B73:B74"/>
    <mergeCell ref="C73:C74"/>
    <mergeCell ref="D73:D74"/>
    <mergeCell ref="B57:E5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49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07"/>
      <c r="C1" s="607"/>
      <c r="D1" s="607"/>
      <c r="E1" s="607"/>
    </row>
    <row r="2" spans="2:5" s="136" customFormat="1" ht="18.75" customHeight="1">
      <c r="B2" s="607"/>
      <c r="C2" s="607"/>
      <c r="D2" s="607"/>
      <c r="E2" s="607"/>
    </row>
    <row r="3" spans="2:5" s="136" customFormat="1" ht="11.25" customHeight="1">
      <c r="B3" s="607"/>
      <c r="C3" s="607"/>
      <c r="D3" s="607"/>
      <c r="E3" s="607"/>
    </row>
    <row r="4" spans="2:11" s="136" customFormat="1" ht="15" customHeight="1">
      <c r="B4" s="607"/>
      <c r="C4" s="607"/>
      <c r="D4" s="607"/>
      <c r="E4" s="607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137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136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5" t="s">
        <v>106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marzo de 2019</v>
      </c>
      <c r="C9" s="133"/>
      <c r="D9" s="133"/>
      <c r="E9" s="267"/>
      <c r="F9" s="374">
        <f>+Portada!H39</f>
        <v>3.321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402" t="s">
        <v>218</v>
      </c>
      <c r="C11" s="613" t="s">
        <v>102</v>
      </c>
      <c r="D11" s="615" t="s">
        <v>88</v>
      </c>
      <c r="E11" s="584" t="s">
        <v>165</v>
      </c>
      <c r="G11" s="132"/>
      <c r="H11" s="132"/>
      <c r="I11" s="132"/>
      <c r="J11" s="132"/>
      <c r="K11" s="132"/>
    </row>
    <row r="12" spans="2:11" s="81" customFormat="1" ht="16.5" customHeight="1">
      <c r="B12" s="401" t="s">
        <v>219</v>
      </c>
      <c r="C12" s="614"/>
      <c r="D12" s="616"/>
      <c r="E12" s="585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4" t="s">
        <v>90</v>
      </c>
      <c r="C14" s="364"/>
      <c r="D14" s="383">
        <f>+D15+D17+D19+D21+D24</f>
        <v>3966455.20908</v>
      </c>
      <c r="E14" s="383">
        <f>+E15+E17+E19+E21+E24</f>
        <v>13172597.74936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86">
        <f>+D16</f>
        <v>1236717.1234000002</v>
      </c>
      <c r="E15" s="486">
        <f>+E16</f>
        <v>4107137.56681</v>
      </c>
      <c r="G15" s="165"/>
      <c r="H15" s="165"/>
      <c r="I15" s="165"/>
      <c r="J15" s="165"/>
      <c r="K15" s="165"/>
    </row>
    <row r="16" spans="2:11" s="65" customFormat="1" ht="16.5" customHeight="1">
      <c r="B16" s="390" t="s">
        <v>245</v>
      </c>
      <c r="C16" s="74" t="s">
        <v>104</v>
      </c>
      <c r="D16" s="386">
        <v>1236717.1234000002</v>
      </c>
      <c r="E16" s="386">
        <f>ROUND(+D16*$F$9,5)</f>
        <v>4107137.56681</v>
      </c>
      <c r="G16" s="165"/>
      <c r="H16" s="165"/>
      <c r="I16" s="165"/>
      <c r="J16" s="165"/>
      <c r="K16" s="165"/>
    </row>
    <row r="17" spans="2:11" s="65" customFormat="1" ht="16.5" customHeight="1">
      <c r="B17" s="73" t="s">
        <v>126</v>
      </c>
      <c r="C17" s="74"/>
      <c r="D17" s="486">
        <f>+D18</f>
        <v>2155.98104</v>
      </c>
      <c r="E17" s="486">
        <f>+E18</f>
        <v>7160.01303</v>
      </c>
      <c r="G17" s="165"/>
      <c r="H17" s="165"/>
      <c r="I17" s="165"/>
      <c r="J17" s="165"/>
      <c r="K17" s="165"/>
    </row>
    <row r="18" spans="2:11" s="65" customFormat="1" ht="16.5" customHeight="1">
      <c r="B18" s="390" t="s">
        <v>190</v>
      </c>
      <c r="C18" s="74" t="s">
        <v>103</v>
      </c>
      <c r="D18" s="386">
        <v>2155.98104</v>
      </c>
      <c r="E18" s="386">
        <f aca="true" t="shared" si="0" ref="E18:E23">ROUND(+D18*$F$9,5)</f>
        <v>7160.01303</v>
      </c>
      <c r="G18" s="165"/>
      <c r="H18" s="165"/>
      <c r="I18" s="165"/>
      <c r="J18" s="165"/>
      <c r="K18" s="165"/>
    </row>
    <row r="19" spans="2:11" s="65" customFormat="1" ht="16.5" customHeight="1">
      <c r="B19" s="73" t="s">
        <v>76</v>
      </c>
      <c r="C19" s="74"/>
      <c r="D19" s="486">
        <f>+D20</f>
        <v>2000000</v>
      </c>
      <c r="E19" s="486">
        <f>+E20</f>
        <v>6642000</v>
      </c>
      <c r="G19" s="165"/>
      <c r="H19" s="165"/>
      <c r="I19" s="165"/>
      <c r="J19" s="165"/>
      <c r="K19" s="165"/>
    </row>
    <row r="20" spans="2:11" s="65" customFormat="1" ht="16.5" customHeight="1">
      <c r="B20" s="400" t="s">
        <v>232</v>
      </c>
      <c r="C20" s="74" t="s">
        <v>104</v>
      </c>
      <c r="D20" s="386">
        <v>2000000</v>
      </c>
      <c r="E20" s="386">
        <f>ROUND(+D20*$F$9,5)</f>
        <v>6642000</v>
      </c>
      <c r="G20" s="165"/>
      <c r="H20" s="165"/>
      <c r="I20" s="165"/>
      <c r="J20" s="165"/>
      <c r="K20" s="165"/>
    </row>
    <row r="21" spans="2:11" s="65" customFormat="1" ht="16.5" customHeight="1">
      <c r="B21" s="73" t="s">
        <v>89</v>
      </c>
      <c r="C21" s="73"/>
      <c r="D21" s="486">
        <f>SUM(D22:D23)</f>
        <v>625920.44188</v>
      </c>
      <c r="E21" s="486">
        <f>SUM(E22:E23)</f>
        <v>2078681.78749</v>
      </c>
      <c r="G21" s="165"/>
      <c r="H21" s="165"/>
      <c r="I21" s="165"/>
      <c r="J21" s="165"/>
      <c r="K21" s="165"/>
    </row>
    <row r="22" spans="2:11" s="65" customFormat="1" ht="16.5" customHeight="1">
      <c r="B22" s="390" t="s">
        <v>233</v>
      </c>
      <c r="C22" s="74" t="s">
        <v>103</v>
      </c>
      <c r="D22" s="386">
        <v>385775.27531999996</v>
      </c>
      <c r="E22" s="386">
        <f t="shared" si="0"/>
        <v>1281159.68934</v>
      </c>
      <c r="G22" s="165"/>
      <c r="H22" s="165"/>
      <c r="I22" s="165"/>
      <c r="J22" s="165"/>
      <c r="K22" s="165"/>
    </row>
    <row r="23" spans="2:11" s="65" customFormat="1" ht="16.5" customHeight="1">
      <c r="B23" s="390" t="s">
        <v>187</v>
      </c>
      <c r="C23" s="74" t="s">
        <v>103</v>
      </c>
      <c r="D23" s="386">
        <v>240145.16656000004</v>
      </c>
      <c r="E23" s="386">
        <f t="shared" si="0"/>
        <v>797522.09815</v>
      </c>
      <c r="G23" s="165"/>
      <c r="H23" s="165"/>
      <c r="I23" s="165"/>
      <c r="J23" s="165"/>
      <c r="K23" s="165"/>
    </row>
    <row r="24" spans="2:11" s="65" customFormat="1" ht="16.5" customHeight="1">
      <c r="B24" s="73" t="s">
        <v>36</v>
      </c>
      <c r="C24" s="74"/>
      <c r="D24" s="486">
        <f>SUM(D25:D26)</f>
        <v>101661.66275999999</v>
      </c>
      <c r="E24" s="486">
        <f>SUM(E25:E26)</f>
        <v>337618.38203000004</v>
      </c>
      <c r="G24" s="165"/>
      <c r="H24" s="165"/>
      <c r="I24" s="165"/>
      <c r="J24" s="165"/>
      <c r="K24" s="165"/>
    </row>
    <row r="25" spans="2:11" s="65" customFormat="1" ht="16.5" customHeight="1">
      <c r="B25" s="390" t="s">
        <v>0</v>
      </c>
      <c r="C25" s="74" t="s">
        <v>103</v>
      </c>
      <c r="D25" s="386">
        <v>101571.34224</v>
      </c>
      <c r="E25" s="386">
        <f>ROUND(+D25*$F$9,5)</f>
        <v>337318.42758</v>
      </c>
      <c r="G25" s="165"/>
      <c r="H25" s="165"/>
      <c r="I25" s="165"/>
      <c r="J25" s="165"/>
      <c r="K25" s="165"/>
    </row>
    <row r="26" spans="2:11" s="65" customFormat="1" ht="16.5" customHeight="1">
      <c r="B26" s="390" t="s">
        <v>188</v>
      </c>
      <c r="C26" s="74" t="s">
        <v>103</v>
      </c>
      <c r="D26" s="386">
        <v>90.32052</v>
      </c>
      <c r="E26" s="386">
        <f>ROUND(+D26*$F$9,5)</f>
        <v>299.95445</v>
      </c>
      <c r="G26" s="165"/>
      <c r="H26" s="165"/>
      <c r="I26" s="165"/>
      <c r="J26" s="165"/>
      <c r="K26" s="165"/>
    </row>
    <row r="27" spans="2:11" s="65" customFormat="1" ht="12" customHeight="1">
      <c r="B27" s="69"/>
      <c r="C27" s="74"/>
      <c r="D27" s="384"/>
      <c r="E27" s="384"/>
      <c r="G27" s="165"/>
      <c r="H27" s="165"/>
      <c r="I27" s="165"/>
      <c r="J27" s="165"/>
      <c r="K27" s="165"/>
    </row>
    <row r="28" spans="2:11" s="65" customFormat="1" ht="21.75" customHeight="1">
      <c r="B28" s="364" t="s">
        <v>91</v>
      </c>
      <c r="C28" s="68"/>
      <c r="D28" s="383">
        <f>+D29+D34+D36+D39+D41</f>
        <v>4122967.2864099997</v>
      </c>
      <c r="E28" s="383">
        <f>+E29+E34+E36+E39+E41</f>
        <v>13692374.358180001</v>
      </c>
      <c r="F28" s="217"/>
      <c r="G28" s="428"/>
      <c r="H28" s="165"/>
      <c r="I28" s="165"/>
      <c r="J28" s="165"/>
      <c r="K28" s="165"/>
    </row>
    <row r="29" spans="2:6" s="65" customFormat="1" ht="16.5" customHeight="1">
      <c r="B29" s="73" t="s">
        <v>35</v>
      </c>
      <c r="C29" s="74"/>
      <c r="D29" s="486">
        <f>SUM(D30:D33)</f>
        <v>110851.76071000002</v>
      </c>
      <c r="E29" s="486">
        <f>SUM(E30:E33)</f>
        <v>368138.69732000004</v>
      </c>
      <c r="F29" s="262"/>
    </row>
    <row r="30" spans="2:6" s="65" customFormat="1" ht="16.5" customHeight="1">
      <c r="B30" s="390" t="s">
        <v>191</v>
      </c>
      <c r="C30" s="74" t="s">
        <v>104</v>
      </c>
      <c r="D30" s="386">
        <v>84010.84011</v>
      </c>
      <c r="E30" s="386">
        <f>ROUND(+D30*$F$9,5)</f>
        <v>279000.00001</v>
      </c>
      <c r="F30" s="390"/>
    </row>
    <row r="31" spans="2:6" s="65" customFormat="1" ht="16.5" customHeight="1">
      <c r="B31" s="390" t="s">
        <v>158</v>
      </c>
      <c r="C31" s="74" t="s">
        <v>103</v>
      </c>
      <c r="D31" s="386">
        <v>15055.70612</v>
      </c>
      <c r="E31" s="386">
        <f>ROUND(+D31*$F$9,5)</f>
        <v>50000.00002</v>
      </c>
      <c r="F31" s="390"/>
    </row>
    <row r="32" spans="2:6" s="65" customFormat="1" ht="16.5" customHeight="1">
      <c r="B32" s="390" t="s">
        <v>240</v>
      </c>
      <c r="C32" s="74" t="s">
        <v>103</v>
      </c>
      <c r="D32" s="386">
        <v>9033.42367</v>
      </c>
      <c r="E32" s="386">
        <f>ROUND(+D32*$F$9,5)</f>
        <v>30000.00001</v>
      </c>
      <c r="F32" s="390"/>
    </row>
    <row r="33" spans="2:6" s="65" customFormat="1" ht="16.5" customHeight="1">
      <c r="B33" s="390" t="s">
        <v>189</v>
      </c>
      <c r="C33" s="74" t="s">
        <v>103</v>
      </c>
      <c r="D33" s="386">
        <v>2751.79081</v>
      </c>
      <c r="E33" s="386">
        <f>ROUND(+D33*$F$9,5)</f>
        <v>9138.69728</v>
      </c>
      <c r="F33" s="390"/>
    </row>
    <row r="34" spans="2:6" s="65" customFormat="1" ht="16.5" customHeight="1">
      <c r="B34" s="73" t="s">
        <v>126</v>
      </c>
      <c r="C34" s="74"/>
      <c r="D34" s="486">
        <f>+D35</f>
        <v>11968.09283</v>
      </c>
      <c r="E34" s="486">
        <f>+E35</f>
        <v>39746.03629</v>
      </c>
      <c r="F34" s="262"/>
    </row>
    <row r="35" spans="2:7" s="65" customFormat="1" ht="16.5" customHeight="1">
      <c r="B35" s="390" t="s">
        <v>190</v>
      </c>
      <c r="C35" s="74" t="s">
        <v>103</v>
      </c>
      <c r="D35" s="386">
        <v>11968.09283</v>
      </c>
      <c r="E35" s="386">
        <f>ROUND(+D35*$F$9,5)</f>
        <v>39746.03629</v>
      </c>
      <c r="G35" s="355"/>
    </row>
    <row r="36" spans="2:5" s="65" customFormat="1" ht="16.5" customHeight="1">
      <c r="B36" s="73" t="s">
        <v>76</v>
      </c>
      <c r="C36" s="74"/>
      <c r="D36" s="486">
        <f>SUM(D37:D38)</f>
        <v>3736627.5218499997</v>
      </c>
      <c r="E36" s="486">
        <f>SUM(E37:E38)</f>
        <v>12409340.00007</v>
      </c>
    </row>
    <row r="37" spans="2:5" s="65" customFormat="1" ht="16.5" customHeight="1">
      <c r="B37" s="400" t="s">
        <v>234</v>
      </c>
      <c r="C37" s="74" t="s">
        <v>104</v>
      </c>
      <c r="D37" s="386">
        <v>3301671.18338</v>
      </c>
      <c r="E37" s="386">
        <f>ROUND(+D37*$F$9,5)</f>
        <v>10964850.00001</v>
      </c>
    </row>
    <row r="38" spans="2:5" s="65" customFormat="1" ht="16.5" customHeight="1">
      <c r="B38" s="400" t="s">
        <v>235</v>
      </c>
      <c r="C38" s="74" t="s">
        <v>103</v>
      </c>
      <c r="D38" s="386">
        <v>434956.33847</v>
      </c>
      <c r="E38" s="386">
        <f>ROUND(+D38*$F$9,5)</f>
        <v>1444490.00006</v>
      </c>
    </row>
    <row r="39" spans="2:5" s="65" customFormat="1" ht="16.5" customHeight="1">
      <c r="B39" s="73" t="s">
        <v>89</v>
      </c>
      <c r="C39" s="73"/>
      <c r="D39" s="486">
        <f>+D40</f>
        <v>42528.10061</v>
      </c>
      <c r="E39" s="486">
        <f>+E40</f>
        <v>141235.82213</v>
      </c>
    </row>
    <row r="40" spans="2:5" s="65" customFormat="1" ht="16.5" customHeight="1">
      <c r="B40" s="390" t="s">
        <v>233</v>
      </c>
      <c r="C40" s="74" t="s">
        <v>103</v>
      </c>
      <c r="D40" s="386">
        <v>42528.10061</v>
      </c>
      <c r="E40" s="386">
        <f>ROUND(+D40*$F$9,5)</f>
        <v>141235.82213</v>
      </c>
    </row>
    <row r="41" spans="2:5" s="65" customFormat="1" ht="16.5" customHeight="1">
      <c r="B41" s="73" t="s">
        <v>36</v>
      </c>
      <c r="C41" s="74"/>
      <c r="D41" s="486">
        <f>SUM(D42:D44)</f>
        <v>220991.81041</v>
      </c>
      <c r="E41" s="486">
        <f>SUM(E42:E44)</f>
        <v>733913.80237</v>
      </c>
    </row>
    <row r="42" spans="2:5" s="65" customFormat="1" ht="16.5" customHeight="1">
      <c r="B42" s="390" t="s">
        <v>168</v>
      </c>
      <c r="C42" s="74" t="s">
        <v>104</v>
      </c>
      <c r="D42" s="386">
        <v>119736.35787</v>
      </c>
      <c r="E42" s="386">
        <f>ROUND(+D42*$F$9,5)</f>
        <v>397644.44449</v>
      </c>
    </row>
    <row r="43" spans="2:7" s="65" customFormat="1" ht="16.5" customHeight="1">
      <c r="B43" s="390" t="s">
        <v>216</v>
      </c>
      <c r="C43" s="74" t="s">
        <v>103</v>
      </c>
      <c r="D43" s="386">
        <v>79442.30041</v>
      </c>
      <c r="E43" s="386">
        <f>ROUND(+D43*$F$9,5)</f>
        <v>263827.87966</v>
      </c>
      <c r="G43" s="355"/>
    </row>
    <row r="44" spans="2:8" s="65" customFormat="1" ht="16.5" customHeight="1">
      <c r="B44" s="390" t="s">
        <v>169</v>
      </c>
      <c r="C44" s="74" t="s">
        <v>104</v>
      </c>
      <c r="D44" s="386">
        <v>21813.152130000002</v>
      </c>
      <c r="E44" s="386">
        <f>ROUND(+D44*$F$9,5)</f>
        <v>72441.47822</v>
      </c>
      <c r="H44" s="363"/>
    </row>
    <row r="45" spans="2:5" s="65" customFormat="1" ht="9.75" customHeight="1">
      <c r="B45" s="143"/>
      <c r="C45" s="144"/>
      <c r="D45" s="487"/>
      <c r="E45" s="487"/>
    </row>
    <row r="46" spans="2:5" s="81" customFormat="1" ht="15" customHeight="1">
      <c r="B46" s="608" t="s">
        <v>101</v>
      </c>
      <c r="C46" s="145"/>
      <c r="D46" s="612">
        <f>+D28+D14</f>
        <v>8089422.49549</v>
      </c>
      <c r="E46" s="590">
        <f>+E28+E14</f>
        <v>26864972.107540004</v>
      </c>
    </row>
    <row r="47" spans="2:5" s="81" customFormat="1" ht="15" customHeight="1">
      <c r="B47" s="589"/>
      <c r="C47" s="146"/>
      <c r="D47" s="591"/>
      <c r="E47" s="591"/>
    </row>
    <row r="48" spans="2:5" ht="6" customHeight="1">
      <c r="B48" s="147"/>
      <c r="C48" s="147"/>
      <c r="D48" s="97"/>
      <c r="E48" s="97"/>
    </row>
    <row r="49" spans="2:5" ht="14.25" customHeight="1">
      <c r="B49" s="86" t="s">
        <v>229</v>
      </c>
      <c r="C49" s="86"/>
      <c r="D49" s="468"/>
      <c r="E49" s="65"/>
    </row>
    <row r="50" spans="2:5" ht="14.25" customHeight="1">
      <c r="B50" s="86" t="s">
        <v>231</v>
      </c>
      <c r="C50" s="86"/>
      <c r="D50" s="86"/>
      <c r="E50" s="65"/>
    </row>
    <row r="51" spans="2:5" ht="14.25" customHeight="1">
      <c r="B51" s="86" t="s">
        <v>250</v>
      </c>
      <c r="C51" s="86"/>
      <c r="D51" s="169"/>
      <c r="E51" s="65"/>
    </row>
    <row r="52" spans="2:5" ht="14.25" customHeight="1">
      <c r="B52" s="86" t="s">
        <v>251</v>
      </c>
      <c r="C52" s="86"/>
      <c r="D52" s="86"/>
      <c r="E52" s="211"/>
    </row>
    <row r="53" spans="2:5" ht="12.75">
      <c r="B53" s="469"/>
      <c r="C53" s="86"/>
      <c r="D53" s="86"/>
      <c r="E53" s="211"/>
    </row>
    <row r="54" spans="4:6" ht="15">
      <c r="D54" s="398"/>
      <c r="F54" s="214"/>
    </row>
    <row r="55" spans="2:5" ht="12.75">
      <c r="B55" s="86"/>
      <c r="D55" s="246"/>
      <c r="E55" s="246"/>
    </row>
    <row r="56" spans="2:5" ht="12.75">
      <c r="B56" s="86"/>
      <c r="D56" s="246"/>
      <c r="E56" s="246"/>
    </row>
    <row r="57" ht="12.75">
      <c r="D57" s="98"/>
    </row>
    <row r="58" spans="2:5" s="136" customFormat="1" ht="18">
      <c r="B58" s="95" t="s">
        <v>122</v>
      </c>
      <c r="C58" s="95"/>
      <c r="D58" s="95"/>
      <c r="E58" s="95"/>
    </row>
    <row r="59" spans="2:6" s="136" customFormat="1" ht="18">
      <c r="B59" s="617" t="s">
        <v>137</v>
      </c>
      <c r="C59" s="617"/>
      <c r="D59" s="617"/>
      <c r="E59" s="617"/>
      <c r="F59" s="135"/>
    </row>
    <row r="60" spans="2:6" s="136" customFormat="1" ht="18">
      <c r="B60" s="617" t="s">
        <v>138</v>
      </c>
      <c r="C60" s="617"/>
      <c r="D60" s="617"/>
      <c r="E60" s="617"/>
      <c r="F60" s="135"/>
    </row>
    <row r="61" spans="2:5" ht="16.5">
      <c r="B61" s="611" t="s">
        <v>106</v>
      </c>
      <c r="C61" s="611"/>
      <c r="D61" s="611"/>
      <c r="E61" s="611"/>
    </row>
    <row r="62" spans="2:5" ht="15.75">
      <c r="B62" s="586" t="str">
        <f>+B9</f>
        <v>Al 31 de marzo de 2019</v>
      </c>
      <c r="C62" s="586"/>
      <c r="D62" s="586"/>
      <c r="E62" s="254"/>
    </row>
    <row r="63" spans="2:5" ht="9.75" customHeight="1">
      <c r="B63" s="184"/>
      <c r="C63" s="184"/>
      <c r="D63" s="184"/>
      <c r="E63" s="184"/>
    </row>
    <row r="64" spans="2:5" ht="16.5" customHeight="1">
      <c r="B64" s="402" t="s">
        <v>218</v>
      </c>
      <c r="C64" s="613" t="s">
        <v>102</v>
      </c>
      <c r="D64" s="615" t="s">
        <v>88</v>
      </c>
      <c r="E64" s="584" t="s">
        <v>165</v>
      </c>
    </row>
    <row r="65" spans="2:5" s="81" customFormat="1" ht="16.5" customHeight="1">
      <c r="B65" s="401" t="s">
        <v>219</v>
      </c>
      <c r="C65" s="614"/>
      <c r="D65" s="616"/>
      <c r="E65" s="585"/>
    </row>
    <row r="66" spans="2:5" s="81" customFormat="1" ht="9.75" customHeight="1">
      <c r="B66" s="191"/>
      <c r="C66" s="142"/>
      <c r="D66" s="96"/>
      <c r="E66" s="96"/>
    </row>
    <row r="67" spans="2:5" s="65" customFormat="1" ht="16.5" customHeight="1">
      <c r="B67" s="364" t="s">
        <v>90</v>
      </c>
      <c r="C67" s="364"/>
      <c r="D67" s="403">
        <f>+D68</f>
        <v>523221.32976999995</v>
      </c>
      <c r="E67" s="403">
        <f>+E68</f>
        <v>1737618.0361600001</v>
      </c>
    </row>
    <row r="68" spans="2:5" s="65" customFormat="1" ht="16.5" customHeight="1">
      <c r="B68" s="73" t="s">
        <v>35</v>
      </c>
      <c r="C68" s="73"/>
      <c r="D68" s="404">
        <f>SUM(D69:D78)</f>
        <v>523221.32976999995</v>
      </c>
      <c r="E68" s="404">
        <f>SUM(E69:E78)</f>
        <v>1737618.0361600001</v>
      </c>
    </row>
    <row r="69" spans="2:6" s="65" customFormat="1" ht="16.5" customHeight="1">
      <c r="B69" s="390" t="s">
        <v>241</v>
      </c>
      <c r="C69" s="74" t="s">
        <v>104</v>
      </c>
      <c r="D69" s="434">
        <v>154026.47848</v>
      </c>
      <c r="E69" s="399">
        <f aca="true" t="shared" si="1" ref="E69:E78">ROUND(+D69*$F$9,5)</f>
        <v>511521.93503</v>
      </c>
      <c r="F69" s="390"/>
    </row>
    <row r="70" spans="2:6" s="65" customFormat="1" ht="16.5" customHeight="1">
      <c r="B70" s="390" t="s">
        <v>192</v>
      </c>
      <c r="C70" s="74" t="s">
        <v>103</v>
      </c>
      <c r="D70" s="434">
        <v>95051.91854999999</v>
      </c>
      <c r="E70" s="399">
        <f t="shared" si="1"/>
        <v>315667.4215</v>
      </c>
      <c r="F70" s="390"/>
    </row>
    <row r="71" spans="2:6" s="65" customFormat="1" ht="16.5" customHeight="1">
      <c r="B71" s="390" t="s">
        <v>193</v>
      </c>
      <c r="C71" s="74" t="s">
        <v>103</v>
      </c>
      <c r="D71" s="434">
        <v>93678.5682</v>
      </c>
      <c r="E71" s="399">
        <f t="shared" si="1"/>
        <v>311106.52499</v>
      </c>
      <c r="F71" s="390"/>
    </row>
    <row r="72" spans="2:6" s="65" customFormat="1" ht="16.5" customHeight="1">
      <c r="B72" s="390" t="s">
        <v>170</v>
      </c>
      <c r="C72" s="74" t="s">
        <v>104</v>
      </c>
      <c r="D72" s="434">
        <v>77287.92208</v>
      </c>
      <c r="E72" s="399">
        <f t="shared" si="1"/>
        <v>256673.18923</v>
      </c>
      <c r="F72" s="390"/>
    </row>
    <row r="73" spans="2:6" s="65" customFormat="1" ht="16.5" customHeight="1">
      <c r="B73" s="390" t="s">
        <v>243</v>
      </c>
      <c r="C73" s="74" t="s">
        <v>104</v>
      </c>
      <c r="D73" s="434">
        <v>55792.26616</v>
      </c>
      <c r="E73" s="399">
        <f t="shared" si="1"/>
        <v>185286.11592</v>
      </c>
      <c r="F73" s="390"/>
    </row>
    <row r="74" spans="2:6" s="65" customFormat="1" ht="16.5" customHeight="1">
      <c r="B74" s="390" t="s">
        <v>169</v>
      </c>
      <c r="C74" s="74" t="s">
        <v>104</v>
      </c>
      <c r="D74" s="434">
        <v>28098.89095</v>
      </c>
      <c r="E74" s="399">
        <f t="shared" si="1"/>
        <v>93316.41684</v>
      </c>
      <c r="F74" s="390"/>
    </row>
    <row r="75" spans="2:6" s="65" customFormat="1" ht="16.5" customHeight="1">
      <c r="B75" s="390" t="s">
        <v>158</v>
      </c>
      <c r="C75" s="74" t="s">
        <v>103</v>
      </c>
      <c r="D75" s="434">
        <v>15669.614740000003</v>
      </c>
      <c r="E75" s="399">
        <f t="shared" si="1"/>
        <v>52038.79055</v>
      </c>
      <c r="F75" s="390"/>
    </row>
    <row r="76" spans="2:6" s="65" customFormat="1" ht="16.5" customHeight="1">
      <c r="B76" s="390" t="s">
        <v>189</v>
      </c>
      <c r="C76" s="74" t="s">
        <v>103</v>
      </c>
      <c r="D76" s="434">
        <v>1745.1548299999997</v>
      </c>
      <c r="E76" s="399">
        <f t="shared" si="1"/>
        <v>5795.65919</v>
      </c>
      <c r="F76" s="390"/>
    </row>
    <row r="77" spans="2:6" s="65" customFormat="1" ht="16.5" customHeight="1">
      <c r="B77" s="517" t="s">
        <v>246</v>
      </c>
      <c r="C77" s="74" t="s">
        <v>103</v>
      </c>
      <c r="D77" s="434">
        <v>1500</v>
      </c>
      <c r="E77" s="399">
        <f t="shared" si="1"/>
        <v>4981.5</v>
      </c>
      <c r="F77" s="390"/>
    </row>
    <row r="78" spans="2:6" s="65" customFormat="1" ht="16.5" customHeight="1">
      <c r="B78" s="390" t="s">
        <v>171</v>
      </c>
      <c r="C78" s="74" t="s">
        <v>103</v>
      </c>
      <c r="D78" s="434">
        <v>370.51578</v>
      </c>
      <c r="E78" s="399">
        <f t="shared" si="1"/>
        <v>1230.48291</v>
      </c>
      <c r="F78" s="390"/>
    </row>
    <row r="79" spans="2:6" s="65" customFormat="1" ht="16.5" customHeight="1" hidden="1">
      <c r="B79" s="73" t="s">
        <v>126</v>
      </c>
      <c r="C79" s="75"/>
      <c r="D79" s="404">
        <f>+D80</f>
        <v>0</v>
      </c>
      <c r="E79" s="404">
        <f>+E80</f>
        <v>0</v>
      </c>
      <c r="F79" s="390" t="s">
        <v>236</v>
      </c>
    </row>
    <row r="80" spans="2:5" s="65" customFormat="1" ht="16.5" customHeight="1" hidden="1">
      <c r="B80" s="390" t="s">
        <v>190</v>
      </c>
      <c r="C80" s="74" t="s">
        <v>103</v>
      </c>
      <c r="D80" s="434">
        <v>0</v>
      </c>
      <c r="E80" s="399">
        <f>ROUND(+D80*$F$9,5)</f>
        <v>0</v>
      </c>
    </row>
    <row r="81" spans="2:9" s="65" customFormat="1" ht="9.75" customHeight="1">
      <c r="B81" s="143"/>
      <c r="C81" s="143"/>
      <c r="D81" s="405"/>
      <c r="E81" s="405"/>
      <c r="G81" s="455"/>
      <c r="H81" s="455"/>
      <c r="I81" s="455"/>
    </row>
    <row r="82" spans="2:7" s="81" customFormat="1" ht="15" customHeight="1">
      <c r="B82" s="608" t="s">
        <v>101</v>
      </c>
      <c r="C82" s="145"/>
      <c r="D82" s="609">
        <f>+D67</f>
        <v>523221.32976999995</v>
      </c>
      <c r="E82" s="609">
        <f>+E67</f>
        <v>1737618.0361600001</v>
      </c>
      <c r="G82" s="65"/>
    </row>
    <row r="83" spans="2:7" s="81" customFormat="1" ht="15" customHeight="1">
      <c r="B83" s="589"/>
      <c r="C83" s="146"/>
      <c r="D83" s="610"/>
      <c r="E83" s="610"/>
      <c r="G83" s="65"/>
    </row>
    <row r="84" spans="2:7" ht="7.5" customHeight="1">
      <c r="B84" s="147"/>
      <c r="C84" s="147"/>
      <c r="D84" s="97"/>
      <c r="E84" s="97"/>
      <c r="G84" s="65"/>
    </row>
    <row r="85" spans="4:7" ht="14.25">
      <c r="D85" s="444"/>
      <c r="E85" s="247"/>
      <c r="G85" s="65"/>
    </row>
    <row r="86" spans="4:7" ht="14.25">
      <c r="D86" s="248"/>
      <c r="G86" s="65"/>
    </row>
    <row r="87" spans="4:7" ht="14.25">
      <c r="D87" s="98"/>
      <c r="E87" s="98"/>
      <c r="G87" s="65"/>
    </row>
    <row r="88" ht="14.25">
      <c r="G88" s="65"/>
    </row>
    <row r="89" ht="14.25"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</sheetData>
  <sheetProtection/>
  <mergeCells count="20">
    <mergeCell ref="C64:C65"/>
    <mergeCell ref="C11:C12"/>
    <mergeCell ref="D11:D12"/>
    <mergeCell ref="B62:D62"/>
    <mergeCell ref="E46:E47"/>
    <mergeCell ref="B59:E59"/>
    <mergeCell ref="B46:B47"/>
    <mergeCell ref="D64:D65"/>
    <mergeCell ref="B60:E60"/>
    <mergeCell ref="E64:E65"/>
    <mergeCell ref="B1:E1"/>
    <mergeCell ref="B2:E2"/>
    <mergeCell ref="B3:E3"/>
    <mergeCell ref="B4:E4"/>
    <mergeCell ref="E11:E12"/>
    <mergeCell ref="B82:B83"/>
    <mergeCell ref="D82:D83"/>
    <mergeCell ref="E82:E83"/>
    <mergeCell ref="B61:E61"/>
    <mergeCell ref="D46:D4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6:E29 E36:E41 E34 E17:E25 E1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2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98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5" t="s">
        <v>16</v>
      </c>
      <c r="C5" s="375"/>
      <c r="D5" s="375"/>
      <c r="P5" s="196"/>
    </row>
    <row r="6" spans="2:16" ht="18">
      <c r="B6" s="376" t="s">
        <v>137</v>
      </c>
      <c r="C6" s="376"/>
      <c r="D6" s="376"/>
      <c r="P6" s="196"/>
    </row>
    <row r="7" spans="2:16" ht="18">
      <c r="B7" s="376" t="s">
        <v>136</v>
      </c>
      <c r="C7" s="376"/>
      <c r="D7" s="376"/>
      <c r="E7" s="297"/>
      <c r="P7" s="196"/>
    </row>
    <row r="8" spans="2:16" ht="16.5">
      <c r="B8" s="380" t="s">
        <v>59</v>
      </c>
      <c r="C8" s="377"/>
      <c r="D8" s="377"/>
      <c r="P8" s="196"/>
    </row>
    <row r="9" spans="2:16" ht="15.75">
      <c r="B9" s="378" t="str">
        <f>+'DEP-C2'!B9</f>
        <v>Al 31 de marzo de 2019</v>
      </c>
      <c r="C9" s="378"/>
      <c r="D9" s="298"/>
      <c r="E9" s="379">
        <f>+Portada!H39</f>
        <v>3.321</v>
      </c>
      <c r="P9" s="196"/>
    </row>
    <row r="10" spans="2:16" s="77" customFormat="1" ht="9.75" customHeight="1">
      <c r="B10" s="534"/>
      <c r="C10" s="534"/>
      <c r="D10" s="534"/>
      <c r="E10" s="212"/>
      <c r="P10" s="197"/>
    </row>
    <row r="11" spans="2:16" ht="16.5" customHeight="1">
      <c r="B11" s="552" t="s">
        <v>98</v>
      </c>
      <c r="C11" s="618" t="s">
        <v>88</v>
      </c>
      <c r="D11" s="620" t="s">
        <v>165</v>
      </c>
      <c r="P11" s="196"/>
    </row>
    <row r="12" spans="2:16" s="111" customFormat="1" ht="16.5" customHeight="1">
      <c r="B12" s="553"/>
      <c r="C12" s="619"/>
      <c r="D12" s="621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208</v>
      </c>
      <c r="C14" s="385">
        <f>+C16+C32</f>
        <v>7661119.119560001</v>
      </c>
      <c r="D14" s="385">
        <f>+D16+D32</f>
        <v>25442576.596079998</v>
      </c>
      <c r="E14" s="249"/>
      <c r="F14" s="387"/>
      <c r="G14" s="299"/>
      <c r="H14" s="299"/>
      <c r="P14" s="197"/>
    </row>
    <row r="15" spans="2:16" s="77" customFormat="1" ht="9.75" customHeight="1">
      <c r="B15" s="79"/>
      <c r="C15" s="383"/>
      <c r="D15" s="385"/>
      <c r="E15" s="249"/>
      <c r="F15" s="388"/>
      <c r="G15" s="299"/>
      <c r="H15" s="299"/>
      <c r="P15" s="197"/>
    </row>
    <row r="16" spans="2:16" s="77" customFormat="1" ht="16.5" customHeight="1">
      <c r="B16" s="78" t="s">
        <v>66</v>
      </c>
      <c r="C16" s="383">
        <f>SUM(C17:C30)</f>
        <v>3580679.9337600004</v>
      </c>
      <c r="D16" s="383">
        <f>SUM(D17:D30)</f>
        <v>11891438.06003</v>
      </c>
      <c r="E16" s="472"/>
      <c r="F16" s="389"/>
      <c r="P16" s="197"/>
    </row>
    <row r="17" spans="2:16" s="77" customFormat="1" ht="16.5" customHeight="1">
      <c r="B17" s="381" t="s">
        <v>207</v>
      </c>
      <c r="C17" s="508">
        <v>3236717.1234</v>
      </c>
      <c r="D17" s="384">
        <f aca="true" t="shared" si="0" ref="D17:D23">ROUND(+C17*$E$9,5)</f>
        <v>10749137.56681</v>
      </c>
      <c r="E17" s="472"/>
      <c r="F17" s="389"/>
      <c r="P17" s="197"/>
    </row>
    <row r="18" spans="2:16" s="77" customFormat="1" ht="16.5" customHeight="1">
      <c r="B18" s="381" t="s">
        <v>215</v>
      </c>
      <c r="C18" s="508">
        <v>180492.90386000002</v>
      </c>
      <c r="D18" s="384">
        <f t="shared" si="0"/>
        <v>599416.93372</v>
      </c>
      <c r="E18" s="472"/>
      <c r="F18" s="389"/>
      <c r="P18" s="197"/>
    </row>
    <row r="19" spans="2:16" s="77" customFormat="1" ht="16.5" customHeight="1">
      <c r="B19" s="381" t="s">
        <v>204</v>
      </c>
      <c r="C19" s="508">
        <v>45038.102909999994</v>
      </c>
      <c r="D19" s="384">
        <f t="shared" si="0"/>
        <v>149571.53976</v>
      </c>
      <c r="E19" s="472"/>
      <c r="F19" s="389"/>
      <c r="P19" s="197"/>
    </row>
    <row r="20" spans="2:16" s="77" customFormat="1" ht="16.5" customHeight="1">
      <c r="B20" s="381" t="s">
        <v>200</v>
      </c>
      <c r="C20" s="508">
        <v>40700.29943</v>
      </c>
      <c r="D20" s="384">
        <f t="shared" si="0"/>
        <v>135165.69441</v>
      </c>
      <c r="E20" s="472"/>
      <c r="F20" s="389"/>
      <c r="P20" s="197"/>
    </row>
    <row r="21" spans="2:16" s="77" customFormat="1" ht="16.5" customHeight="1">
      <c r="B21" s="381" t="s">
        <v>173</v>
      </c>
      <c r="C21" s="508">
        <v>28785.9197</v>
      </c>
      <c r="D21" s="384">
        <f t="shared" si="0"/>
        <v>95598.03932</v>
      </c>
      <c r="E21" s="472"/>
      <c r="F21" s="389"/>
      <c r="P21" s="197"/>
    </row>
    <row r="22" spans="2:16" s="77" customFormat="1" ht="16.5" customHeight="1">
      <c r="B22" s="381" t="s">
        <v>172</v>
      </c>
      <c r="C22" s="508">
        <v>12653.46</v>
      </c>
      <c r="D22" s="384">
        <f t="shared" si="0"/>
        <v>42022.14066</v>
      </c>
      <c r="E22" s="472"/>
      <c r="F22" s="389"/>
      <c r="P22" s="197"/>
    </row>
    <row r="23" spans="2:16" s="77" customFormat="1" ht="16.5" customHeight="1">
      <c r="B23" s="381" t="s">
        <v>206</v>
      </c>
      <c r="C23" s="508">
        <v>12615.872730000001</v>
      </c>
      <c r="D23" s="384">
        <f t="shared" si="0"/>
        <v>41897.31334</v>
      </c>
      <c r="E23" s="472"/>
      <c r="F23" s="389"/>
      <c r="P23" s="197"/>
    </row>
    <row r="24" spans="2:16" s="77" customFormat="1" ht="16.5" customHeight="1">
      <c r="B24" s="381" t="s">
        <v>214</v>
      </c>
      <c r="C24" s="508">
        <v>5653.8217</v>
      </c>
      <c r="D24" s="384">
        <f aca="true" t="shared" si="1" ref="D24:D30">ROUND(+C24*$E$9,5)</f>
        <v>18776.34187</v>
      </c>
      <c r="E24" s="472"/>
      <c r="F24" s="389"/>
      <c r="P24" s="197"/>
    </row>
    <row r="25" spans="2:16" s="77" customFormat="1" ht="16.5" customHeight="1">
      <c r="B25" s="381" t="s">
        <v>202</v>
      </c>
      <c r="C25" s="508">
        <v>5619.63156</v>
      </c>
      <c r="D25" s="384">
        <f t="shared" si="1"/>
        <v>18662.79641</v>
      </c>
      <c r="E25" s="472"/>
      <c r="F25" s="389"/>
      <c r="P25" s="197"/>
    </row>
    <row r="26" spans="2:16" s="77" customFormat="1" ht="16.5" customHeight="1">
      <c r="B26" s="381" t="s">
        <v>201</v>
      </c>
      <c r="C26" s="508">
        <v>4254.87575</v>
      </c>
      <c r="D26" s="384">
        <f t="shared" si="1"/>
        <v>14130.44237</v>
      </c>
      <c r="E26" s="472"/>
      <c r="F26" s="389"/>
      <c r="P26" s="197"/>
    </row>
    <row r="27" spans="2:16" s="77" customFormat="1" ht="16.5" customHeight="1">
      <c r="B27" s="381" t="s">
        <v>203</v>
      </c>
      <c r="C27" s="508">
        <v>3234.68314</v>
      </c>
      <c r="D27" s="384">
        <f t="shared" si="1"/>
        <v>10742.38271</v>
      </c>
      <c r="E27" s="472"/>
      <c r="F27" s="389"/>
      <c r="P27" s="197"/>
    </row>
    <row r="28" spans="2:16" s="77" customFormat="1" ht="16.5" customHeight="1">
      <c r="B28" s="381" t="s">
        <v>199</v>
      </c>
      <c r="C28" s="508">
        <v>2560.9146299999998</v>
      </c>
      <c r="D28" s="384">
        <f t="shared" si="1"/>
        <v>8504.79749</v>
      </c>
      <c r="E28" s="472"/>
      <c r="F28" s="389"/>
      <c r="P28" s="197"/>
    </row>
    <row r="29" spans="2:16" s="77" customFormat="1" ht="16.5" customHeight="1">
      <c r="B29" s="381" t="s">
        <v>49</v>
      </c>
      <c r="C29" s="508">
        <v>2262.00443</v>
      </c>
      <c r="D29" s="384">
        <f t="shared" si="1"/>
        <v>7512.11671</v>
      </c>
      <c r="E29" s="472"/>
      <c r="F29" s="389"/>
      <c r="P29" s="197"/>
    </row>
    <row r="30" spans="2:16" s="77" customFormat="1" ht="16.5" customHeight="1">
      <c r="B30" s="381" t="s">
        <v>43</v>
      </c>
      <c r="C30" s="508">
        <v>90.32052</v>
      </c>
      <c r="D30" s="384">
        <f t="shared" si="1"/>
        <v>299.95445</v>
      </c>
      <c r="E30" s="472"/>
      <c r="F30" s="389"/>
      <c r="P30" s="197"/>
    </row>
    <row r="31" spans="2:16" s="77" customFormat="1" ht="12" customHeight="1">
      <c r="B31" s="301"/>
      <c r="C31" s="386"/>
      <c r="D31" s="386"/>
      <c r="E31" s="249"/>
      <c r="F31" s="389"/>
      <c r="P31" s="197"/>
    </row>
    <row r="32" spans="2:16" s="77" customFormat="1" ht="16.5" customHeight="1">
      <c r="B32" s="78" t="s">
        <v>25</v>
      </c>
      <c r="C32" s="383">
        <f>SUM(C33:C35)</f>
        <v>4080439.1858000006</v>
      </c>
      <c r="D32" s="383">
        <f>+SUM(D33:D35)</f>
        <v>13551138.53605</v>
      </c>
      <c r="E32" s="472"/>
      <c r="F32" s="389"/>
      <c r="P32" s="197"/>
    </row>
    <row r="33" spans="2:16" s="77" customFormat="1" ht="16.5" customHeight="1">
      <c r="B33" s="381" t="s">
        <v>216</v>
      </c>
      <c r="C33" s="508">
        <v>2325782.9495800002</v>
      </c>
      <c r="D33" s="384">
        <f>ROUND(+C33*$E$9,5)</f>
        <v>7723925.17556</v>
      </c>
      <c r="E33" s="249"/>
      <c r="F33" s="389"/>
      <c r="P33" s="197"/>
    </row>
    <row r="34" spans="2:16" s="77" customFormat="1" ht="16.5" customHeight="1">
      <c r="B34" s="382" t="s">
        <v>174</v>
      </c>
      <c r="C34" s="384">
        <v>1649695.70747</v>
      </c>
      <c r="D34" s="384">
        <f>ROUND(+C34*$E$9,5)</f>
        <v>5478639.44451</v>
      </c>
      <c r="E34" s="249"/>
      <c r="F34" s="389"/>
      <c r="P34" s="197"/>
    </row>
    <row r="35" spans="2:16" s="77" customFormat="1" ht="16.5" customHeight="1">
      <c r="B35" s="381" t="s">
        <v>125</v>
      </c>
      <c r="C35" s="384">
        <v>104960.52875</v>
      </c>
      <c r="D35" s="384">
        <f>ROUND(+C35*$E$9,5)</f>
        <v>348573.91598</v>
      </c>
      <c r="E35" s="249"/>
      <c r="F35" s="389"/>
      <c r="P35" s="197"/>
    </row>
    <row r="36" spans="2:16" s="77" customFormat="1" ht="15" customHeight="1">
      <c r="B36" s="301"/>
      <c r="C36" s="493"/>
      <c r="D36" s="493"/>
      <c r="E36" s="249"/>
      <c r="F36" s="389"/>
      <c r="P36" s="197"/>
    </row>
    <row r="37" spans="2:16" s="77" customFormat="1" ht="19.5" customHeight="1">
      <c r="B37" s="79" t="s">
        <v>209</v>
      </c>
      <c r="C37" s="391">
        <f>+C39+C51</f>
        <v>428303.3759300001</v>
      </c>
      <c r="D37" s="385">
        <f>+D39+D51</f>
        <v>1422395.5114599997</v>
      </c>
      <c r="E37" s="249"/>
      <c r="F37" s="389"/>
      <c r="P37" s="197"/>
    </row>
    <row r="38" spans="2:16" s="77" customFormat="1" ht="9.75" customHeight="1">
      <c r="B38" s="79"/>
      <c r="C38" s="391"/>
      <c r="D38" s="385"/>
      <c r="E38" s="249"/>
      <c r="F38" s="389"/>
      <c r="P38" s="197"/>
    </row>
    <row r="39" spans="2:16" s="77" customFormat="1" ht="16.5" customHeight="1">
      <c r="B39" s="78" t="s">
        <v>24</v>
      </c>
      <c r="C39" s="392">
        <f>SUM(C40:C49)</f>
        <v>385775.2753200001</v>
      </c>
      <c r="D39" s="383">
        <f>SUM(D40:D49)</f>
        <v>1281159.6893299997</v>
      </c>
      <c r="E39" s="249"/>
      <c r="F39" s="456"/>
      <c r="P39" s="197"/>
    </row>
    <row r="40" spans="2:16" s="77" customFormat="1" ht="16.5" customHeight="1">
      <c r="B40" s="381" t="s">
        <v>215</v>
      </c>
      <c r="C40" s="393">
        <v>367820.00870000006</v>
      </c>
      <c r="D40" s="384">
        <f aca="true" t="shared" si="2" ref="D40:D49">ROUND(+C40*$E$9,5)</f>
        <v>1221530.24889</v>
      </c>
      <c r="E40" s="249"/>
      <c r="F40" s="456"/>
      <c r="P40" s="197"/>
    </row>
    <row r="41" spans="2:16" s="77" customFormat="1" ht="16.5" customHeight="1">
      <c r="B41" s="346" t="s">
        <v>212</v>
      </c>
      <c r="C41" s="393">
        <v>4367.760920000001</v>
      </c>
      <c r="D41" s="384">
        <f t="shared" si="2"/>
        <v>14505.33402</v>
      </c>
      <c r="E41" s="249"/>
      <c r="F41" s="456"/>
      <c r="P41" s="197"/>
    </row>
    <row r="42" spans="2:16" s="77" customFormat="1" ht="16.5" customHeight="1">
      <c r="B42" s="346" t="s">
        <v>70</v>
      </c>
      <c r="C42" s="393">
        <v>4035.8685699999996</v>
      </c>
      <c r="D42" s="384">
        <f t="shared" si="2"/>
        <v>13403.11952</v>
      </c>
      <c r="E42" s="249"/>
      <c r="F42" s="456"/>
      <c r="P42" s="197"/>
    </row>
    <row r="43" spans="2:16" s="77" customFormat="1" ht="16.5" customHeight="1">
      <c r="B43" s="346" t="s">
        <v>44</v>
      </c>
      <c r="C43" s="393">
        <v>2822.16259</v>
      </c>
      <c r="D43" s="384">
        <f t="shared" si="2"/>
        <v>9372.40196</v>
      </c>
      <c r="E43" s="249"/>
      <c r="F43" s="456"/>
      <c r="P43" s="197"/>
    </row>
    <row r="44" spans="2:16" s="77" customFormat="1" ht="16.5" customHeight="1">
      <c r="B44" s="346" t="s">
        <v>42</v>
      </c>
      <c r="C44" s="393">
        <v>2356.4102299999995</v>
      </c>
      <c r="D44" s="384">
        <f t="shared" si="2"/>
        <v>7825.63837</v>
      </c>
      <c r="E44" s="249"/>
      <c r="F44" s="456"/>
      <c r="P44" s="197"/>
    </row>
    <row r="45" spans="2:16" s="77" customFormat="1" ht="16.5" customHeight="1">
      <c r="B45" s="346" t="s">
        <v>159</v>
      </c>
      <c r="C45" s="393">
        <v>1827.11408</v>
      </c>
      <c r="D45" s="384">
        <f>ROUND(+C45*$E$9,5)</f>
        <v>6067.84586</v>
      </c>
      <c r="E45" s="249"/>
      <c r="F45" s="456"/>
      <c r="P45" s="197"/>
    </row>
    <row r="46" spans="2:16" s="77" customFormat="1" ht="16.5" customHeight="1">
      <c r="B46" s="346" t="s">
        <v>51</v>
      </c>
      <c r="C46" s="393">
        <v>1580.00558</v>
      </c>
      <c r="D46" s="384">
        <f t="shared" si="2"/>
        <v>5247.19853</v>
      </c>
      <c r="E46" s="249"/>
      <c r="F46" s="456"/>
      <c r="P46" s="197"/>
    </row>
    <row r="47" spans="2:16" s="77" customFormat="1" ht="16.5" customHeight="1">
      <c r="B47" s="346" t="s">
        <v>213</v>
      </c>
      <c r="C47" s="393">
        <v>593.9776899999999</v>
      </c>
      <c r="D47" s="384">
        <f t="shared" si="2"/>
        <v>1972.59991</v>
      </c>
      <c r="E47" s="249"/>
      <c r="F47" s="456"/>
      <c r="P47" s="197"/>
    </row>
    <row r="48" spans="2:16" s="77" customFormat="1" ht="16.5" customHeight="1">
      <c r="B48" s="346" t="s">
        <v>237</v>
      </c>
      <c r="C48" s="393">
        <v>291.56256</v>
      </c>
      <c r="D48" s="384">
        <f t="shared" si="2"/>
        <v>968.27926</v>
      </c>
      <c r="E48" s="249"/>
      <c r="F48" s="456"/>
      <c r="P48" s="197"/>
    </row>
    <row r="49" spans="2:16" s="77" customFormat="1" ht="16.5" customHeight="1">
      <c r="B49" s="346" t="s">
        <v>214</v>
      </c>
      <c r="C49" s="393">
        <v>80.4044</v>
      </c>
      <c r="D49" s="384">
        <f t="shared" si="2"/>
        <v>267.02301</v>
      </c>
      <c r="E49" s="249"/>
      <c r="F49" s="456"/>
      <c r="P49" s="197"/>
    </row>
    <row r="50" spans="2:16" s="77" customFormat="1" ht="12" customHeight="1">
      <c r="B50" s="390"/>
      <c r="C50" s="394"/>
      <c r="D50" s="386"/>
      <c r="E50" s="249"/>
      <c r="F50" s="456"/>
      <c r="G50" s="457"/>
      <c r="P50" s="197"/>
    </row>
    <row r="51" spans="2:16" s="77" customFormat="1" ht="16.5" customHeight="1">
      <c r="B51" s="78" t="s">
        <v>25</v>
      </c>
      <c r="C51" s="392">
        <f>+C52</f>
        <v>42528.10061</v>
      </c>
      <c r="D51" s="383">
        <f>+D52</f>
        <v>141235.82213</v>
      </c>
      <c r="E51" s="249"/>
      <c r="F51" s="456"/>
      <c r="P51" s="197"/>
    </row>
    <row r="52" spans="2:16" s="77" customFormat="1" ht="16.5" customHeight="1">
      <c r="B52" s="346" t="s">
        <v>216</v>
      </c>
      <c r="C52" s="445">
        <v>42528.10061</v>
      </c>
      <c r="D52" s="384">
        <f>ROUND(+C52*$E$9,5)</f>
        <v>141235.82213</v>
      </c>
      <c r="E52" s="249"/>
      <c r="F52" s="389"/>
      <c r="P52" s="197"/>
    </row>
    <row r="53" spans="2:16" s="77" customFormat="1" ht="9.75" customHeight="1">
      <c r="B53" s="76"/>
      <c r="C53" s="395"/>
      <c r="D53" s="396"/>
      <c r="E53" s="249"/>
      <c r="F53" s="389"/>
      <c r="P53" s="197"/>
    </row>
    <row r="54" spans="2:16" s="77" customFormat="1" ht="18" customHeight="1" hidden="1">
      <c r="B54" s="150"/>
      <c r="C54" s="393"/>
      <c r="D54" s="384"/>
      <c r="E54" s="249"/>
      <c r="F54" s="389"/>
      <c r="P54" s="197"/>
    </row>
    <row r="55" spans="2:16" s="77" customFormat="1" ht="21.75" customHeight="1" hidden="1">
      <c r="B55" s="79" t="s">
        <v>113</v>
      </c>
      <c r="C55" s="391">
        <f>+C56</f>
        <v>0</v>
      </c>
      <c r="D55" s="385">
        <f>+D56</f>
        <v>0</v>
      </c>
      <c r="E55" s="249"/>
      <c r="F55" s="389"/>
      <c r="H55" s="302"/>
      <c r="P55" s="197"/>
    </row>
    <row r="56" spans="2:16" s="77" customFormat="1" ht="21.75" customHeight="1" hidden="1">
      <c r="B56" s="76" t="s">
        <v>66</v>
      </c>
      <c r="C56" s="395">
        <f>+C57</f>
        <v>0</v>
      </c>
      <c r="D56" s="396">
        <f>+D57</f>
        <v>0</v>
      </c>
      <c r="E56" s="249"/>
      <c r="F56" s="389"/>
      <c r="H56" s="302"/>
      <c r="P56" s="197"/>
    </row>
    <row r="57" spans="2:16" s="77" customFormat="1" ht="21.75" customHeight="1" hidden="1">
      <c r="B57" s="300" t="s">
        <v>110</v>
      </c>
      <c r="C57" s="394">
        <v>0</v>
      </c>
      <c r="D57" s="386">
        <f>+C57*$E$9</f>
        <v>0</v>
      </c>
      <c r="E57" s="249"/>
      <c r="F57" s="389"/>
      <c r="H57" s="302"/>
      <c r="P57" s="197"/>
    </row>
    <row r="58" spans="2:16" s="77" customFormat="1" ht="19.5" customHeight="1" hidden="1">
      <c r="B58" s="150"/>
      <c r="C58" s="393"/>
      <c r="D58" s="384"/>
      <c r="E58" s="249"/>
      <c r="F58" s="389"/>
      <c r="P58" s="197"/>
    </row>
    <row r="59" spans="2:16" s="77" customFormat="1" ht="21.75" customHeight="1" hidden="1">
      <c r="B59" s="79" t="s">
        <v>139</v>
      </c>
      <c r="C59" s="391">
        <f>+C60+C84</f>
        <v>0</v>
      </c>
      <c r="D59" s="385">
        <f>+D60+D84</f>
        <v>0</v>
      </c>
      <c r="E59" s="249"/>
      <c r="F59" s="389"/>
      <c r="P59" s="197"/>
    </row>
    <row r="60" spans="2:16" s="77" customFormat="1" ht="21.75" customHeight="1" hidden="1">
      <c r="B60" s="78" t="s">
        <v>24</v>
      </c>
      <c r="C60" s="392">
        <f>SUM(C61:C82)</f>
        <v>0</v>
      </c>
      <c r="D60" s="383">
        <f>SUM(D61:D82)</f>
        <v>0</v>
      </c>
      <c r="E60" s="249"/>
      <c r="F60" s="389"/>
      <c r="P60" s="197"/>
    </row>
    <row r="61" spans="2:16" s="77" customFormat="1" ht="21.75" customHeight="1" hidden="1">
      <c r="B61" s="300" t="s">
        <v>109</v>
      </c>
      <c r="C61" s="394"/>
      <c r="D61" s="386">
        <f aca="true" t="shared" si="3" ref="D61:D82">+C61*$E$9</f>
        <v>0</v>
      </c>
      <c r="E61" s="249"/>
      <c r="F61" s="389"/>
      <c r="P61" s="197"/>
    </row>
    <row r="62" spans="2:16" s="77" customFormat="1" ht="21.75" customHeight="1" hidden="1">
      <c r="B62" s="300" t="s">
        <v>38</v>
      </c>
      <c r="C62" s="394"/>
      <c r="D62" s="386">
        <f t="shared" si="3"/>
        <v>0</v>
      </c>
      <c r="E62" s="249"/>
      <c r="F62" s="389"/>
      <c r="P62" s="197"/>
    </row>
    <row r="63" spans="2:16" s="77" customFormat="1" ht="21.75" customHeight="1" hidden="1">
      <c r="B63" s="300" t="s">
        <v>39</v>
      </c>
      <c r="C63" s="394"/>
      <c r="D63" s="386">
        <f t="shared" si="3"/>
        <v>0</v>
      </c>
      <c r="E63" s="249"/>
      <c r="F63" s="389"/>
      <c r="P63" s="197"/>
    </row>
    <row r="64" spans="2:16" s="77" customFormat="1" ht="21.75" customHeight="1" hidden="1">
      <c r="B64" s="300" t="s">
        <v>41</v>
      </c>
      <c r="C64" s="394"/>
      <c r="D64" s="386">
        <f t="shared" si="3"/>
        <v>0</v>
      </c>
      <c r="E64" s="249"/>
      <c r="F64" s="389"/>
      <c r="P64" s="197"/>
    </row>
    <row r="65" spans="2:16" s="77" customFormat="1" ht="21.75" customHeight="1" hidden="1">
      <c r="B65" s="300" t="s">
        <v>146</v>
      </c>
      <c r="C65" s="394"/>
      <c r="D65" s="386">
        <f t="shared" si="3"/>
        <v>0</v>
      </c>
      <c r="E65" s="249"/>
      <c r="F65" s="389"/>
      <c r="P65" s="197"/>
    </row>
    <row r="66" spans="2:16" s="77" customFormat="1" ht="21.75" customHeight="1" hidden="1">
      <c r="B66" s="300" t="s">
        <v>40</v>
      </c>
      <c r="C66" s="394"/>
      <c r="D66" s="386">
        <f t="shared" si="3"/>
        <v>0</v>
      </c>
      <c r="E66" s="249"/>
      <c r="F66" s="389"/>
      <c r="P66" s="197"/>
    </row>
    <row r="67" spans="2:16" s="77" customFormat="1" ht="21.75" customHeight="1" hidden="1">
      <c r="B67" s="300" t="s">
        <v>45</v>
      </c>
      <c r="C67" s="394"/>
      <c r="D67" s="386">
        <f t="shared" si="3"/>
        <v>0</v>
      </c>
      <c r="E67" s="249"/>
      <c r="F67" s="389"/>
      <c r="P67" s="197"/>
    </row>
    <row r="68" spans="2:16" s="77" customFormat="1" ht="21.75" customHeight="1" hidden="1">
      <c r="B68" s="300" t="s">
        <v>70</v>
      </c>
      <c r="C68" s="394"/>
      <c r="D68" s="386">
        <f t="shared" si="3"/>
        <v>0</v>
      </c>
      <c r="E68" s="249"/>
      <c r="F68" s="389"/>
      <c r="P68" s="197"/>
    </row>
    <row r="69" spans="2:16" s="77" customFormat="1" ht="21.75" customHeight="1" hidden="1">
      <c r="B69" s="300" t="s">
        <v>47</v>
      </c>
      <c r="C69" s="394"/>
      <c r="D69" s="386">
        <f t="shared" si="3"/>
        <v>0</v>
      </c>
      <c r="E69" s="249"/>
      <c r="F69" s="389"/>
      <c r="P69" s="197"/>
    </row>
    <row r="70" spans="2:16" s="77" customFormat="1" ht="21.75" customHeight="1" hidden="1">
      <c r="B70" s="300" t="s">
        <v>42</v>
      </c>
      <c r="C70" s="394"/>
      <c r="D70" s="386">
        <f t="shared" si="3"/>
        <v>0</v>
      </c>
      <c r="E70" s="249"/>
      <c r="F70" s="389"/>
      <c r="P70" s="197"/>
    </row>
    <row r="71" spans="2:16" s="77" customFormat="1" ht="21.75" customHeight="1" hidden="1">
      <c r="B71" s="300" t="s">
        <v>44</v>
      </c>
      <c r="C71" s="394"/>
      <c r="D71" s="386">
        <f t="shared" si="3"/>
        <v>0</v>
      </c>
      <c r="E71" s="249"/>
      <c r="F71" s="389"/>
      <c r="P71" s="197"/>
    </row>
    <row r="72" spans="2:16" s="77" customFormat="1" ht="21.75" customHeight="1" hidden="1">
      <c r="B72" s="300" t="s">
        <v>48</v>
      </c>
      <c r="C72" s="394"/>
      <c r="D72" s="386">
        <f t="shared" si="3"/>
        <v>0</v>
      </c>
      <c r="E72" s="249"/>
      <c r="F72" s="389"/>
      <c r="P72" s="197"/>
    </row>
    <row r="73" spans="2:16" s="77" customFormat="1" ht="21.75" customHeight="1" hidden="1">
      <c r="B73" s="300" t="s">
        <v>51</v>
      </c>
      <c r="C73" s="394"/>
      <c r="D73" s="386">
        <f t="shared" si="3"/>
        <v>0</v>
      </c>
      <c r="E73" s="249"/>
      <c r="F73" s="389"/>
      <c r="P73" s="197"/>
    </row>
    <row r="74" spans="2:16" s="77" customFormat="1" ht="21.75" customHeight="1" hidden="1">
      <c r="B74" s="300" t="s">
        <v>159</v>
      </c>
      <c r="C74" s="394"/>
      <c r="D74" s="386">
        <f t="shared" si="3"/>
        <v>0</v>
      </c>
      <c r="E74" s="249"/>
      <c r="F74" s="389"/>
      <c r="P74" s="197"/>
    </row>
    <row r="75" spans="2:16" s="77" customFormat="1" ht="21.75" customHeight="1" hidden="1">
      <c r="B75" s="300" t="s">
        <v>53</v>
      </c>
      <c r="C75" s="394"/>
      <c r="D75" s="386">
        <f t="shared" si="3"/>
        <v>0</v>
      </c>
      <c r="E75" s="249"/>
      <c r="F75" s="389"/>
      <c r="P75" s="197"/>
    </row>
    <row r="76" spans="2:16" s="77" customFormat="1" ht="21.75" customHeight="1" hidden="1">
      <c r="B76" s="300" t="s">
        <v>55</v>
      </c>
      <c r="C76" s="394"/>
      <c r="D76" s="386">
        <f t="shared" si="3"/>
        <v>0</v>
      </c>
      <c r="E76" s="249"/>
      <c r="F76" s="389"/>
      <c r="P76" s="197"/>
    </row>
    <row r="77" spans="2:16" s="77" customFormat="1" ht="21.75" customHeight="1" hidden="1">
      <c r="B77" s="300" t="s">
        <v>46</v>
      </c>
      <c r="C77" s="394"/>
      <c r="D77" s="386">
        <f t="shared" si="3"/>
        <v>0</v>
      </c>
      <c r="E77" s="249"/>
      <c r="F77" s="389"/>
      <c r="P77" s="197"/>
    </row>
    <row r="78" spans="2:16" s="77" customFormat="1" ht="21.75" customHeight="1" hidden="1">
      <c r="B78" s="300" t="s">
        <v>50</v>
      </c>
      <c r="C78" s="394"/>
      <c r="D78" s="386">
        <f t="shared" si="3"/>
        <v>0</v>
      </c>
      <c r="E78" s="249"/>
      <c r="F78" s="389"/>
      <c r="P78" s="197"/>
    </row>
    <row r="79" spans="2:16" s="77" customFormat="1" ht="21.75" customHeight="1" hidden="1">
      <c r="B79" s="300" t="s">
        <v>57</v>
      </c>
      <c r="C79" s="394"/>
      <c r="D79" s="386">
        <f t="shared" si="3"/>
        <v>0</v>
      </c>
      <c r="E79" s="249"/>
      <c r="F79" s="389"/>
      <c r="P79" s="197"/>
    </row>
    <row r="80" spans="2:16" s="77" customFormat="1" ht="21.75" customHeight="1" hidden="1">
      <c r="B80" s="300" t="s">
        <v>52</v>
      </c>
      <c r="C80" s="394"/>
      <c r="D80" s="386">
        <f t="shared" si="3"/>
        <v>0</v>
      </c>
      <c r="E80" s="249"/>
      <c r="F80" s="389"/>
      <c r="P80" s="197"/>
    </row>
    <row r="81" spans="2:16" s="77" customFormat="1" ht="21.75" customHeight="1" hidden="1">
      <c r="B81" s="300" t="s">
        <v>54</v>
      </c>
      <c r="C81" s="394"/>
      <c r="D81" s="386">
        <f t="shared" si="3"/>
        <v>0</v>
      </c>
      <c r="E81" s="249"/>
      <c r="F81" s="389"/>
      <c r="P81" s="197"/>
    </row>
    <row r="82" spans="2:16" s="77" customFormat="1" ht="21.75" customHeight="1" hidden="1">
      <c r="B82" s="300" t="s">
        <v>56</v>
      </c>
      <c r="C82" s="394"/>
      <c r="D82" s="386">
        <f t="shared" si="3"/>
        <v>0</v>
      </c>
      <c r="E82" s="249"/>
      <c r="F82" s="389"/>
      <c r="P82" s="197"/>
    </row>
    <row r="83" spans="2:16" s="77" customFormat="1" ht="9.75" customHeight="1" hidden="1">
      <c r="B83" s="76"/>
      <c r="C83" s="395"/>
      <c r="D83" s="396"/>
      <c r="E83" s="249"/>
      <c r="F83" s="389"/>
      <c r="P83" s="197"/>
    </row>
    <row r="84" spans="2:16" s="77" customFormat="1" ht="21.75" customHeight="1" hidden="1">
      <c r="B84" s="78" t="s">
        <v>25</v>
      </c>
      <c r="C84" s="392">
        <f>+C85</f>
        <v>0</v>
      </c>
      <c r="D84" s="383">
        <f>+D85</f>
        <v>0</v>
      </c>
      <c r="E84" s="249"/>
      <c r="F84" s="389"/>
      <c r="P84" s="197"/>
    </row>
    <row r="85" spans="2:16" s="77" customFormat="1" ht="21.75" customHeight="1" hidden="1">
      <c r="B85" s="300" t="s">
        <v>108</v>
      </c>
      <c r="C85" s="394"/>
      <c r="D85" s="386">
        <f>+C85*$E$9</f>
        <v>0</v>
      </c>
      <c r="E85" s="249"/>
      <c r="F85" s="389"/>
      <c r="P85" s="197"/>
    </row>
    <row r="86" spans="2:16" s="77" customFormat="1" ht="4.5" customHeight="1">
      <c r="B86" s="150"/>
      <c r="C86" s="393"/>
      <c r="D86" s="384"/>
      <c r="E86" s="249"/>
      <c r="F86" s="389"/>
      <c r="P86" s="197"/>
    </row>
    <row r="87" spans="2:16" s="77" customFormat="1" ht="15" customHeight="1">
      <c r="B87" s="622" t="s">
        <v>28</v>
      </c>
      <c r="C87" s="624">
        <f>C14+C37</f>
        <v>8089422.4954900015</v>
      </c>
      <c r="D87" s="590">
        <f>+D14+D37</f>
        <v>26864972.107539997</v>
      </c>
      <c r="E87" s="249"/>
      <c r="F87" s="389"/>
      <c r="P87" s="197"/>
    </row>
    <row r="88" spans="2:16" s="111" customFormat="1" ht="15" customHeight="1">
      <c r="B88" s="623"/>
      <c r="C88" s="625"/>
      <c r="D88" s="591"/>
      <c r="E88" s="249"/>
      <c r="F88" s="389"/>
      <c r="G88" s="77"/>
      <c r="P88" s="198"/>
    </row>
    <row r="89" spans="2:16" s="77" customFormat="1" ht="7.5" customHeight="1">
      <c r="B89" s="151"/>
      <c r="C89" s="101"/>
      <c r="D89" s="101"/>
      <c r="E89" s="249"/>
      <c r="F89" s="389"/>
      <c r="P89" s="197"/>
    </row>
    <row r="90" spans="1:16" ht="14.25" customHeight="1">
      <c r="A90" s="303"/>
      <c r="B90" s="304" t="s">
        <v>210</v>
      </c>
      <c r="D90" s="305"/>
      <c r="E90" s="249"/>
      <c r="F90" s="389"/>
      <c r="G90" s="77"/>
      <c r="P90" s="196"/>
    </row>
    <row r="91" spans="1:16" ht="14.25" customHeight="1">
      <c r="A91" s="303"/>
      <c r="B91" s="304" t="s">
        <v>211</v>
      </c>
      <c r="C91" s="306"/>
      <c r="D91" s="307"/>
      <c r="E91" s="249"/>
      <c r="F91" s="389"/>
      <c r="G91" s="77"/>
      <c r="P91" s="196"/>
    </row>
    <row r="92" spans="3:16" ht="14.25">
      <c r="C92" s="308"/>
      <c r="D92" s="309"/>
      <c r="E92" s="249"/>
      <c r="F92" s="389"/>
      <c r="G92" s="77"/>
      <c r="P92" s="196"/>
    </row>
    <row r="93" spans="3:16" ht="14.25">
      <c r="C93" s="311"/>
      <c r="D93" s="311"/>
      <c r="E93" s="249"/>
      <c r="F93" s="389"/>
      <c r="G93" s="312"/>
      <c r="H93" s="312"/>
      <c r="P93" s="196"/>
    </row>
    <row r="94" spans="3:16" ht="12.75">
      <c r="C94" s="313"/>
      <c r="D94" s="313"/>
      <c r="G94" s="312"/>
      <c r="H94" s="312"/>
      <c r="P94" s="196"/>
    </row>
    <row r="95" spans="3:16" ht="12.75">
      <c r="C95" s="314"/>
      <c r="D95" s="314"/>
      <c r="H95" s="310"/>
      <c r="P95" s="196"/>
    </row>
    <row r="96" spans="2:16" ht="18">
      <c r="B96" s="375" t="s">
        <v>123</v>
      </c>
      <c r="C96" s="375"/>
      <c r="D96" s="375"/>
      <c r="H96" s="310"/>
      <c r="P96" s="196"/>
    </row>
    <row r="97" spans="2:16" ht="18">
      <c r="B97" s="376" t="s">
        <v>137</v>
      </c>
      <c r="C97" s="376"/>
      <c r="D97" s="376"/>
      <c r="G97" s="312"/>
      <c r="P97" s="196"/>
    </row>
    <row r="98" spans="2:16" ht="18">
      <c r="B98" s="376" t="s">
        <v>138</v>
      </c>
      <c r="C98" s="376"/>
      <c r="D98" s="376"/>
      <c r="P98" s="196"/>
    </row>
    <row r="99" spans="2:16" ht="16.5">
      <c r="B99" s="380" t="s">
        <v>59</v>
      </c>
      <c r="C99" s="377"/>
      <c r="D99" s="377"/>
      <c r="P99" s="196"/>
    </row>
    <row r="100" spans="2:16" ht="15.75">
      <c r="B100" s="378" t="str">
        <f>+B9</f>
        <v>Al 31 de marzo de 2019</v>
      </c>
      <c r="C100" s="378"/>
      <c r="D100" s="298"/>
      <c r="P100" s="196"/>
    </row>
    <row r="101" spans="2:16" s="77" customFormat="1" ht="6.75" customHeight="1">
      <c r="B101" s="534"/>
      <c r="C101" s="534"/>
      <c r="D101" s="534"/>
      <c r="E101" s="212"/>
      <c r="P101" s="197"/>
    </row>
    <row r="102" spans="2:16" ht="16.5" customHeight="1">
      <c r="B102" s="552" t="s">
        <v>98</v>
      </c>
      <c r="C102" s="618" t="s">
        <v>88</v>
      </c>
      <c r="D102" s="620" t="s">
        <v>165</v>
      </c>
      <c r="P102" s="196"/>
    </row>
    <row r="103" spans="2:16" s="111" customFormat="1" ht="16.5" customHeight="1">
      <c r="B103" s="553"/>
      <c r="C103" s="619"/>
      <c r="D103" s="621"/>
      <c r="E103" s="213"/>
      <c r="G103" s="317"/>
      <c r="P103" s="198"/>
    </row>
    <row r="104" spans="2:16" s="111" customFormat="1" ht="9.75" customHeight="1">
      <c r="B104" s="149"/>
      <c r="C104" s="100"/>
      <c r="D104" s="112"/>
      <c r="E104" s="213"/>
      <c r="G104" s="317"/>
      <c r="P104" s="198"/>
    </row>
    <row r="105" spans="2:16" s="77" customFormat="1" ht="19.5" customHeight="1">
      <c r="B105" s="79" t="s">
        <v>208</v>
      </c>
      <c r="C105" s="509">
        <f>+C107</f>
        <v>523221.32977</v>
      </c>
      <c r="D105" s="509">
        <f>+D107</f>
        <v>1737618.0361500003</v>
      </c>
      <c r="E105" s="212"/>
      <c r="G105" s="302"/>
      <c r="H105" s="302"/>
      <c r="P105" s="197"/>
    </row>
    <row r="106" spans="2:16" s="77" customFormat="1" ht="9.75" customHeight="1">
      <c r="B106" s="79"/>
      <c r="C106" s="509"/>
      <c r="D106" s="509"/>
      <c r="E106" s="212"/>
      <c r="G106" s="302"/>
      <c r="H106" s="302"/>
      <c r="P106" s="197"/>
    </row>
    <row r="107" spans="2:16" s="77" customFormat="1" ht="16.5" customHeight="1">
      <c r="B107" s="78" t="s">
        <v>24</v>
      </c>
      <c r="C107" s="510">
        <f>SUM(C108:C115)</f>
        <v>523221.32977</v>
      </c>
      <c r="D107" s="510">
        <f>SUM(D108:D115)</f>
        <v>1737618.0361500003</v>
      </c>
      <c r="E107" s="212"/>
      <c r="F107" s="457"/>
      <c r="G107" s="318"/>
      <c r="H107" s="318"/>
      <c r="P107" s="197"/>
    </row>
    <row r="108" spans="2:16" s="77" customFormat="1" ht="16.5" customHeight="1">
      <c r="B108" s="440" t="s">
        <v>207</v>
      </c>
      <c r="C108" s="445">
        <v>446138.9844</v>
      </c>
      <c r="D108" s="384">
        <f aca="true" t="shared" si="4" ref="D108:D115">ROUND(+C108*$E$9,5)</f>
        <v>1481627.56719</v>
      </c>
      <c r="E108" s="212"/>
      <c r="F108" s="457"/>
      <c r="G108" s="318"/>
      <c r="H108" s="318"/>
      <c r="P108" s="197"/>
    </row>
    <row r="109" spans="2:16" s="77" customFormat="1" ht="16.5" customHeight="1">
      <c r="B109" s="440" t="s">
        <v>175</v>
      </c>
      <c r="C109" s="445">
        <v>36994.72893999999</v>
      </c>
      <c r="D109" s="384">
        <f t="shared" si="4"/>
        <v>122859.49481</v>
      </c>
      <c r="E109" s="212"/>
      <c r="F109" s="457"/>
      <c r="G109" s="318"/>
      <c r="H109" s="318"/>
      <c r="P109" s="197"/>
    </row>
    <row r="110" spans="2:16" s="77" customFormat="1" ht="16.5" customHeight="1">
      <c r="B110" s="440" t="s">
        <v>224</v>
      </c>
      <c r="C110" s="445">
        <v>19502.487729999997</v>
      </c>
      <c r="D110" s="384">
        <f t="shared" si="4"/>
        <v>64767.76175</v>
      </c>
      <c r="E110" s="212"/>
      <c r="F110" s="457"/>
      <c r="G110" s="318"/>
      <c r="P110" s="197"/>
    </row>
    <row r="111" spans="2:16" s="77" customFormat="1" ht="16.5" customHeight="1">
      <c r="B111" s="440" t="s">
        <v>205</v>
      </c>
      <c r="C111" s="445">
        <v>13565.352780000001</v>
      </c>
      <c r="D111" s="384">
        <f t="shared" si="4"/>
        <v>45050.53658</v>
      </c>
      <c r="E111" s="212"/>
      <c r="F111" s="457"/>
      <c r="G111" s="318"/>
      <c r="P111" s="197"/>
    </row>
    <row r="112" spans="2:16" s="77" customFormat="1" ht="16.5" customHeight="1">
      <c r="B112" s="440" t="s">
        <v>173</v>
      </c>
      <c r="C112" s="445">
        <v>4991.8004200000005</v>
      </c>
      <c r="D112" s="384">
        <f t="shared" si="4"/>
        <v>16577.76919</v>
      </c>
      <c r="E112" s="212"/>
      <c r="F112" s="457"/>
      <c r="G112" s="318"/>
      <c r="P112" s="197"/>
    </row>
    <row r="113" spans="2:16" s="77" customFormat="1" ht="16.5" customHeight="1">
      <c r="B113" s="440" t="s">
        <v>244</v>
      </c>
      <c r="C113" s="445">
        <v>1500</v>
      </c>
      <c r="D113" s="384">
        <f t="shared" si="4"/>
        <v>4981.5</v>
      </c>
      <c r="E113" s="212"/>
      <c r="F113" s="457"/>
      <c r="G113" s="318"/>
      <c r="P113" s="197"/>
    </row>
    <row r="114" spans="2:16" s="77" customFormat="1" ht="16.5" customHeight="1">
      <c r="B114" s="440" t="s">
        <v>199</v>
      </c>
      <c r="C114" s="445">
        <v>407.52984999999995</v>
      </c>
      <c r="D114" s="384">
        <f t="shared" si="4"/>
        <v>1353.40663</v>
      </c>
      <c r="E114" s="212"/>
      <c r="F114" s="457"/>
      <c r="G114" s="318"/>
      <c r="P114" s="197"/>
    </row>
    <row r="115" spans="2:16" s="77" customFormat="1" ht="16.5" customHeight="1">
      <c r="B115" s="440" t="s">
        <v>242</v>
      </c>
      <c r="C115" s="445">
        <v>120.44565</v>
      </c>
      <c r="D115" s="384">
        <f t="shared" si="4"/>
        <v>400</v>
      </c>
      <c r="E115" s="212"/>
      <c r="F115" s="457"/>
      <c r="G115" s="318"/>
      <c r="P115" s="197"/>
    </row>
    <row r="116" spans="2:16" s="77" customFormat="1" ht="9.75" customHeight="1">
      <c r="B116" s="150"/>
      <c r="C116" s="393"/>
      <c r="D116" s="393"/>
      <c r="E116" s="212"/>
      <c r="F116" s="457"/>
      <c r="G116" s="318"/>
      <c r="P116" s="197"/>
    </row>
    <row r="117" spans="2:16" s="77" customFormat="1" ht="15" customHeight="1">
      <c r="B117" s="622" t="s">
        <v>28</v>
      </c>
      <c r="C117" s="624">
        <f>+C105</f>
        <v>523221.32977</v>
      </c>
      <c r="D117" s="624">
        <f>+D105</f>
        <v>1737618.0361500003</v>
      </c>
      <c r="E117" s="212"/>
      <c r="F117" s="457"/>
      <c r="G117" s="318"/>
      <c r="P117" s="197"/>
    </row>
    <row r="118" spans="2:16" s="111" customFormat="1" ht="15" customHeight="1">
      <c r="B118" s="623"/>
      <c r="C118" s="625"/>
      <c r="D118" s="625"/>
      <c r="E118" s="212"/>
      <c r="F118" s="457"/>
      <c r="G118" s="318"/>
      <c r="P118" s="198"/>
    </row>
    <row r="119" spans="2:16" s="77" customFormat="1" ht="7.5" customHeight="1">
      <c r="B119" s="151"/>
      <c r="C119" s="101"/>
      <c r="D119" s="101"/>
      <c r="E119" s="212"/>
      <c r="F119" s="457"/>
      <c r="P119" s="197"/>
    </row>
    <row r="120" spans="1:16" ht="14.25" customHeight="1">
      <c r="A120" s="303"/>
      <c r="B120" s="304" t="s">
        <v>210</v>
      </c>
      <c r="C120" s="397"/>
      <c r="D120" s="315"/>
      <c r="P120" s="196"/>
    </row>
    <row r="121" spans="3:16" ht="12.75">
      <c r="C121" s="316"/>
      <c r="D121" s="316"/>
      <c r="P121" s="196"/>
    </row>
  </sheetData>
  <sheetProtection/>
  <mergeCells count="14">
    <mergeCell ref="B102:B103"/>
    <mergeCell ref="C102:C103"/>
    <mergeCell ref="D102:D103"/>
    <mergeCell ref="B117:B118"/>
    <mergeCell ref="C117:C118"/>
    <mergeCell ref="D117:D118"/>
    <mergeCell ref="B10:D10"/>
    <mergeCell ref="B101:D101"/>
    <mergeCell ref="B11:B12"/>
    <mergeCell ref="C11:C12"/>
    <mergeCell ref="D11:D12"/>
    <mergeCell ref="B87:B88"/>
    <mergeCell ref="C87:C88"/>
    <mergeCell ref="D87:D88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2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0" t="s">
        <v>18</v>
      </c>
      <c r="C6" s="520"/>
      <c r="D6" s="520"/>
      <c r="E6" s="520"/>
      <c r="F6" s="520"/>
      <c r="G6" s="520"/>
    </row>
    <row r="7" spans="2:7" s="4" customFormat="1" ht="15.75">
      <c r="B7" s="521" t="str">
        <f>+Indice!B7</f>
        <v>AL 31 DE MARZO 2019</v>
      </c>
      <c r="C7" s="521"/>
      <c r="D7" s="521"/>
      <c r="E7" s="521"/>
      <c r="F7" s="521"/>
      <c r="G7" s="521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5" t="s">
        <v>144</v>
      </c>
      <c r="E9" s="525"/>
      <c r="F9" s="525"/>
      <c r="G9" s="525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132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26" t="s">
        <v>133</v>
      </c>
      <c r="E13" s="526"/>
      <c r="F13" s="526"/>
      <c r="G13" s="526"/>
      <c r="H13" s="526"/>
    </row>
    <row r="14" spans="2:8" ht="15.75" customHeight="1">
      <c r="B14" s="52"/>
      <c r="C14" s="52"/>
      <c r="D14" s="526" t="s">
        <v>134</v>
      </c>
      <c r="E14" s="526"/>
      <c r="F14" s="526"/>
      <c r="G14" s="526"/>
      <c r="H14" s="526"/>
    </row>
    <row r="15" spans="2:7" ht="15.75" customHeight="1">
      <c r="B15" s="52"/>
      <c r="C15" s="52"/>
      <c r="D15" s="29" t="s">
        <v>135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128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129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130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131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3">
        <v>43555</v>
      </c>
      <c r="E22" s="524"/>
      <c r="F22" s="524"/>
      <c r="G22" s="524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4" t="s">
        <v>17</v>
      </c>
      <c r="E24" s="524"/>
      <c r="F24" s="524"/>
      <c r="G24" s="524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5" t="s">
        <v>153</v>
      </c>
      <c r="E26" s="525"/>
      <c r="F26" s="525"/>
      <c r="G26" s="525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161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84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43585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83</v>
      </c>
      <c r="C35" s="55" t="s">
        <v>8</v>
      </c>
      <c r="D35" s="29" t="s">
        <v>85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26" t="s">
        <v>162</v>
      </c>
      <c r="E37" s="526"/>
      <c r="F37" s="526"/>
      <c r="G37" s="526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4" t="s">
        <v>177</v>
      </c>
      <c r="E39" s="524"/>
      <c r="F39" s="524"/>
      <c r="G39" s="524"/>
      <c r="H39" s="527">
        <v>3.321</v>
      </c>
    </row>
    <row r="40" spans="4:8" ht="15.75" customHeight="1">
      <c r="D40" s="524"/>
      <c r="E40" s="524"/>
      <c r="F40" s="524"/>
      <c r="G40" s="524"/>
      <c r="H40" s="527"/>
    </row>
    <row r="41" ht="15.75" customHeight="1"/>
    <row r="42" spans="2:4" ht="12.75">
      <c r="B42" s="55" t="s">
        <v>71</v>
      </c>
      <c r="C42" s="55" t="s">
        <v>8</v>
      </c>
      <c r="D42" s="6" t="s">
        <v>72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20" t="s">
        <v>179</v>
      </c>
      <c r="C5" s="520"/>
      <c r="D5" s="520"/>
      <c r="E5" s="520"/>
      <c r="F5" s="520"/>
      <c r="G5" s="520"/>
      <c r="H5" s="520"/>
      <c r="I5" s="520"/>
      <c r="J5" s="520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3" t="s">
        <v>18</v>
      </c>
      <c r="C6" s="533"/>
      <c r="D6" s="533"/>
      <c r="E6" s="533"/>
      <c r="F6" s="533"/>
      <c r="G6" s="533"/>
      <c r="H6" s="533"/>
      <c r="I6" s="533"/>
      <c r="J6" s="533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1" t="str">
        <f>+Indice!B7</f>
        <v>AL 31 DE MARZO 2019</v>
      </c>
      <c r="C7" s="521"/>
      <c r="D7" s="521"/>
      <c r="E7" s="521"/>
      <c r="F7" s="521"/>
      <c r="G7" s="521"/>
      <c r="H7" s="521"/>
      <c r="I7" s="521"/>
      <c r="J7" s="521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1"/>
      <c r="C8" s="521"/>
      <c r="D8" s="521"/>
      <c r="E8" s="521"/>
      <c r="F8" s="521"/>
      <c r="G8" s="521"/>
      <c r="H8" s="521"/>
      <c r="I8" s="521"/>
      <c r="J8" s="521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4" t="s">
        <v>163</v>
      </c>
      <c r="C9" s="534"/>
      <c r="D9" s="534"/>
      <c r="E9" s="534"/>
      <c r="F9" s="534"/>
      <c r="G9" s="534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28" t="s">
        <v>155</v>
      </c>
      <c r="C11" s="529"/>
      <c r="D11" s="529"/>
      <c r="E11" s="530"/>
      <c r="G11" s="528" t="s">
        <v>31</v>
      </c>
      <c r="H11" s="529"/>
      <c r="I11" s="529"/>
      <c r="J11" s="530"/>
    </row>
    <row r="12" spans="2:10" ht="19.5" customHeight="1">
      <c r="B12" s="121"/>
      <c r="C12" s="423" t="s">
        <v>78</v>
      </c>
      <c r="D12" s="424" t="s">
        <v>164</v>
      </c>
      <c r="E12" s="420" t="s">
        <v>27</v>
      </c>
      <c r="G12" s="124"/>
      <c r="H12" s="417" t="s">
        <v>78</v>
      </c>
      <c r="I12" s="417" t="str">
        <f>+D12</f>
        <v>Soles</v>
      </c>
      <c r="J12" s="505" t="s">
        <v>238</v>
      </c>
    </row>
    <row r="13" spans="2:15" ht="19.5" customHeight="1">
      <c r="B13" s="125" t="s">
        <v>74</v>
      </c>
      <c r="C13" s="418">
        <f>(+'DEP-C2'!C18+'DEP-C2'!C42)/1000</f>
        <v>7079.15421456</v>
      </c>
      <c r="D13" s="418">
        <f>(+'DEP-C2'!D18+'DEP-C2'!D42)/1000</f>
        <v>23509.871146552072</v>
      </c>
      <c r="E13" s="421">
        <f>+C13/$C$15</f>
        <v>0.821949027289108</v>
      </c>
      <c r="G13" s="125" t="s">
        <v>75</v>
      </c>
      <c r="H13" s="418">
        <f>+C21+C22+C23+C24</f>
        <v>2876.01630341</v>
      </c>
      <c r="I13" s="418">
        <f>+D21+D22+D23+D24</f>
        <v>9551.25014363</v>
      </c>
      <c r="J13" s="503">
        <f>+H13/$H$15</f>
        <v>0.3339295530804304</v>
      </c>
      <c r="N13" s="200"/>
      <c r="O13" s="200"/>
    </row>
    <row r="14" spans="2:15" ht="19.5" customHeight="1">
      <c r="B14" s="125" t="s">
        <v>73</v>
      </c>
      <c r="C14" s="418">
        <f>(+'DEP-C2'!C14+'DEP-C2'!C38)/1000</f>
        <v>1533.4896107000002</v>
      </c>
      <c r="D14" s="418">
        <f>(+'DEP-C2'!D14+'DEP-C2'!D38)/1000</f>
        <v>5092.7189971340995</v>
      </c>
      <c r="E14" s="421">
        <f>+C14/$C$15</f>
        <v>0.17805097271089193</v>
      </c>
      <c r="G14" s="125" t="s">
        <v>76</v>
      </c>
      <c r="H14" s="418">
        <f>+C20</f>
        <v>5736.6275218499995</v>
      </c>
      <c r="I14" s="418">
        <f>+D20</f>
        <v>19051.34000007</v>
      </c>
      <c r="J14" s="503">
        <f>+H14/$H$15</f>
        <v>0.6660704469195696</v>
      </c>
      <c r="O14" s="156"/>
    </row>
    <row r="15" spans="2:15" ht="19.5" customHeight="1">
      <c r="B15" s="126" t="s">
        <v>28</v>
      </c>
      <c r="C15" s="419">
        <f>SUM(C13:C14)</f>
        <v>8612.64382526</v>
      </c>
      <c r="D15" s="419">
        <f>SUM(D13:D14)</f>
        <v>28602.59014368617</v>
      </c>
      <c r="E15" s="422">
        <f>SUM(E13:E14)</f>
        <v>1</v>
      </c>
      <c r="G15" s="126" t="s">
        <v>28</v>
      </c>
      <c r="H15" s="419">
        <f>SUM(H13:H14)</f>
        <v>8612.64382526</v>
      </c>
      <c r="I15" s="419">
        <f>SUM(I13:I14)</f>
        <v>28602.5901437</v>
      </c>
      <c r="J15" s="504">
        <f>SUM(J13:J14)</f>
        <v>1</v>
      </c>
      <c r="O15" s="156"/>
    </row>
    <row r="16" spans="2:10" ht="19.5" customHeight="1">
      <c r="B16" s="123"/>
      <c r="C16" s="518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28" t="s">
        <v>69</v>
      </c>
      <c r="C18" s="529"/>
      <c r="D18" s="529"/>
      <c r="E18" s="530"/>
      <c r="G18" s="528" t="s">
        <v>62</v>
      </c>
      <c r="H18" s="529"/>
      <c r="I18" s="529"/>
      <c r="J18" s="530"/>
      <c r="L18" s="127"/>
    </row>
    <row r="19" spans="2:10" ht="19.5" customHeight="1">
      <c r="B19" s="124"/>
      <c r="C19" s="417" t="s">
        <v>78</v>
      </c>
      <c r="D19" s="417" t="str">
        <f>+D12</f>
        <v>Soles</v>
      </c>
      <c r="E19" s="425" t="s">
        <v>27</v>
      </c>
      <c r="G19" s="124"/>
      <c r="H19" s="417" t="s">
        <v>78</v>
      </c>
      <c r="I19" s="417" t="str">
        <f>+I12</f>
        <v>Soles</v>
      </c>
      <c r="J19" s="425" t="s">
        <v>27</v>
      </c>
    </row>
    <row r="20" spans="2:12" ht="19.5" customHeight="1">
      <c r="B20" s="125" t="s">
        <v>76</v>
      </c>
      <c r="C20" s="418">
        <f>+(+'DEP-C7'!D19+'DEP-C7'!D36)/1000</f>
        <v>5736.6275218499995</v>
      </c>
      <c r="D20" s="418">
        <f>+(+'DEP-C7'!E19+'DEP-C7'!E36)/1000</f>
        <v>19051.34000007</v>
      </c>
      <c r="E20" s="421">
        <f>+C20/$C$25</f>
        <v>0.6660704469195697</v>
      </c>
      <c r="G20" s="125" t="s">
        <v>78</v>
      </c>
      <c r="H20" s="418">
        <f>('DEP-C3'!C22+'DEP-C3'!C56)/1000</f>
        <v>6835.201893439999</v>
      </c>
      <c r="I20" s="418">
        <f>('DEP-C3'!D22+'DEP-C3'!D56)/1000</f>
        <v>22699.705488109998</v>
      </c>
      <c r="J20" s="421">
        <f>+H20/$H$24</f>
        <v>0.7936241219441881</v>
      </c>
      <c r="L20" s="157"/>
    </row>
    <row r="21" spans="2:12" ht="19.5" customHeight="1">
      <c r="B21" s="125" t="s">
        <v>77</v>
      </c>
      <c r="C21" s="418">
        <f>+(+'DEP-C7'!D15+'DEP-C7'!D29+'DEP-C7'!D68)/1000</f>
        <v>1870.7902138800002</v>
      </c>
      <c r="D21" s="418">
        <f>+(+'DEP-C7'!E15+'DEP-C7'!E29+'DEP-C7'!E68)/1000</f>
        <v>6212.89430029</v>
      </c>
      <c r="E21" s="421">
        <f>+C21/$C$25</f>
        <v>0.21721439453854635</v>
      </c>
      <c r="G21" s="125" t="s">
        <v>164</v>
      </c>
      <c r="H21" s="418">
        <f>('DEP-C3'!C14+'DEP-C3'!C49)/1000</f>
        <v>1442.68375156</v>
      </c>
      <c r="I21" s="418">
        <f>(+'DEP-C3'!D14+'DEP-C3'!D49)/1000</f>
        <v>4791.15273893</v>
      </c>
      <c r="J21" s="421">
        <f>+H21/$H$24</f>
        <v>0.16750765279863972</v>
      </c>
      <c r="L21" s="170"/>
    </row>
    <row r="22" spans="2:12" ht="19.5" customHeight="1">
      <c r="B22" s="125" t="s">
        <v>221</v>
      </c>
      <c r="C22" s="418">
        <f>+('DEP-C7'!D21+'DEP-C7'!D39)/1000</f>
        <v>668.44854249</v>
      </c>
      <c r="D22" s="418">
        <f>+('DEP-C7'!E21+'DEP-C7'!E39)/1000</f>
        <v>2219.9176096200003</v>
      </c>
      <c r="E22" s="421">
        <f>+C22/$C$25</f>
        <v>0.07761246790788087</v>
      </c>
      <c r="G22" s="125" t="s">
        <v>79</v>
      </c>
      <c r="H22" s="418">
        <f>+'DEP-C3'!C26/1000</f>
        <v>203.26143076999998</v>
      </c>
      <c r="I22" s="418">
        <f>+'DEP-C3'!D26/1000</f>
        <v>675.03121159</v>
      </c>
      <c r="J22" s="421">
        <f>+H22/$H$24</f>
        <v>0.023600352562340395</v>
      </c>
      <c r="L22" s="201"/>
    </row>
    <row r="23" spans="2:12" ht="19.5" customHeight="1">
      <c r="B23" s="125" t="s">
        <v>127</v>
      </c>
      <c r="C23" s="418">
        <f>+('DEP-C7'!D17+'DEP-C7'!D34+'DEP-C7'!D79)/1000</f>
        <v>14.12407387</v>
      </c>
      <c r="D23" s="418">
        <f>(+'DEP-C7'!E17+'DEP-C7'!E34+'DEP-C7'!E79)/1000</f>
        <v>46.90604932</v>
      </c>
      <c r="E23" s="421">
        <f>+C23/$C$25</f>
        <v>0.0016399231358639893</v>
      </c>
      <c r="G23" s="125" t="s">
        <v>80</v>
      </c>
      <c r="H23" s="235">
        <f>+'DEP-C3'!C30/1000</f>
        <v>131.49674949</v>
      </c>
      <c r="I23" s="235">
        <f>+'DEP-C3'!D30/1000</f>
        <v>436.70070506</v>
      </c>
      <c r="J23" s="421">
        <f>+H23/$H$24</f>
        <v>0.015267872694831937</v>
      </c>
      <c r="L23" s="170"/>
    </row>
    <row r="24" spans="2:12" ht="19.5" customHeight="1">
      <c r="B24" s="125" t="s">
        <v>36</v>
      </c>
      <c r="C24" s="418">
        <f>+('DEP-C7'!D24+'DEP-C7'!D41)/1000</f>
        <v>322.65347317</v>
      </c>
      <c r="D24" s="418">
        <f>+('DEP-C7'!E24+'DEP-C7'!E41)/1000</f>
        <v>1071.5321844000002</v>
      </c>
      <c r="E24" s="421">
        <f>+C24/$C$25</f>
        <v>0.03746276749813925</v>
      </c>
      <c r="G24" s="126" t="s">
        <v>28</v>
      </c>
      <c r="H24" s="419">
        <f>SUM(H20:H23)</f>
        <v>8612.643825259998</v>
      </c>
      <c r="I24" s="419">
        <f>SUM(I20:I23)</f>
        <v>28602.59014369</v>
      </c>
      <c r="J24" s="422">
        <f>SUM(J20:J23)</f>
        <v>1.0000000000000002</v>
      </c>
      <c r="L24" s="202"/>
    </row>
    <row r="25" spans="2:5" ht="19.5" customHeight="1">
      <c r="B25" s="126" t="s">
        <v>28</v>
      </c>
      <c r="C25" s="419">
        <f>SUM(C20:C24)</f>
        <v>8612.643825259998</v>
      </c>
      <c r="D25" s="419">
        <f>SUM(D20:D24)</f>
        <v>28602.590143699996</v>
      </c>
      <c r="E25" s="422">
        <f>SUM(E20:E24)</f>
        <v>1.0000000000000002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28" t="s">
        <v>29</v>
      </c>
      <c r="C28" s="529"/>
      <c r="D28" s="529"/>
      <c r="E28" s="530"/>
      <c r="G28" s="528" t="s">
        <v>30</v>
      </c>
      <c r="H28" s="529"/>
      <c r="I28" s="529"/>
      <c r="J28" s="530"/>
    </row>
    <row r="29" spans="2:10" ht="19.5" customHeight="1">
      <c r="B29" s="124"/>
      <c r="C29" s="417" t="s">
        <v>78</v>
      </c>
      <c r="D29" s="417" t="str">
        <f>+D19</f>
        <v>Soles</v>
      </c>
      <c r="E29" s="425" t="s">
        <v>27</v>
      </c>
      <c r="G29" s="124"/>
      <c r="H29" s="122" t="s">
        <v>78</v>
      </c>
      <c r="I29" s="122" t="str">
        <f>+I19</f>
        <v>Soles</v>
      </c>
      <c r="J29" s="426" t="s">
        <v>27</v>
      </c>
    </row>
    <row r="30" spans="2:14" ht="19.5" customHeight="1">
      <c r="B30" s="125" t="s">
        <v>93</v>
      </c>
      <c r="C30" s="418">
        <f>(+'DEP-C2'!C15+'DEP-C2'!C19)/1000</f>
        <v>4122.967286409999</v>
      </c>
      <c r="D30" s="418">
        <f>(+'DEP-C2'!D15+'DEP-C2'!D19)/1000</f>
        <v>13692.37435817</v>
      </c>
      <c r="E30" s="421">
        <f>+C30/$C$32</f>
        <v>0.47871099398279543</v>
      </c>
      <c r="G30" s="125" t="s">
        <v>81</v>
      </c>
      <c r="H30" s="418">
        <f>'DEP-C2'!C22/1000</f>
        <v>8089.42249549</v>
      </c>
      <c r="I30" s="418">
        <f>+'DEP-C2'!D22/1000</f>
        <v>26864.97210752</v>
      </c>
      <c r="J30" s="421">
        <f>+H30/$H$32</f>
        <v>0.9392496264346326</v>
      </c>
      <c r="N30" s="157"/>
    </row>
    <row r="31" spans="2:14" ht="19.5" customHeight="1">
      <c r="B31" s="125" t="s">
        <v>94</v>
      </c>
      <c r="C31" s="418">
        <f>(+'DEP-C2'!C16+'DEP-C2'!C20+'DEP-C2'!C39+'DEP-C2'!C43)/1000</f>
        <v>4489.67653885</v>
      </c>
      <c r="D31" s="418">
        <f>(+'DEP-C2'!D16+'DEP-C2'!D20+'DEP-C2'!D39+'DEP-C2'!D43)/1000</f>
        <v>14910.215785516171</v>
      </c>
      <c r="E31" s="421">
        <f>+C31/$C$32</f>
        <v>0.5212890060172046</v>
      </c>
      <c r="G31" s="125" t="s">
        <v>82</v>
      </c>
      <c r="H31" s="418">
        <f>+'DEP-C2'!C45/1000</f>
        <v>523.2213297699999</v>
      </c>
      <c r="I31" s="418">
        <f>+'DEP-C2'!D45/1000</f>
        <v>1737.6180361661702</v>
      </c>
      <c r="J31" s="421">
        <f>+H31/$H$32</f>
        <v>0.0607503735653674</v>
      </c>
      <c r="N31" s="158"/>
    </row>
    <row r="32" spans="2:14" ht="19.5" customHeight="1">
      <c r="B32" s="126" t="s">
        <v>28</v>
      </c>
      <c r="C32" s="419">
        <f>SUM(C30:C31)</f>
        <v>8612.643825259998</v>
      </c>
      <c r="D32" s="419">
        <f>SUM(D30:D31)</f>
        <v>28602.59014368617</v>
      </c>
      <c r="E32" s="422">
        <f>SUM(E30:E31)</f>
        <v>1</v>
      </c>
      <c r="G32" s="126" t="s">
        <v>28</v>
      </c>
      <c r="H32" s="419">
        <f>SUM(H30:H31)</f>
        <v>8612.64382526</v>
      </c>
      <c r="I32" s="419">
        <f>SUM(I30:I31)</f>
        <v>28602.59014368617</v>
      </c>
      <c r="J32" s="422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1"/>
      <c r="C37" s="532"/>
      <c r="D37" s="532"/>
      <c r="E37" s="532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20" t="s">
        <v>180</v>
      </c>
      <c r="C5" s="520"/>
      <c r="D5" s="520"/>
      <c r="E5" s="520"/>
      <c r="F5" s="520"/>
      <c r="G5" s="520"/>
      <c r="H5" s="520"/>
    </row>
    <row r="6" spans="2:8" s="4" customFormat="1" ht="19.5" customHeight="1">
      <c r="B6" s="533" t="s">
        <v>18</v>
      </c>
      <c r="C6" s="533"/>
      <c r="D6" s="533"/>
      <c r="E6" s="533"/>
      <c r="F6" s="533"/>
      <c r="G6" s="533"/>
      <c r="H6" s="533"/>
    </row>
    <row r="7" spans="2:8" s="4" customFormat="1" ht="18" customHeight="1">
      <c r="B7" s="521" t="str">
        <f>+Indice!B7</f>
        <v>AL 31 DE MARZO 2019</v>
      </c>
      <c r="C7" s="521"/>
      <c r="D7" s="521"/>
      <c r="E7" s="521"/>
      <c r="F7" s="521"/>
      <c r="G7" s="521"/>
      <c r="H7" s="521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35" t="str">
        <f>+Resumen!B11:E11</f>
        <v>TIPO DE DEUDA</v>
      </c>
      <c r="C10" s="535"/>
      <c r="D10" s="535"/>
      <c r="E10" s="90"/>
      <c r="F10" s="535" t="s">
        <v>31</v>
      </c>
      <c r="G10" s="535"/>
      <c r="H10" s="535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35" t="str">
        <f>+Resumen!B18:E18</f>
        <v>GRUPO DEL ACREEDOR</v>
      </c>
      <c r="C28" s="535"/>
      <c r="D28" s="535"/>
      <c r="F28" s="535" t="s">
        <v>62</v>
      </c>
      <c r="G28" s="535"/>
      <c r="H28" s="535"/>
    </row>
    <row r="48" spans="2:8" s="23" customFormat="1" ht="16.5">
      <c r="B48" s="535" t="s">
        <v>29</v>
      </c>
      <c r="C48" s="535"/>
      <c r="D48" s="535"/>
      <c r="F48" s="535" t="s">
        <v>30</v>
      </c>
      <c r="G48" s="535"/>
      <c r="H48" s="535"/>
    </row>
    <row r="66" spans="2:8" ht="30" customHeight="1">
      <c r="B66" s="538"/>
      <c r="C66" s="538"/>
      <c r="D66" s="538"/>
      <c r="E66" s="538"/>
      <c r="F66" s="538"/>
      <c r="G66" s="538"/>
      <c r="H66" s="538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36"/>
      <c r="C69" s="537"/>
      <c r="D69" s="537"/>
      <c r="E69" s="537"/>
      <c r="F69" s="51"/>
      <c r="G69" s="51"/>
      <c r="H69" s="51"/>
    </row>
    <row r="70" spans="2:8" ht="15.75" customHeight="1">
      <c r="B70" s="536"/>
      <c r="C70" s="537"/>
      <c r="D70" s="537"/>
      <c r="E70" s="537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3" width="12.28125" style="9" customWidth="1"/>
    <col min="24" max="26" width="9.7109375" style="9" customWidth="1"/>
    <col min="27" max="35" width="9.7109375" style="9" hidden="1" customWidth="1"/>
    <col min="36" max="221" width="11.421875" style="9" customWidth="1"/>
    <col min="222" max="222" width="25.7109375" style="9" customWidth="1"/>
    <col min="223" max="16384" width="15.7109375" style="9" customWidth="1"/>
  </cols>
  <sheetData>
    <row r="1" ht="12.75">
      <c r="B1" s="8"/>
    </row>
    <row r="2" spans="2:22" s="11" customFormat="1" ht="18">
      <c r="B2" s="543"/>
      <c r="C2" s="543"/>
      <c r="D2" s="543"/>
      <c r="E2" s="543"/>
      <c r="F2" s="543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43"/>
      <c r="C3" s="543"/>
      <c r="D3" s="543"/>
      <c r="E3" s="543"/>
      <c r="F3" s="543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6" t="s">
        <v>115</v>
      </c>
      <c r="C6" s="376"/>
      <c r="D6" s="376"/>
      <c r="E6" s="376"/>
      <c r="F6" s="376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7" t="s">
        <v>167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0" t="s">
        <v>156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6" t="s">
        <v>248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6" t="s">
        <v>114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6" s="27" customFormat="1" ht="18" customHeight="1">
      <c r="B12" s="576" t="s">
        <v>142</v>
      </c>
      <c r="C12" s="552">
        <v>2009</v>
      </c>
      <c r="D12" s="548">
        <v>2010</v>
      </c>
      <c r="E12" s="544">
        <v>2011</v>
      </c>
      <c r="F12" s="552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2">
        <v>2013</v>
      </c>
      <c r="S12" s="552">
        <v>2014</v>
      </c>
      <c r="T12" s="561">
        <v>2015</v>
      </c>
      <c r="U12" s="567">
        <v>2016</v>
      </c>
      <c r="V12" s="539">
        <v>2017</v>
      </c>
      <c r="W12" s="574">
        <v>2018</v>
      </c>
      <c r="X12" s="556">
        <v>2019</v>
      </c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12"/>
    </row>
    <row r="13" spans="2:36" s="27" customFormat="1" ht="18" customHeight="1">
      <c r="B13" s="577"/>
      <c r="C13" s="553"/>
      <c r="D13" s="549"/>
      <c r="E13" s="545"/>
      <c r="F13" s="553"/>
      <c r="G13" s="107" t="s">
        <v>99</v>
      </c>
      <c r="H13" s="107" t="s">
        <v>100</v>
      </c>
      <c r="I13" s="108" t="s">
        <v>105</v>
      </c>
      <c r="J13" s="108" t="s">
        <v>107</v>
      </c>
      <c r="K13" s="108" t="s">
        <v>111</v>
      </c>
      <c r="L13" s="108" t="s">
        <v>124</v>
      </c>
      <c r="M13" s="108" t="s">
        <v>143</v>
      </c>
      <c r="N13" s="108" t="s">
        <v>145</v>
      </c>
      <c r="O13" s="108" t="s">
        <v>147</v>
      </c>
      <c r="P13" s="108" t="s">
        <v>150</v>
      </c>
      <c r="Q13" s="108" t="s">
        <v>152</v>
      </c>
      <c r="R13" s="553"/>
      <c r="S13" s="553"/>
      <c r="T13" s="562"/>
      <c r="U13" s="568"/>
      <c r="V13" s="540"/>
      <c r="W13" s="575"/>
      <c r="X13" s="511" t="s">
        <v>99</v>
      </c>
      <c r="Y13" s="435" t="s">
        <v>100</v>
      </c>
      <c r="Z13" s="439" t="s">
        <v>105</v>
      </c>
      <c r="AA13" s="441" t="s">
        <v>166</v>
      </c>
      <c r="AB13" s="447" t="s">
        <v>176</v>
      </c>
      <c r="AC13" s="439" t="s">
        <v>124</v>
      </c>
      <c r="AD13" s="449" t="s">
        <v>143</v>
      </c>
      <c r="AE13" s="460" t="s">
        <v>145</v>
      </c>
      <c r="AF13" s="464" t="s">
        <v>147</v>
      </c>
      <c r="AG13" s="495" t="s">
        <v>150</v>
      </c>
      <c r="AH13" s="449" t="s">
        <v>152</v>
      </c>
      <c r="AI13" s="494" t="s">
        <v>178</v>
      </c>
      <c r="AJ13" s="512"/>
    </row>
    <row r="14" spans="2:36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6"/>
      <c r="U14" s="409"/>
      <c r="V14" s="461"/>
      <c r="W14" s="496"/>
      <c r="X14" s="409"/>
      <c r="Y14" s="436"/>
      <c r="Z14" s="182"/>
      <c r="AA14" s="436"/>
      <c r="AB14" s="448"/>
      <c r="AC14" s="182"/>
      <c r="AD14" s="450"/>
      <c r="AE14" s="461"/>
      <c r="AF14" s="410"/>
      <c r="AG14" s="496"/>
      <c r="AH14" s="450"/>
      <c r="AI14" s="450"/>
      <c r="AJ14" s="512"/>
    </row>
    <row r="15" spans="2:37" s="25" customFormat="1" ht="21.75" customHeight="1">
      <c r="B15" s="178" t="s">
        <v>34</v>
      </c>
      <c r="C15" s="501">
        <v>1389</v>
      </c>
      <c r="D15" s="501">
        <v>2144</v>
      </c>
      <c r="E15" s="499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7">
        <v>2258.8960634599985</v>
      </c>
      <c r="U15" s="411">
        <v>2931.5247573100005</v>
      </c>
      <c r="V15" s="437">
        <v>2816.8010528699997</v>
      </c>
      <c r="W15" s="497">
        <v>2585.67327702</v>
      </c>
      <c r="X15" s="411">
        <v>2124.1317140900005</v>
      </c>
      <c r="Y15" s="437">
        <v>1798.9889579199998</v>
      </c>
      <c r="Z15" s="33">
        <v>1533.4896107000002</v>
      </c>
      <c r="AA15" s="437">
        <v>0</v>
      </c>
      <c r="AB15" s="407">
        <v>0</v>
      </c>
      <c r="AC15" s="33">
        <v>0</v>
      </c>
      <c r="AD15" s="451">
        <v>0</v>
      </c>
      <c r="AE15" s="462">
        <v>0</v>
      </c>
      <c r="AF15" s="412">
        <v>0</v>
      </c>
      <c r="AG15" s="497">
        <v>0</v>
      </c>
      <c r="AH15" s="451">
        <v>0</v>
      </c>
      <c r="AI15" s="451">
        <v>0</v>
      </c>
      <c r="AJ15" s="513"/>
      <c r="AK15" s="476"/>
    </row>
    <row r="16" spans="2:37" s="25" customFormat="1" ht="21.75" customHeight="1">
      <c r="B16" s="178" t="s">
        <v>33</v>
      </c>
      <c r="C16" s="501">
        <v>256</v>
      </c>
      <c r="D16" s="501">
        <v>389</v>
      </c>
      <c r="E16" s="499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7">
        <v>4201.51382237</v>
      </c>
      <c r="U16" s="411">
        <v>4539.076503679999</v>
      </c>
      <c r="V16" s="437">
        <v>5985.46242653</v>
      </c>
      <c r="W16" s="497">
        <v>7233.929935290001</v>
      </c>
      <c r="X16" s="411">
        <v>7194.09711483</v>
      </c>
      <c r="Y16" s="437">
        <v>7179.69510745</v>
      </c>
      <c r="Z16" s="33">
        <v>7079.15421456</v>
      </c>
      <c r="AA16" s="437">
        <v>0</v>
      </c>
      <c r="AB16" s="407">
        <v>0</v>
      </c>
      <c r="AC16" s="33">
        <v>0</v>
      </c>
      <c r="AD16" s="451">
        <v>0</v>
      </c>
      <c r="AE16" s="462">
        <v>0</v>
      </c>
      <c r="AF16" s="412">
        <v>0</v>
      </c>
      <c r="AG16" s="497">
        <v>0</v>
      </c>
      <c r="AH16" s="451">
        <v>0</v>
      </c>
      <c r="AI16" s="451">
        <v>0</v>
      </c>
      <c r="AJ16" s="514"/>
      <c r="AK16" s="476"/>
    </row>
    <row r="17" spans="2:36" s="25" customFormat="1" ht="6" customHeight="1">
      <c r="B17" s="179"/>
      <c r="C17" s="502"/>
      <c r="D17" s="502"/>
      <c r="E17" s="500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8"/>
      <c r="U17" s="413"/>
      <c r="V17" s="463"/>
      <c r="W17" s="498"/>
      <c r="X17" s="413"/>
      <c r="Y17" s="438"/>
      <c r="Z17" s="35"/>
      <c r="AA17" s="438"/>
      <c r="AB17" s="408"/>
      <c r="AC17" s="35"/>
      <c r="AD17" s="452"/>
      <c r="AE17" s="463"/>
      <c r="AF17" s="414"/>
      <c r="AG17" s="498"/>
      <c r="AH17" s="452"/>
      <c r="AI17" s="452"/>
      <c r="AJ17" s="513"/>
    </row>
    <row r="18" spans="2:36" s="27" customFormat="1" ht="15" customHeight="1">
      <c r="B18" s="570" t="s">
        <v>101</v>
      </c>
      <c r="C18" s="572">
        <f aca="true" t="shared" si="0" ref="C18:H18">SUM(C15:C16)</f>
        <v>1645</v>
      </c>
      <c r="D18" s="572">
        <f t="shared" si="0"/>
        <v>2533</v>
      </c>
      <c r="E18" s="565">
        <f t="shared" si="0"/>
        <v>2778</v>
      </c>
      <c r="F18" s="572">
        <f t="shared" si="0"/>
        <v>3231.62940566</v>
      </c>
      <c r="G18" s="563">
        <f t="shared" si="0"/>
        <v>3978.2822575499995</v>
      </c>
      <c r="H18" s="563">
        <f t="shared" si="0"/>
        <v>4283.16118678</v>
      </c>
      <c r="I18" s="550">
        <f aca="true" t="shared" si="1" ref="I18:N18">SUM(I15:I16)</f>
        <v>4271.37034379</v>
      </c>
      <c r="J18" s="550">
        <f t="shared" si="1"/>
        <v>3622.58121752</v>
      </c>
      <c r="K18" s="550">
        <f t="shared" si="1"/>
        <v>3177.2183911999996</v>
      </c>
      <c r="L18" s="550">
        <f t="shared" si="1"/>
        <v>3224.1298934800006</v>
      </c>
      <c r="M18" s="550">
        <f t="shared" si="1"/>
        <v>3273.10540427</v>
      </c>
      <c r="N18" s="550">
        <f t="shared" si="1"/>
        <v>3382.31552197</v>
      </c>
      <c r="O18" s="550">
        <f>+O15+O16</f>
        <v>3510.4566990000008</v>
      </c>
      <c r="P18" s="550">
        <f>+P15+P16</f>
        <v>3663.6902058299997</v>
      </c>
      <c r="Q18" s="550">
        <f>+Q15+Q16</f>
        <v>3934.70126796</v>
      </c>
      <c r="R18" s="550">
        <f>+R15+R16</f>
        <v>4098.53643417</v>
      </c>
      <c r="S18" s="550">
        <f>+S15+S16</f>
        <v>5844.665124709998</v>
      </c>
      <c r="T18" s="541">
        <f aca="true" t="shared" si="2" ref="T18:AB18">+T16+T15</f>
        <v>6460.4098858299985</v>
      </c>
      <c r="U18" s="546">
        <f>+U16+U15</f>
        <v>7470.60126099</v>
      </c>
      <c r="V18" s="541">
        <f>+V16+V15</f>
        <v>8802.2634794</v>
      </c>
      <c r="W18" s="559">
        <f>+W16+W15</f>
        <v>9819.603212310001</v>
      </c>
      <c r="X18" s="559">
        <f t="shared" si="2"/>
        <v>9318.22882892</v>
      </c>
      <c r="Y18" s="565">
        <f t="shared" si="2"/>
        <v>8978.68406537</v>
      </c>
      <c r="Z18" s="546">
        <f t="shared" si="2"/>
        <v>8612.64382526</v>
      </c>
      <c r="AA18" s="565">
        <f t="shared" si="2"/>
        <v>0</v>
      </c>
      <c r="AB18" s="541">
        <f t="shared" si="2"/>
        <v>0</v>
      </c>
      <c r="AC18" s="546">
        <f aca="true" t="shared" si="3" ref="AC18:AH18">+AC16+AC15</f>
        <v>0</v>
      </c>
      <c r="AD18" s="554">
        <f t="shared" si="3"/>
        <v>0</v>
      </c>
      <c r="AE18" s="541">
        <f t="shared" si="3"/>
        <v>0</v>
      </c>
      <c r="AF18" s="550">
        <f t="shared" si="3"/>
        <v>0</v>
      </c>
      <c r="AG18" s="559">
        <f t="shared" si="3"/>
        <v>0</v>
      </c>
      <c r="AH18" s="554">
        <f t="shared" si="3"/>
        <v>0</v>
      </c>
      <c r="AI18" s="554">
        <f>+AI16+AI15</f>
        <v>0</v>
      </c>
      <c r="AJ18" s="512"/>
    </row>
    <row r="19" spans="2:37" s="27" customFormat="1" ht="15" customHeight="1">
      <c r="B19" s="571"/>
      <c r="C19" s="573"/>
      <c r="D19" s="573"/>
      <c r="E19" s="566"/>
      <c r="F19" s="573"/>
      <c r="G19" s="564"/>
      <c r="H19" s="564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42"/>
      <c r="U19" s="547"/>
      <c r="V19" s="542"/>
      <c r="W19" s="560"/>
      <c r="X19" s="560"/>
      <c r="Y19" s="566"/>
      <c r="Z19" s="547"/>
      <c r="AA19" s="566"/>
      <c r="AB19" s="542"/>
      <c r="AC19" s="547"/>
      <c r="AD19" s="555"/>
      <c r="AE19" s="542"/>
      <c r="AF19" s="551"/>
      <c r="AG19" s="560"/>
      <c r="AH19" s="555"/>
      <c r="AI19" s="555"/>
      <c r="AJ19" s="512"/>
      <c r="AK19" s="476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5" s="25" customFormat="1" ht="28.5" customHeight="1">
      <c r="B22" s="569"/>
      <c r="C22" s="569"/>
      <c r="D22" s="569"/>
      <c r="E22" s="569"/>
      <c r="F22" s="569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188"/>
      <c r="Y22" s="188"/>
      <c r="Z22" s="188"/>
      <c r="AA22" s="203"/>
      <c r="AB22" s="203"/>
      <c r="AC22" s="203"/>
      <c r="AD22" s="203"/>
      <c r="AE22" s="203"/>
      <c r="AF22" s="203"/>
      <c r="AG22" s="203"/>
      <c r="AH22" s="203"/>
      <c r="AI22" s="203"/>
    </row>
    <row r="23" spans="2:30" s="25" customFormat="1" ht="28.5" customHeight="1">
      <c r="B23" s="569"/>
      <c r="C23" s="569"/>
      <c r="D23" s="569"/>
      <c r="E23" s="569"/>
      <c r="F23" s="569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D23" s="203"/>
    </row>
    <row r="24" spans="2:30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D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0">
    <mergeCell ref="W12:W13"/>
    <mergeCell ref="W18:W19"/>
    <mergeCell ref="B12:B13"/>
    <mergeCell ref="AI18:AI19"/>
    <mergeCell ref="J18:J19"/>
    <mergeCell ref="S18:S19"/>
    <mergeCell ref="N18:N19"/>
    <mergeCell ref="S12:S13"/>
    <mergeCell ref="L18:L19"/>
    <mergeCell ref="P18:P19"/>
    <mergeCell ref="U12:U13"/>
    <mergeCell ref="M18:M19"/>
    <mergeCell ref="B23:F23"/>
    <mergeCell ref="B18:B19"/>
    <mergeCell ref="C18:C19"/>
    <mergeCell ref="D18:D19"/>
    <mergeCell ref="E18:E19"/>
    <mergeCell ref="G18:G19"/>
    <mergeCell ref="B22:F22"/>
    <mergeCell ref="F18:F19"/>
    <mergeCell ref="AH18:AH19"/>
    <mergeCell ref="AG18:AG19"/>
    <mergeCell ref="H18:H19"/>
    <mergeCell ref="I18:I19"/>
    <mergeCell ref="Q18:Q19"/>
    <mergeCell ref="R18:R19"/>
    <mergeCell ref="AA18:AA19"/>
    <mergeCell ref="T18:T19"/>
    <mergeCell ref="K18:K19"/>
    <mergeCell ref="Y18:Y19"/>
    <mergeCell ref="AF18:AF19"/>
    <mergeCell ref="R12:R13"/>
    <mergeCell ref="AD18:AD19"/>
    <mergeCell ref="X12:AI12"/>
    <mergeCell ref="AB18:AB19"/>
    <mergeCell ref="X18:X19"/>
    <mergeCell ref="T12:T13"/>
    <mergeCell ref="AC18:AC19"/>
    <mergeCell ref="AE18:AE19"/>
    <mergeCell ref="Z18:Z19"/>
    <mergeCell ref="V12:V13"/>
    <mergeCell ref="V18:V19"/>
    <mergeCell ref="B2:F2"/>
    <mergeCell ref="B3:F3"/>
    <mergeCell ref="E12:E13"/>
    <mergeCell ref="U18:U19"/>
    <mergeCell ref="D12:D13"/>
    <mergeCell ref="O18:O19"/>
    <mergeCell ref="C12:C13"/>
    <mergeCell ref="F12:F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6"/>
    </row>
    <row r="2" spans="2:14" s="1" customFormat="1" ht="13.5" customHeight="1">
      <c r="B2" s="543"/>
      <c r="C2" s="543"/>
      <c r="D2" s="543"/>
      <c r="E2" s="171"/>
      <c r="F2" s="356"/>
      <c r="G2" s="171"/>
      <c r="H2" s="171"/>
      <c r="I2" s="171"/>
      <c r="J2" s="171"/>
      <c r="M2" s="227"/>
      <c r="N2" s="227"/>
    </row>
    <row r="3" spans="2:14" s="1" customFormat="1" ht="13.5" customHeight="1">
      <c r="B3" s="543"/>
      <c r="C3" s="543"/>
      <c r="D3" s="543"/>
      <c r="E3" s="171"/>
      <c r="F3" s="356"/>
      <c r="G3" s="171"/>
      <c r="H3" s="171"/>
      <c r="I3" s="171"/>
      <c r="J3" s="171"/>
      <c r="M3" s="227"/>
      <c r="N3" s="227"/>
    </row>
    <row r="4" spans="2:14" s="1" customFormat="1" ht="18">
      <c r="B4" s="543"/>
      <c r="C4" s="543"/>
      <c r="D4" s="543"/>
      <c r="E4" s="171"/>
      <c r="F4" s="356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6"/>
      <c r="H5" s="171"/>
      <c r="I5" s="280"/>
      <c r="J5" s="171"/>
      <c r="M5" s="228"/>
      <c r="N5" s="228"/>
    </row>
    <row r="6" spans="2:7" ht="18">
      <c r="B6" s="321" t="s">
        <v>137</v>
      </c>
      <c r="C6" s="321"/>
      <c r="D6" s="321"/>
      <c r="F6" s="356"/>
      <c r="G6" s="279"/>
    </row>
    <row r="7" spans="2:7" ht="18">
      <c r="B7" s="321" t="s">
        <v>136</v>
      </c>
      <c r="C7" s="321"/>
      <c r="D7" s="321"/>
      <c r="F7" s="356"/>
      <c r="G7" s="281"/>
    </row>
    <row r="8" spans="2:6" ht="15.75">
      <c r="B8" s="184" t="s">
        <v>154</v>
      </c>
      <c r="C8" s="184"/>
      <c r="D8" s="184"/>
      <c r="F8" s="356"/>
    </row>
    <row r="9" spans="2:14" s="3" customFormat="1" ht="15.75">
      <c r="B9" s="133" t="s">
        <v>249</v>
      </c>
      <c r="C9" s="269"/>
      <c r="D9" s="137"/>
      <c r="E9" s="320">
        <f>+Portada!H39</f>
        <v>3.321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6"/>
    </row>
    <row r="11" spans="2:12" ht="18.75" customHeight="1">
      <c r="B11" s="582" t="s">
        <v>157</v>
      </c>
      <c r="C11" s="584" t="s">
        <v>88</v>
      </c>
      <c r="D11" s="584" t="s">
        <v>165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3"/>
      <c r="C12" s="585"/>
      <c r="D12" s="585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7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80">
        <f>SUM(C15:C16)</f>
        <v>1325473.8386000001</v>
      </c>
      <c r="D14" s="478">
        <f>SUM(D15:D16)</f>
        <v>4401898.61799</v>
      </c>
      <c r="E14" s="322"/>
      <c r="F14" s="515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81">
        <v>595735.75292</v>
      </c>
      <c r="D15" s="479">
        <f>ROUND(+C15*$E$9,5)</f>
        <v>1978438.43545</v>
      </c>
      <c r="E15" s="326"/>
      <c r="F15" s="475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81">
        <v>729738.0856800001</v>
      </c>
      <c r="D16" s="479">
        <f>ROUND(+C16*$E$9,5)</f>
        <v>2423460.18254</v>
      </c>
      <c r="E16" s="326"/>
      <c r="F16" s="475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81"/>
      <c r="D17" s="479"/>
      <c r="E17" s="322"/>
      <c r="F17" s="442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80">
        <f>SUM(C19:C20)</f>
        <v>6763948.656889999</v>
      </c>
      <c r="D18" s="478">
        <f>SUM(D19:D20)</f>
        <v>22463073.48953</v>
      </c>
      <c r="E18" s="322"/>
      <c r="F18" s="515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81">
        <v>3527231.53349</v>
      </c>
      <c r="D19" s="479">
        <f>ROUND(+C19*$E$9,5)</f>
        <v>11713935.92272</v>
      </c>
      <c r="E19" s="322"/>
      <c r="F19" s="359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112</v>
      </c>
      <c r="C20" s="481">
        <v>3236717.1234</v>
      </c>
      <c r="D20" s="479">
        <f>ROUND(+C20*$E$9,5)</f>
        <v>10749137.56681</v>
      </c>
      <c r="E20" s="322"/>
      <c r="F20" s="360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81"/>
      <c r="D21" s="479"/>
      <c r="E21" s="322"/>
      <c r="F21" s="361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78" t="s">
        <v>61</v>
      </c>
      <c r="C22" s="580">
        <f>+C18+C14</f>
        <v>8089422.49549</v>
      </c>
      <c r="D22" s="580">
        <f>+D18+D14</f>
        <v>26864972.10752</v>
      </c>
      <c r="E22" s="322"/>
      <c r="F22" s="358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79"/>
      <c r="C23" s="581"/>
      <c r="D23" s="581"/>
      <c r="E23" s="322"/>
      <c r="F23" s="361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74"/>
      <c r="D24" s="323"/>
      <c r="E24" s="322"/>
      <c r="F24" s="361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2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2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2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1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117</v>
      </c>
      <c r="C29" s="129"/>
      <c r="D29" s="129"/>
      <c r="E29" s="322"/>
      <c r="F29" s="361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137</v>
      </c>
      <c r="C30" s="321"/>
      <c r="D30" s="321"/>
      <c r="E30" s="322"/>
      <c r="F30" s="361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138</v>
      </c>
      <c r="C31" s="321"/>
      <c r="D31" s="321"/>
      <c r="E31" s="322"/>
      <c r="F31" s="361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154</v>
      </c>
      <c r="C32" s="184"/>
      <c r="D32" s="184"/>
      <c r="E32" s="322"/>
      <c r="F32" s="361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marzo de 2019</v>
      </c>
      <c r="C33" s="256"/>
      <c r="D33" s="137"/>
      <c r="E33" s="334"/>
      <c r="F33" s="361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1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82" t="s">
        <v>157</v>
      </c>
      <c r="C35" s="584" t="s">
        <v>88</v>
      </c>
      <c r="D35" s="584" t="s">
        <v>165</v>
      </c>
      <c r="E35" s="322"/>
      <c r="F35" s="361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3"/>
      <c r="C36" s="585"/>
      <c r="D36" s="585"/>
      <c r="E36" s="322"/>
      <c r="F36" s="361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1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148</v>
      </c>
      <c r="C38" s="480">
        <f>SUM(C39:C40)</f>
        <v>208015.77209999997</v>
      </c>
      <c r="D38" s="478">
        <f>SUM(D39:D40)</f>
        <v>690820.3791440999</v>
      </c>
      <c r="E38" s="322"/>
      <c r="F38" s="358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24</v>
      </c>
      <c r="C39" s="481">
        <v>208015.77209999997</v>
      </c>
      <c r="D39" s="479">
        <f>+C39*$E$9</f>
        <v>690820.3791440999</v>
      </c>
      <c r="E39" s="322"/>
      <c r="F39" s="360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21.75" customHeight="1" hidden="1">
      <c r="B40" s="15" t="s">
        <v>25</v>
      </c>
      <c r="C40" s="481">
        <v>0</v>
      </c>
      <c r="D40" s="479">
        <f>+C40*$E$9</f>
        <v>0</v>
      </c>
      <c r="E40" s="322"/>
      <c r="F40" s="361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81"/>
      <c r="D41" s="479"/>
      <c r="E41" s="322"/>
      <c r="F41" s="361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149</v>
      </c>
      <c r="C42" s="480">
        <f>SUM(C43:C43)</f>
        <v>315205.55767</v>
      </c>
      <c r="D42" s="478">
        <f>SUM(D43:D43)</f>
        <v>1046797.6570220701</v>
      </c>
      <c r="E42" s="322"/>
      <c r="F42" s="358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24</v>
      </c>
      <c r="C43" s="481">
        <v>315205.55767</v>
      </c>
      <c r="D43" s="479">
        <f>+C43*$E$9</f>
        <v>1046797.6570220701</v>
      </c>
      <c r="E43" s="322"/>
      <c r="F43" s="360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7.5" customHeight="1">
      <c r="B44" s="15"/>
      <c r="C44" s="481"/>
      <c r="D44" s="479"/>
      <c r="E44" s="322"/>
      <c r="F44" s="325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15" customHeight="1">
      <c r="B45" s="578" t="s">
        <v>61</v>
      </c>
      <c r="C45" s="580">
        <f>+C42+C38</f>
        <v>523221.32976999995</v>
      </c>
      <c r="D45" s="580">
        <f>+D42+D38</f>
        <v>1737618.0361661701</v>
      </c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6" customFormat="1" ht="15" customHeight="1">
      <c r="B46" s="579"/>
      <c r="C46" s="581"/>
      <c r="D46" s="581"/>
      <c r="E46" s="322"/>
      <c r="F46" s="351"/>
      <c r="G46" s="325"/>
      <c r="H46" s="322"/>
      <c r="I46" s="322"/>
      <c r="J46" s="322"/>
      <c r="K46" s="324"/>
      <c r="L46" s="324"/>
      <c r="M46" s="231"/>
      <c r="N46" s="231"/>
    </row>
    <row r="47" spans="2:12" ht="16.5" customHeight="1">
      <c r="B47" s="28" t="s">
        <v>140</v>
      </c>
      <c r="C47" s="205"/>
      <c r="E47" s="322"/>
      <c r="F47" s="325"/>
      <c r="G47" s="325"/>
      <c r="H47" s="322"/>
      <c r="I47" s="322"/>
      <c r="J47" s="322"/>
      <c r="K47" s="323"/>
      <c r="L47" s="323"/>
    </row>
    <row r="48" spans="2:12" ht="12.75">
      <c r="B48" s="2" t="s">
        <v>141</v>
      </c>
      <c r="C48" s="205"/>
      <c r="D48" s="205"/>
      <c r="E48" s="322"/>
      <c r="F48" s="322"/>
      <c r="G48" s="322"/>
      <c r="H48" s="322"/>
      <c r="I48" s="322"/>
      <c r="J48" s="322"/>
      <c r="K48" s="323"/>
      <c r="L48" s="323"/>
    </row>
    <row r="49" spans="2:12" ht="12.75">
      <c r="B49" s="323"/>
      <c r="C49" s="626"/>
      <c r="D49" s="343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343"/>
      <c r="D50" s="446"/>
      <c r="E50" s="322"/>
      <c r="F50" s="322"/>
      <c r="G50" s="322"/>
      <c r="H50" s="322"/>
      <c r="I50" s="322"/>
      <c r="J50" s="322"/>
      <c r="K50" s="323"/>
      <c r="L50" s="323"/>
    </row>
    <row r="51" spans="2:4" ht="12.75">
      <c r="B51" s="323"/>
      <c r="C51" s="344"/>
      <c r="D51" s="323"/>
    </row>
    <row r="52" spans="2:4" ht="12.75">
      <c r="B52" s="323"/>
      <c r="C52" s="343"/>
      <c r="D52" s="34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442"/>
      <c r="D55" s="442"/>
    </row>
    <row r="56" spans="2:4" ht="12.75">
      <c r="B56" s="323"/>
      <c r="C56" s="343"/>
      <c r="D56" s="343"/>
    </row>
    <row r="57" spans="2:4" ht="12.75">
      <c r="B57" s="323"/>
      <c r="C57" s="343"/>
      <c r="D57" s="343"/>
    </row>
    <row r="58" spans="2:4" ht="12.75">
      <c r="B58" s="323"/>
      <c r="C58" s="343"/>
      <c r="D58" s="323"/>
    </row>
    <row r="59" spans="2:4" ht="12.75">
      <c r="B59" s="323"/>
      <c r="C59" s="344"/>
      <c r="D59" s="323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5:B46"/>
    <mergeCell ref="C45:C46"/>
    <mergeCell ref="D45:D46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137</v>
      </c>
      <c r="C6" s="321"/>
      <c r="D6" s="321"/>
      <c r="M6" s="190"/>
    </row>
    <row r="7" spans="2:13" s="136" customFormat="1" ht="18">
      <c r="B7" s="321" t="s">
        <v>136</v>
      </c>
      <c r="C7" s="321"/>
      <c r="D7" s="321"/>
      <c r="M7" s="190"/>
    </row>
    <row r="8" spans="2:13" s="136" customFormat="1" ht="18">
      <c r="B8" s="345" t="s">
        <v>37</v>
      </c>
      <c r="C8" s="184"/>
      <c r="D8" s="184"/>
      <c r="M8" s="190"/>
    </row>
    <row r="9" spans="2:13" s="136" customFormat="1" ht="18">
      <c r="B9" s="586" t="str">
        <f>+'DEP-C2'!B9</f>
        <v>Al 31 de marzo de 2019</v>
      </c>
      <c r="C9" s="586"/>
      <c r="D9" s="267"/>
      <c r="E9" s="320">
        <f>+Portada!H39</f>
        <v>3.321</v>
      </c>
      <c r="M9" s="190"/>
    </row>
    <row r="10" spans="2:13" s="65" customFormat="1" ht="9.75" customHeight="1">
      <c r="B10" s="587"/>
      <c r="C10" s="587"/>
      <c r="D10" s="587"/>
      <c r="E10" s="284"/>
      <c r="M10" s="165"/>
    </row>
    <row r="11" spans="2:4" ht="16.5" customHeight="1">
      <c r="B11" s="592" t="s">
        <v>95</v>
      </c>
      <c r="C11" s="594" t="s">
        <v>88</v>
      </c>
      <c r="D11" s="584" t="s">
        <v>165</v>
      </c>
    </row>
    <row r="12" spans="2:13" s="81" customFormat="1" ht="16.5" customHeight="1">
      <c r="B12" s="593"/>
      <c r="C12" s="595"/>
      <c r="D12" s="585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82">
        <f>SUM(C15:C16)</f>
        <v>1310273.4161</v>
      </c>
      <c r="D14" s="385">
        <f>SUM(D15:D16)</f>
        <v>4351418.01487</v>
      </c>
      <c r="M14" s="166"/>
    </row>
    <row r="15" spans="2:13" s="81" customFormat="1" ht="16.5">
      <c r="B15" s="80" t="s">
        <v>25</v>
      </c>
      <c r="C15" s="483">
        <v>969400.60574</v>
      </c>
      <c r="D15" s="396">
        <f>ROUND(+C15*$E$9,5)</f>
        <v>3219379.41166</v>
      </c>
      <c r="E15" s="285"/>
      <c r="F15" s="442"/>
      <c r="G15" s="286"/>
      <c r="M15" s="166"/>
    </row>
    <row r="16" spans="2:13" s="81" customFormat="1" ht="16.5">
      <c r="B16" s="80" t="s">
        <v>24</v>
      </c>
      <c r="C16" s="483">
        <v>340872.8103600001</v>
      </c>
      <c r="D16" s="396">
        <f>ROUND(+C16*$E$9,5)</f>
        <v>1132038.60321</v>
      </c>
      <c r="E16" s="285"/>
      <c r="F16" s="442"/>
      <c r="M16" s="166"/>
    </row>
    <row r="17" spans="2:13" s="81" customFormat="1" ht="15" customHeight="1">
      <c r="B17" s="64"/>
      <c r="C17" s="484"/>
      <c r="D17" s="384"/>
      <c r="M17" s="166"/>
    </row>
    <row r="18" spans="2:13" s="81" customFormat="1" ht="16.5">
      <c r="B18" s="163" t="s">
        <v>63</v>
      </c>
      <c r="C18" s="482">
        <f>SUM(C19:C20)</f>
        <v>6779149.079390001</v>
      </c>
      <c r="D18" s="482">
        <f>SUM(D19:D20)</f>
        <v>22513554.092660002</v>
      </c>
      <c r="E18" s="285"/>
      <c r="M18" s="166"/>
    </row>
    <row r="19" spans="2:13" s="81" customFormat="1" ht="16.5">
      <c r="B19" s="80" t="s">
        <v>25</v>
      </c>
      <c r="C19" s="483">
        <f>+C23+C27+C31</f>
        <v>3153566.68067</v>
      </c>
      <c r="D19" s="483">
        <f>+D23+D27+D31</f>
        <v>10472994.94651</v>
      </c>
      <c r="M19" s="166"/>
    </row>
    <row r="20" spans="2:13" s="81" customFormat="1" ht="16.5">
      <c r="B20" s="80" t="s">
        <v>24</v>
      </c>
      <c r="C20" s="483">
        <f>+C24+C28+C32</f>
        <v>3625582.39872</v>
      </c>
      <c r="D20" s="483">
        <f>+D24+D28+D32</f>
        <v>12040559.14615</v>
      </c>
      <c r="M20" s="166"/>
    </row>
    <row r="21" spans="2:13" s="81" customFormat="1" ht="9.75" customHeight="1">
      <c r="B21" s="82"/>
      <c r="C21" s="483"/>
      <c r="D21" s="396"/>
      <c r="M21" s="166"/>
    </row>
    <row r="22" spans="2:13" s="81" customFormat="1" ht="16.5">
      <c r="B22" s="347" t="s">
        <v>181</v>
      </c>
      <c r="C22" s="485">
        <f>SUM(C23:C24)</f>
        <v>6444390.89913</v>
      </c>
      <c r="D22" s="383">
        <f>SUM(D23:D24)</f>
        <v>21401822.176009998</v>
      </c>
      <c r="G22" s="285"/>
      <c r="I22" s="287"/>
      <c r="M22" s="166"/>
    </row>
    <row r="23" spans="2:13" s="81" customFormat="1" ht="16.5">
      <c r="B23" s="348" t="s">
        <v>25</v>
      </c>
      <c r="C23" s="484">
        <v>2934936.87836</v>
      </c>
      <c r="D23" s="384">
        <f>ROUND(+C23*$E$9,5)</f>
        <v>9746925.37303</v>
      </c>
      <c r="G23" s="285"/>
      <c r="I23" s="287"/>
      <c r="M23" s="166"/>
    </row>
    <row r="24" spans="2:13" s="81" customFormat="1" ht="16.5">
      <c r="B24" s="348" t="s">
        <v>24</v>
      </c>
      <c r="C24" s="484">
        <v>3509454.02077</v>
      </c>
      <c r="D24" s="384">
        <f>ROUND(+C24*$E$9,5)</f>
        <v>11654896.80298</v>
      </c>
      <c r="M24" s="166"/>
    </row>
    <row r="25" spans="2:13" s="81" customFormat="1" ht="9.75" customHeight="1">
      <c r="B25" s="82"/>
      <c r="C25" s="483"/>
      <c r="D25" s="396"/>
      <c r="M25" s="166"/>
    </row>
    <row r="26" spans="2:13" s="81" customFormat="1" ht="16.5">
      <c r="B26" s="347" t="s">
        <v>182</v>
      </c>
      <c r="C26" s="485">
        <f>SUM(C27:C28)</f>
        <v>203261.43076999998</v>
      </c>
      <c r="D26" s="383">
        <f>SUM(D27:D28)</f>
        <v>675031.21159</v>
      </c>
      <c r="G26" s="288"/>
      <c r="M26" s="166"/>
    </row>
    <row r="27" spans="2:13" s="81" customFormat="1" ht="16.5">
      <c r="B27" s="348" t="s">
        <v>25</v>
      </c>
      <c r="C27" s="484">
        <v>98893.44444</v>
      </c>
      <c r="D27" s="384">
        <f>ROUND(+C27*$E$9,5)</f>
        <v>328425.12899</v>
      </c>
      <c r="M27" s="166"/>
    </row>
    <row r="28" spans="2:13" s="81" customFormat="1" ht="16.5">
      <c r="B28" s="348" t="s">
        <v>24</v>
      </c>
      <c r="C28" s="484">
        <v>104367.98632999999</v>
      </c>
      <c r="D28" s="384">
        <f>ROUND(+C28*$E$9,5)</f>
        <v>346606.0826</v>
      </c>
      <c r="M28" s="166"/>
    </row>
    <row r="29" spans="2:13" s="81" customFormat="1" ht="9.75" customHeight="1">
      <c r="B29" s="82"/>
      <c r="C29" s="384"/>
      <c r="D29" s="396"/>
      <c r="M29" s="166"/>
    </row>
    <row r="30" spans="2:13" s="81" customFormat="1" ht="16.5">
      <c r="B30" s="349" t="s">
        <v>183</v>
      </c>
      <c r="C30" s="485">
        <f>+SUM(C31:C32)</f>
        <v>131496.74949000002</v>
      </c>
      <c r="D30" s="383">
        <f>SUM(D31:D32)</f>
        <v>436700.70506</v>
      </c>
      <c r="M30" s="166"/>
    </row>
    <row r="31" spans="2:13" s="81" customFormat="1" ht="16.5">
      <c r="B31" s="348" t="s">
        <v>25</v>
      </c>
      <c r="C31" s="484">
        <v>119736.35787</v>
      </c>
      <c r="D31" s="384">
        <f>ROUND(+C31*$E$9,5)</f>
        <v>397644.44449</v>
      </c>
      <c r="M31" s="166"/>
    </row>
    <row r="32" spans="2:13" s="81" customFormat="1" ht="16.5">
      <c r="B32" s="348" t="s">
        <v>24</v>
      </c>
      <c r="C32" s="484">
        <v>11760.391620000002</v>
      </c>
      <c r="D32" s="384">
        <f>ROUND(+C32*$E$9,5)</f>
        <v>39056.26057</v>
      </c>
      <c r="M32" s="166"/>
    </row>
    <row r="33" spans="2:13" s="81" customFormat="1" ht="9.75" customHeight="1">
      <c r="B33" s="194"/>
      <c r="C33" s="484"/>
      <c r="D33" s="384"/>
      <c r="M33" s="166"/>
    </row>
    <row r="34" spans="2:13" s="81" customFormat="1" ht="15" customHeight="1">
      <c r="B34" s="588" t="s">
        <v>61</v>
      </c>
      <c r="C34" s="590">
        <f>+C18+C14</f>
        <v>8089422.495490001</v>
      </c>
      <c r="D34" s="590">
        <f>+D18+D14</f>
        <v>26864972.10753</v>
      </c>
      <c r="M34" s="166"/>
    </row>
    <row r="35" spans="2:13" s="81" customFormat="1" ht="15" customHeight="1">
      <c r="B35" s="589"/>
      <c r="C35" s="591"/>
      <c r="D35" s="591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118</v>
      </c>
      <c r="C40" s="129"/>
      <c r="D40" s="129"/>
      <c r="M40" s="190"/>
    </row>
    <row r="41" spans="2:13" s="136" customFormat="1" ht="18">
      <c r="B41" s="321" t="s">
        <v>137</v>
      </c>
      <c r="C41" s="321"/>
      <c r="D41" s="321"/>
      <c r="M41" s="190"/>
    </row>
    <row r="42" spans="2:13" s="136" customFormat="1" ht="18">
      <c r="B42" s="321" t="s">
        <v>138</v>
      </c>
      <c r="C42" s="321"/>
      <c r="D42" s="321"/>
      <c r="M42" s="190"/>
    </row>
    <row r="43" spans="2:13" s="136" customFormat="1" ht="18">
      <c r="B43" s="345" t="s">
        <v>37</v>
      </c>
      <c r="C43" s="184"/>
      <c r="D43" s="184"/>
      <c r="M43" s="190"/>
    </row>
    <row r="44" spans="2:13" s="136" customFormat="1" ht="18">
      <c r="B44" s="586" t="str">
        <f>+B9</f>
        <v>Al 31 de marzo de 2019</v>
      </c>
      <c r="C44" s="586"/>
      <c r="D44" s="254"/>
      <c r="M44" s="190"/>
    </row>
    <row r="45" spans="2:13" s="65" customFormat="1" ht="9.75" customHeight="1">
      <c r="B45" s="587"/>
      <c r="C45" s="587"/>
      <c r="D45" s="587"/>
      <c r="M45" s="165"/>
    </row>
    <row r="46" spans="2:4" ht="16.5" customHeight="1">
      <c r="B46" s="592" t="s">
        <v>95</v>
      </c>
      <c r="C46" s="594" t="s">
        <v>88</v>
      </c>
      <c r="D46" s="584" t="s">
        <v>165</v>
      </c>
    </row>
    <row r="47" spans="2:13" s="81" customFormat="1" ht="16.5" customHeight="1">
      <c r="B47" s="593"/>
      <c r="C47" s="595"/>
      <c r="D47" s="585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82">
        <f>SUM(C50:C51)</f>
        <v>132410.33545999997</v>
      </c>
      <c r="D49" s="385">
        <f>SUM(D50:D51)</f>
        <v>439734.72406</v>
      </c>
      <c r="F49" s="351"/>
      <c r="M49" s="166"/>
    </row>
    <row r="50" spans="2:13" s="81" customFormat="1" ht="16.5">
      <c r="B50" s="80" t="s">
        <v>24</v>
      </c>
      <c r="C50" s="483">
        <v>132410.33545999997</v>
      </c>
      <c r="D50" s="396">
        <f>ROUND(+C50*$E$9,5)</f>
        <v>439734.72406</v>
      </c>
      <c r="F50" s="350"/>
      <c r="M50" s="166"/>
    </row>
    <row r="51" spans="2:13" s="81" customFormat="1" ht="21.75" customHeight="1" hidden="1">
      <c r="B51" s="82" t="s">
        <v>65</v>
      </c>
      <c r="C51" s="483">
        <v>0</v>
      </c>
      <c r="D51" s="396">
        <f>+C51*$E$9</f>
        <v>0</v>
      </c>
      <c r="M51" s="166"/>
    </row>
    <row r="52" spans="2:13" s="81" customFormat="1" ht="15" customHeight="1">
      <c r="B52" s="64"/>
      <c r="C52" s="484"/>
      <c r="D52" s="384"/>
      <c r="M52" s="166"/>
    </row>
    <row r="53" spans="2:13" s="81" customFormat="1" ht="16.5">
      <c r="B53" s="163" t="s">
        <v>63</v>
      </c>
      <c r="C53" s="482">
        <f>SUM(C54:C54)</f>
        <v>390810.99431</v>
      </c>
      <c r="D53" s="385">
        <f>SUM(D54:D54)</f>
        <v>1297883.3121</v>
      </c>
      <c r="F53" s="351"/>
      <c r="M53" s="166"/>
    </row>
    <row r="54" spans="2:13" s="81" customFormat="1" ht="16.5">
      <c r="B54" s="80" t="s">
        <v>24</v>
      </c>
      <c r="C54" s="483">
        <f>+C57</f>
        <v>390810.99431</v>
      </c>
      <c r="D54" s="396">
        <f>+D56</f>
        <v>1297883.3121</v>
      </c>
      <c r="F54" s="350"/>
      <c r="M54" s="166"/>
    </row>
    <row r="55" spans="2:13" s="81" customFormat="1" ht="9.75" customHeight="1">
      <c r="B55" s="82"/>
      <c r="C55" s="483"/>
      <c r="D55" s="396"/>
      <c r="M55" s="166"/>
    </row>
    <row r="56" spans="2:13" s="81" customFormat="1" ht="16.5">
      <c r="B56" s="347" t="s">
        <v>181</v>
      </c>
      <c r="C56" s="485">
        <f>SUM(C57:C57)</f>
        <v>390810.99431</v>
      </c>
      <c r="D56" s="485">
        <f>SUM(D57:D57)</f>
        <v>1297883.3121</v>
      </c>
      <c r="F56" s="351"/>
      <c r="M56" s="166"/>
    </row>
    <row r="57" spans="2:13" s="81" customFormat="1" ht="16.5">
      <c r="B57" s="348" t="s">
        <v>24</v>
      </c>
      <c r="C57" s="484">
        <v>390810.99431</v>
      </c>
      <c r="D57" s="384">
        <f>ROUND(+C57*$E$9,5)</f>
        <v>1297883.3121</v>
      </c>
      <c r="F57" s="350"/>
      <c r="M57" s="166"/>
    </row>
    <row r="58" spans="2:13" s="81" customFormat="1" ht="21.75" customHeight="1" hidden="1">
      <c r="B58" s="80" t="s">
        <v>67</v>
      </c>
      <c r="C58" s="483">
        <v>0</v>
      </c>
      <c r="D58" s="396">
        <f>+C58*$E$9</f>
        <v>0</v>
      </c>
      <c r="F58" s="206"/>
      <c r="M58" s="166"/>
    </row>
    <row r="59" spans="2:13" s="81" customFormat="1" ht="9.75" customHeight="1">
      <c r="B59" s="194"/>
      <c r="C59" s="484"/>
      <c r="D59" s="384"/>
      <c r="M59" s="166"/>
    </row>
    <row r="60" spans="2:13" s="81" customFormat="1" ht="15" customHeight="1">
      <c r="B60" s="588" t="s">
        <v>61</v>
      </c>
      <c r="C60" s="590">
        <f>+C53+C49</f>
        <v>523221.32976999995</v>
      </c>
      <c r="D60" s="590">
        <f>+D53+D49</f>
        <v>1737618.03616</v>
      </c>
      <c r="M60" s="166"/>
    </row>
    <row r="61" spans="2:13" s="81" customFormat="1" ht="15" customHeight="1">
      <c r="B61" s="589"/>
      <c r="C61" s="591"/>
      <c r="D61" s="591"/>
      <c r="F61" s="351"/>
      <c r="M61" s="166"/>
    </row>
    <row r="63" spans="3:6" ht="12.75">
      <c r="C63" s="193"/>
      <c r="D63" s="131"/>
      <c r="F63" s="352"/>
    </row>
    <row r="64" ht="12.75">
      <c r="C64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0:B61"/>
    <mergeCell ref="C60:C61"/>
    <mergeCell ref="D60:D61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137</v>
      </c>
      <c r="C6" s="321"/>
      <c r="D6" s="321"/>
      <c r="K6" s="132"/>
    </row>
    <row r="7" spans="2:11" ht="18">
      <c r="B7" s="321" t="s">
        <v>136</v>
      </c>
      <c r="C7" s="321"/>
      <c r="D7" s="321"/>
      <c r="K7" s="132"/>
    </row>
    <row r="8" spans="2:11" ht="16.5">
      <c r="B8" s="345" t="s">
        <v>32</v>
      </c>
      <c r="C8" s="184"/>
      <c r="D8" s="184"/>
      <c r="K8" s="132"/>
    </row>
    <row r="9" spans="2:11" s="136" customFormat="1" ht="18">
      <c r="B9" s="133" t="str">
        <f>+'DEP-C2'!B9</f>
        <v>Al 31 de marzo de 2019</v>
      </c>
      <c r="C9" s="133"/>
      <c r="D9" s="267"/>
      <c r="E9" s="320">
        <f>+Portada!H39</f>
        <v>3.321</v>
      </c>
      <c r="K9" s="190"/>
    </row>
    <row r="10" spans="2:11" ht="9.75" customHeight="1">
      <c r="B10" s="596"/>
      <c r="C10" s="596"/>
      <c r="D10" s="596"/>
      <c r="K10" s="132"/>
    </row>
    <row r="11" spans="2:11" ht="16.5" customHeight="1">
      <c r="B11" s="592" t="s">
        <v>96</v>
      </c>
      <c r="C11" s="594" t="s">
        <v>88</v>
      </c>
      <c r="D11" s="584" t="s">
        <v>220</v>
      </c>
      <c r="K11" s="132"/>
    </row>
    <row r="12" spans="2:11" ht="16.5" customHeight="1">
      <c r="B12" s="593"/>
      <c r="C12" s="595"/>
      <c r="D12" s="585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3" t="s">
        <v>90</v>
      </c>
      <c r="C14" s="383">
        <f>+C16+C20</f>
        <v>3966455.20908</v>
      </c>
      <c r="D14" s="383">
        <f>+D16+D20</f>
        <v>13172597.74936</v>
      </c>
      <c r="E14" s="215"/>
      <c r="F14" s="351"/>
      <c r="H14" s="207"/>
      <c r="I14" s="207"/>
      <c r="K14" s="165"/>
    </row>
    <row r="15" spans="2:11" s="65" customFormat="1" ht="9.75" customHeight="1">
      <c r="B15" s="63"/>
      <c r="C15" s="486"/>
      <c r="D15" s="486"/>
      <c r="K15" s="165"/>
    </row>
    <row r="16" spans="2:11" s="65" customFormat="1" ht="16.5" customHeight="1">
      <c r="B16" s="354" t="s">
        <v>33</v>
      </c>
      <c r="C16" s="383">
        <f>SUM(C17:C18)</f>
        <v>3236717.1234</v>
      </c>
      <c r="D16" s="383">
        <f>SUM(D17:D18)</f>
        <v>10749137.56681</v>
      </c>
      <c r="F16" s="477"/>
      <c r="H16" s="208"/>
      <c r="K16" s="165"/>
    </row>
    <row r="17" spans="2:11" s="65" customFormat="1" ht="16.5" customHeight="1">
      <c r="B17" s="346" t="s">
        <v>227</v>
      </c>
      <c r="C17" s="384">
        <v>2000000</v>
      </c>
      <c r="D17" s="384">
        <f>ROUND(+C17*$E$9,5)</f>
        <v>6642000</v>
      </c>
      <c r="F17" s="350"/>
      <c r="H17" s="208"/>
      <c r="K17" s="165"/>
    </row>
    <row r="18" spans="2:11" s="65" customFormat="1" ht="16.5" customHeight="1">
      <c r="B18" s="346" t="s">
        <v>245</v>
      </c>
      <c r="C18" s="384">
        <v>1236717.1234000002</v>
      </c>
      <c r="D18" s="384">
        <f>ROUND(+C18*$E$9,5)</f>
        <v>4107137.56681</v>
      </c>
      <c r="F18" s="350"/>
      <c r="H18" s="208"/>
      <c r="K18" s="165"/>
    </row>
    <row r="19" spans="2:11" s="65" customFormat="1" ht="12" customHeight="1">
      <c r="B19" s="64"/>
      <c r="C19" s="384"/>
      <c r="D19" s="384"/>
      <c r="H19" s="208"/>
      <c r="K19" s="165"/>
    </row>
    <row r="20" spans="2:11" s="65" customFormat="1" ht="16.5" customHeight="1">
      <c r="B20" s="354" t="s">
        <v>34</v>
      </c>
      <c r="C20" s="383">
        <f>SUM(C21:C25)</f>
        <v>729738.08568</v>
      </c>
      <c r="D20" s="383">
        <f>SUM(D21:D25)</f>
        <v>2423460.18255</v>
      </c>
      <c r="F20" s="477"/>
      <c r="H20" s="208"/>
      <c r="K20" s="165"/>
    </row>
    <row r="21" spans="2:11" s="65" customFormat="1" ht="16.5" customHeight="1">
      <c r="B21" s="346" t="s">
        <v>228</v>
      </c>
      <c r="C21" s="384">
        <v>385775.27531999996</v>
      </c>
      <c r="D21" s="384">
        <f>ROUND(+C21*$E$9,5)</f>
        <v>1281159.68934</v>
      </c>
      <c r="E21" s="458"/>
      <c r="F21" s="350"/>
      <c r="H21" s="208"/>
      <c r="K21" s="165"/>
    </row>
    <row r="22" spans="2:11" s="65" customFormat="1" ht="16.5" customHeight="1">
      <c r="B22" s="346" t="s">
        <v>187</v>
      </c>
      <c r="C22" s="384">
        <v>240145.16656000004</v>
      </c>
      <c r="D22" s="384">
        <f>ROUND(+C22*$E$9,5)</f>
        <v>797522.09815</v>
      </c>
      <c r="E22" s="458"/>
      <c r="F22" s="350"/>
      <c r="H22" s="208"/>
      <c r="K22" s="165"/>
    </row>
    <row r="23" spans="2:11" s="65" customFormat="1" ht="16.5" customHeight="1">
      <c r="B23" s="346" t="s">
        <v>0</v>
      </c>
      <c r="C23" s="384">
        <v>101571.34224</v>
      </c>
      <c r="D23" s="384">
        <f>ROUND(+C23*$E$9,5)</f>
        <v>337318.42758</v>
      </c>
      <c r="E23" s="458"/>
      <c r="F23" s="350"/>
      <c r="G23" s="290"/>
      <c r="H23" s="208"/>
      <c r="K23" s="165"/>
    </row>
    <row r="24" spans="2:11" s="65" customFormat="1" ht="16.5" customHeight="1">
      <c r="B24" s="346" t="s">
        <v>190</v>
      </c>
      <c r="C24" s="384">
        <v>2155.98104</v>
      </c>
      <c r="D24" s="384">
        <f>ROUND(+C24*$E$9,5)</f>
        <v>7160.01303</v>
      </c>
      <c r="E24" s="458"/>
      <c r="F24" s="350"/>
      <c r="G24" s="207"/>
      <c r="H24" s="207"/>
      <c r="K24" s="165"/>
    </row>
    <row r="25" spans="2:11" s="65" customFormat="1" ht="16.5" customHeight="1">
      <c r="B25" s="346" t="s">
        <v>188</v>
      </c>
      <c r="C25" s="384">
        <v>90.32052</v>
      </c>
      <c r="D25" s="384">
        <f>ROUND(+C25*$E$9,5)</f>
        <v>299.95445</v>
      </c>
      <c r="F25" s="350"/>
      <c r="G25" s="207"/>
      <c r="H25" s="207"/>
      <c r="I25" s="207"/>
      <c r="K25" s="165"/>
    </row>
    <row r="26" spans="2:8" s="65" customFormat="1" ht="15" customHeight="1">
      <c r="B26" s="66"/>
      <c r="C26" s="384"/>
      <c r="D26" s="384"/>
      <c r="G26" s="224"/>
      <c r="H26" s="224"/>
    </row>
    <row r="27" spans="2:8" s="65" customFormat="1" ht="16.5" customHeight="1">
      <c r="B27" s="353" t="s">
        <v>91</v>
      </c>
      <c r="C27" s="383">
        <f>+C29+C35</f>
        <v>4122967.2864099997</v>
      </c>
      <c r="D27" s="383">
        <f>+D29+D35</f>
        <v>13692374.358180003</v>
      </c>
      <c r="F27" s="351"/>
      <c r="G27" s="207"/>
      <c r="H27" s="207"/>
    </row>
    <row r="28" spans="2:4" s="65" customFormat="1" ht="9.75" customHeight="1">
      <c r="B28" s="63"/>
      <c r="C28" s="486"/>
      <c r="D28" s="486"/>
    </row>
    <row r="29" spans="2:8" s="65" customFormat="1" ht="16.5" customHeight="1">
      <c r="B29" s="354" t="s">
        <v>33</v>
      </c>
      <c r="C29" s="383">
        <f>SUM(C30:C33)</f>
        <v>3527231.53349</v>
      </c>
      <c r="D29" s="383">
        <f>SUM(D30:D33)</f>
        <v>11713935.922730003</v>
      </c>
      <c r="F29" s="351"/>
      <c r="H29" s="208"/>
    </row>
    <row r="30" spans="2:8" s="65" customFormat="1" ht="16.5" customHeight="1">
      <c r="B30" s="346" t="s">
        <v>226</v>
      </c>
      <c r="C30" s="384">
        <v>3301671.18338</v>
      </c>
      <c r="D30" s="384">
        <f>ROUND(+C30*$E$9,5)</f>
        <v>10964850.00001</v>
      </c>
      <c r="E30" s="382"/>
      <c r="F30" s="453"/>
      <c r="H30" s="208"/>
    </row>
    <row r="31" spans="2:8" s="65" customFormat="1" ht="16.5" customHeight="1">
      <c r="B31" s="346" t="s">
        <v>185</v>
      </c>
      <c r="C31" s="384">
        <v>119736.35787</v>
      </c>
      <c r="D31" s="384">
        <f>ROUND(+C31*$E$9,5)</f>
        <v>397644.44449</v>
      </c>
      <c r="E31" s="382"/>
      <c r="F31" s="453"/>
      <c r="H31" s="208"/>
    </row>
    <row r="32" spans="2:8" s="65" customFormat="1" ht="16.5" customHeight="1">
      <c r="B32" s="346" t="s">
        <v>191</v>
      </c>
      <c r="C32" s="384">
        <v>84010.84011</v>
      </c>
      <c r="D32" s="384">
        <f>ROUND(+C32*$E$9,5)</f>
        <v>279000.00001</v>
      </c>
      <c r="E32" s="382"/>
      <c r="F32" s="453"/>
      <c r="H32" s="208"/>
    </row>
    <row r="33" spans="2:8" s="65" customFormat="1" ht="16.5" customHeight="1">
      <c r="B33" s="346" t="s">
        <v>184</v>
      </c>
      <c r="C33" s="384">
        <v>21813.152130000002</v>
      </c>
      <c r="D33" s="384">
        <f>ROUND(+C33*$E$9,5)</f>
        <v>72441.47822</v>
      </c>
      <c r="E33" s="382"/>
      <c r="F33" s="453"/>
      <c r="H33" s="208"/>
    </row>
    <row r="34" spans="2:8" s="65" customFormat="1" ht="12" customHeight="1">
      <c r="B34" s="64"/>
      <c r="C34" s="384"/>
      <c r="D34" s="384"/>
      <c r="H34" s="208"/>
    </row>
    <row r="35" spans="2:8" s="65" customFormat="1" ht="16.5" customHeight="1">
      <c r="B35" s="354" t="s">
        <v>34</v>
      </c>
      <c r="C35" s="383">
        <f>SUM(C36:C42)</f>
        <v>595735.75292</v>
      </c>
      <c r="D35" s="383">
        <f>SUM(D36:D42)</f>
        <v>1978438.43545</v>
      </c>
      <c r="F35" s="351"/>
      <c r="H35" s="208"/>
    </row>
    <row r="36" spans="2:8" s="65" customFormat="1" ht="16.5" customHeight="1">
      <c r="B36" s="346" t="s">
        <v>230</v>
      </c>
      <c r="C36" s="384">
        <v>434956.33847</v>
      </c>
      <c r="D36" s="384">
        <f aca="true" t="shared" si="0" ref="D36:D42">ROUND(+C36*$E$9,5)</f>
        <v>1444490.00006</v>
      </c>
      <c r="E36" s="454"/>
      <c r="F36" s="453"/>
      <c r="H36" s="208"/>
    </row>
    <row r="37" spans="2:8" s="65" customFormat="1" ht="16.5" customHeight="1">
      <c r="B37" s="346" t="s">
        <v>217</v>
      </c>
      <c r="C37" s="384">
        <v>79442.30041</v>
      </c>
      <c r="D37" s="384">
        <f t="shared" si="0"/>
        <v>263827.87966</v>
      </c>
      <c r="E37" s="382"/>
      <c r="F37" s="453"/>
      <c r="H37" s="208"/>
    </row>
    <row r="38" spans="2:8" s="65" customFormat="1" ht="16.5" customHeight="1">
      <c r="B38" s="346" t="s">
        <v>228</v>
      </c>
      <c r="C38" s="384">
        <v>42528.10061</v>
      </c>
      <c r="D38" s="384">
        <f t="shared" si="0"/>
        <v>141235.82213</v>
      </c>
      <c r="E38" s="382"/>
      <c r="F38" s="453"/>
      <c r="H38" s="208"/>
    </row>
    <row r="39" spans="2:8" s="65" customFormat="1" ht="16.5" customHeight="1">
      <c r="B39" s="346" t="s">
        <v>158</v>
      </c>
      <c r="C39" s="384">
        <v>15055.70612</v>
      </c>
      <c r="D39" s="384">
        <f t="shared" si="0"/>
        <v>50000.00002</v>
      </c>
      <c r="E39" s="382"/>
      <c r="F39" s="453"/>
      <c r="H39" s="208"/>
    </row>
    <row r="40" spans="2:8" s="65" customFormat="1" ht="16.5" customHeight="1">
      <c r="B40" s="346" t="s">
        <v>186</v>
      </c>
      <c r="C40" s="384">
        <v>11968.09283</v>
      </c>
      <c r="D40" s="384">
        <f t="shared" si="0"/>
        <v>39746.03629</v>
      </c>
      <c r="E40" s="382"/>
      <c r="F40" s="453"/>
      <c r="H40" s="208"/>
    </row>
    <row r="41" spans="2:8" s="65" customFormat="1" ht="16.5" customHeight="1">
      <c r="B41" s="346" t="s">
        <v>240</v>
      </c>
      <c r="C41" s="384">
        <v>9033.42367</v>
      </c>
      <c r="D41" s="384">
        <f t="shared" si="0"/>
        <v>30000.00001</v>
      </c>
      <c r="E41" s="382"/>
      <c r="F41" s="453"/>
      <c r="H41" s="208"/>
    </row>
    <row r="42" spans="2:8" s="65" customFormat="1" ht="16.5" customHeight="1">
      <c r="B42" s="346" t="s">
        <v>189</v>
      </c>
      <c r="C42" s="384">
        <v>2751.79081</v>
      </c>
      <c r="D42" s="384">
        <f t="shared" si="0"/>
        <v>9138.69728</v>
      </c>
      <c r="E42" s="382"/>
      <c r="F42" s="453"/>
      <c r="H42" s="208"/>
    </row>
    <row r="43" spans="2:8" s="65" customFormat="1" ht="9" customHeight="1">
      <c r="B43" s="64"/>
      <c r="C43" s="384"/>
      <c r="D43" s="384"/>
      <c r="H43" s="208"/>
    </row>
    <row r="44" spans="2:8" s="65" customFormat="1" ht="15" customHeight="1">
      <c r="B44" s="588" t="s">
        <v>61</v>
      </c>
      <c r="C44" s="590">
        <f>+C27+C14</f>
        <v>8089422.49549</v>
      </c>
      <c r="D44" s="590">
        <f>+D27+D14</f>
        <v>26864972.107540004</v>
      </c>
      <c r="F44" s="351"/>
      <c r="H44" s="208"/>
    </row>
    <row r="45" spans="2:8" s="81" customFormat="1" ht="15" customHeight="1">
      <c r="B45" s="589"/>
      <c r="C45" s="591"/>
      <c r="D45" s="591"/>
      <c r="H45" s="208"/>
    </row>
    <row r="46" spans="2:8" s="81" customFormat="1" ht="7.5" customHeight="1">
      <c r="B46" s="105"/>
      <c r="C46" s="106"/>
      <c r="D46" s="106"/>
      <c r="H46" s="208"/>
    </row>
    <row r="47" spans="2:4" ht="12.75">
      <c r="B47" s="86" t="s">
        <v>229</v>
      </c>
      <c r="C47" s="459"/>
      <c r="D47" s="86"/>
    </row>
    <row r="48" spans="2:4" ht="12.75">
      <c r="B48" s="86" t="s">
        <v>231</v>
      </c>
      <c r="C48" s="473"/>
      <c r="D48" s="86"/>
    </row>
    <row r="49" spans="2:5" ht="14.25">
      <c r="B49" s="86" t="s">
        <v>250</v>
      </c>
      <c r="C49" s="86"/>
      <c r="D49" s="169"/>
      <c r="E49" s="192"/>
    </row>
    <row r="50" spans="2:5" ht="13.5" customHeight="1">
      <c r="B50" s="86" t="s">
        <v>251</v>
      </c>
      <c r="C50" s="86"/>
      <c r="D50" s="86"/>
      <c r="E50" s="192"/>
    </row>
    <row r="51" spans="2:5" ht="12.75">
      <c r="B51" s="469"/>
      <c r="C51" s="192"/>
      <c r="D51" s="192"/>
      <c r="E51" s="192"/>
    </row>
    <row r="52" spans="2:5" ht="12.75">
      <c r="B52" s="86"/>
      <c r="C52" s="192"/>
      <c r="D52" s="192"/>
      <c r="E52" s="192"/>
    </row>
    <row r="53" spans="3:5" ht="12.75">
      <c r="C53" s="192"/>
      <c r="D53" s="192"/>
      <c r="E53" s="192"/>
    </row>
    <row r="54" spans="2:4" s="136" customFormat="1" ht="18">
      <c r="B54" s="129" t="s">
        <v>119</v>
      </c>
      <c r="C54" s="129"/>
      <c r="D54" s="129"/>
    </row>
    <row r="55" spans="2:4" ht="18">
      <c r="B55" s="321" t="s">
        <v>137</v>
      </c>
      <c r="C55" s="321"/>
      <c r="D55" s="321"/>
    </row>
    <row r="56" spans="2:4" ht="18">
      <c r="B56" s="321" t="s">
        <v>138</v>
      </c>
      <c r="C56" s="321"/>
      <c r="D56" s="321"/>
    </row>
    <row r="57" spans="2:4" ht="16.5">
      <c r="B57" s="345" t="s">
        <v>32</v>
      </c>
      <c r="C57" s="184"/>
      <c r="D57" s="184"/>
    </row>
    <row r="58" spans="2:4" s="136" customFormat="1" ht="18">
      <c r="B58" s="133" t="str">
        <f>+B9</f>
        <v>Al 31 de marzo de 2019</v>
      </c>
      <c r="C58" s="133"/>
      <c r="D58" s="254"/>
    </row>
    <row r="59" spans="2:4" ht="9.75" customHeight="1">
      <c r="B59" s="596"/>
      <c r="C59" s="596"/>
      <c r="D59" s="596"/>
    </row>
    <row r="60" spans="2:4" ht="16.5" customHeight="1">
      <c r="B60" s="592" t="s">
        <v>96</v>
      </c>
      <c r="C60" s="594" t="s">
        <v>88</v>
      </c>
      <c r="D60" s="584" t="s">
        <v>220</v>
      </c>
    </row>
    <row r="61" spans="2:4" ht="16.5" customHeight="1">
      <c r="B61" s="593"/>
      <c r="C61" s="595"/>
      <c r="D61" s="585"/>
    </row>
    <row r="62" spans="2:4" s="81" customFormat="1" ht="9.75" customHeight="1">
      <c r="B62" s="257"/>
      <c r="C62" s="104"/>
      <c r="D62" s="104"/>
    </row>
    <row r="63" spans="2:6" s="65" customFormat="1" ht="16.5" customHeight="1">
      <c r="B63" s="353" t="s">
        <v>90</v>
      </c>
      <c r="C63" s="383">
        <f>+C65+C71</f>
        <v>523221.32976999995</v>
      </c>
      <c r="D63" s="383">
        <f>+D65+D71</f>
        <v>1737618.0361661701</v>
      </c>
      <c r="F63" s="351"/>
    </row>
    <row r="64" spans="2:8" s="65" customFormat="1" ht="9.75" customHeight="1">
      <c r="B64" s="64"/>
      <c r="C64" s="384"/>
      <c r="D64" s="384"/>
      <c r="H64" s="208"/>
    </row>
    <row r="65" spans="2:8" s="65" customFormat="1" ht="16.5" customHeight="1">
      <c r="B65" s="354" t="s">
        <v>33</v>
      </c>
      <c r="C65" s="383">
        <f>SUM(C66:C69)</f>
        <v>315205.55767</v>
      </c>
      <c r="D65" s="383">
        <f>SUM(D66:D69)</f>
        <v>1046797.6570220701</v>
      </c>
      <c r="F65" s="351"/>
      <c r="G65" s="209"/>
      <c r="H65" s="209"/>
    </row>
    <row r="66" spans="2:8" s="65" customFormat="1" ht="16.5" customHeight="1">
      <c r="B66" s="346" t="s">
        <v>241</v>
      </c>
      <c r="C66" s="384">
        <v>154026.47848</v>
      </c>
      <c r="D66" s="384">
        <f>ROUND(+C66*$E$9,8)</f>
        <v>511521.93503208</v>
      </c>
      <c r="F66" s="351"/>
      <c r="G66" s="209"/>
      <c r="H66" s="209"/>
    </row>
    <row r="67" spans="2:8" s="65" customFormat="1" ht="16.5" customHeight="1">
      <c r="B67" s="346" t="s">
        <v>170</v>
      </c>
      <c r="C67" s="384">
        <v>77287.92208</v>
      </c>
      <c r="D67" s="384">
        <f>ROUND(+C67*$E$9,8)</f>
        <v>256673.18922768</v>
      </c>
      <c r="F67" s="351"/>
      <c r="G67" s="209"/>
      <c r="H67" s="209"/>
    </row>
    <row r="68" spans="2:8" s="65" customFormat="1" ht="16.5" customHeight="1">
      <c r="B68" s="346" t="s">
        <v>243</v>
      </c>
      <c r="C68" s="384">
        <v>55792.26616</v>
      </c>
      <c r="D68" s="384">
        <f>ROUND(+C68*$E$9,8)</f>
        <v>185286.11591736</v>
      </c>
      <c r="F68" s="351"/>
      <c r="G68" s="209"/>
      <c r="H68" s="209"/>
    </row>
    <row r="69" spans="2:8" s="65" customFormat="1" ht="16.5" customHeight="1">
      <c r="B69" s="346" t="s">
        <v>184</v>
      </c>
      <c r="C69" s="384">
        <v>28098.89095</v>
      </c>
      <c r="D69" s="384">
        <f>ROUND(+C69*$E$9,8)</f>
        <v>93316.41684495</v>
      </c>
      <c r="F69" s="351"/>
      <c r="G69" s="209"/>
      <c r="H69" s="209"/>
    </row>
    <row r="70" spans="2:4" s="65" customFormat="1" ht="9.75" customHeight="1">
      <c r="B70" s="63"/>
      <c r="C70" s="486"/>
      <c r="D70" s="486"/>
    </row>
    <row r="71" spans="2:8" s="65" customFormat="1" ht="16.5" customHeight="1">
      <c r="B71" s="354" t="s">
        <v>34</v>
      </c>
      <c r="C71" s="383">
        <f>SUM(C72:C77)</f>
        <v>208015.77209999997</v>
      </c>
      <c r="D71" s="383">
        <f>SUM(D72:D77)</f>
        <v>690820.3791440999</v>
      </c>
      <c r="F71" s="351"/>
      <c r="H71" s="208"/>
    </row>
    <row r="72" spans="2:8" s="65" customFormat="1" ht="16.5" customHeight="1">
      <c r="B72" s="346" t="s">
        <v>192</v>
      </c>
      <c r="C72" s="384">
        <v>95051.91854999999</v>
      </c>
      <c r="D72" s="384">
        <f aca="true" t="shared" si="1" ref="D72:D77">ROUND(+C72*$E$9,8)</f>
        <v>315667.42150455</v>
      </c>
      <c r="E72" s="382"/>
      <c r="F72" s="453"/>
      <c r="H72" s="208"/>
    </row>
    <row r="73" spans="2:8" s="65" customFormat="1" ht="16.5" customHeight="1">
      <c r="B73" s="346" t="s">
        <v>193</v>
      </c>
      <c r="C73" s="384">
        <v>93678.5682</v>
      </c>
      <c r="D73" s="384">
        <f t="shared" si="1"/>
        <v>311106.5249922</v>
      </c>
      <c r="E73" s="382"/>
      <c r="F73" s="453"/>
      <c r="H73" s="208"/>
    </row>
    <row r="74" spans="2:8" s="65" customFormat="1" ht="16.5" customHeight="1">
      <c r="B74" s="346" t="s">
        <v>158</v>
      </c>
      <c r="C74" s="384">
        <v>15669.614740000003</v>
      </c>
      <c r="D74" s="384">
        <f t="shared" si="1"/>
        <v>52038.79055154</v>
      </c>
      <c r="E74" s="382"/>
      <c r="F74" s="453"/>
      <c r="H74" s="208"/>
    </row>
    <row r="75" spans="2:8" s="65" customFormat="1" ht="16.5" customHeight="1">
      <c r="B75" s="346" t="s">
        <v>189</v>
      </c>
      <c r="C75" s="384">
        <v>1745.1548299999997</v>
      </c>
      <c r="D75" s="384">
        <f t="shared" si="1"/>
        <v>5795.65919043</v>
      </c>
      <c r="E75" s="382"/>
      <c r="F75" s="453"/>
      <c r="H75" s="208"/>
    </row>
    <row r="76" spans="2:8" s="65" customFormat="1" ht="16.5" customHeight="1">
      <c r="B76" s="516" t="s">
        <v>246</v>
      </c>
      <c r="C76" s="384">
        <v>1500</v>
      </c>
      <c r="D76" s="384">
        <f t="shared" si="1"/>
        <v>4981.5</v>
      </c>
      <c r="E76" s="382"/>
      <c r="F76" s="453"/>
      <c r="H76" s="208"/>
    </row>
    <row r="77" spans="2:8" s="65" customFormat="1" ht="16.5" customHeight="1">
      <c r="B77" s="346" t="s">
        <v>171</v>
      </c>
      <c r="C77" s="384">
        <v>370.51578</v>
      </c>
      <c r="D77" s="384">
        <f t="shared" si="1"/>
        <v>1230.48290538</v>
      </c>
      <c r="E77" s="382"/>
      <c r="F77" s="453"/>
      <c r="H77" s="208"/>
    </row>
    <row r="78" spans="2:8" s="65" customFormat="1" ht="9" customHeight="1">
      <c r="B78" s="64"/>
      <c r="C78" s="384"/>
      <c r="D78" s="384"/>
      <c r="H78" s="208"/>
    </row>
    <row r="79" spans="2:8" s="65" customFormat="1" ht="15" customHeight="1">
      <c r="B79" s="588" t="s">
        <v>61</v>
      </c>
      <c r="C79" s="590">
        <f>+C63</f>
        <v>523221.32976999995</v>
      </c>
      <c r="D79" s="590">
        <f>+D63</f>
        <v>1737618.0361661701</v>
      </c>
      <c r="F79" s="351"/>
      <c r="H79" s="208"/>
    </row>
    <row r="80" spans="2:8" s="81" customFormat="1" ht="15" customHeight="1">
      <c r="B80" s="589"/>
      <c r="C80" s="591"/>
      <c r="D80" s="591"/>
      <c r="F80" s="216"/>
      <c r="H80" s="208"/>
    </row>
    <row r="82" spans="3:4" ht="12.75">
      <c r="C82" s="102"/>
      <c r="D82" s="289"/>
    </row>
    <row r="83" spans="3:4" ht="12.75">
      <c r="C83" s="291"/>
      <c r="D83" s="291"/>
    </row>
    <row r="84" ht="12.75">
      <c r="C84" s="443"/>
    </row>
    <row r="85" ht="12.75">
      <c r="C85" s="443"/>
    </row>
    <row r="86" ht="12.75">
      <c r="C86" s="443"/>
    </row>
    <row r="87" ht="12.75">
      <c r="C87" s="443"/>
    </row>
    <row r="88" ht="12.75">
      <c r="C88" s="443"/>
    </row>
    <row r="89" ht="12.75">
      <c r="C89" s="443"/>
    </row>
    <row r="90" ht="12.75">
      <c r="C90" s="443"/>
    </row>
  </sheetData>
  <sheetProtection/>
  <mergeCells count="14">
    <mergeCell ref="D11:D12"/>
    <mergeCell ref="C44:C45"/>
    <mergeCell ref="B44:B45"/>
    <mergeCell ref="C60:C61"/>
    <mergeCell ref="D60:D61"/>
    <mergeCell ref="B11:B12"/>
    <mergeCell ref="D44:D45"/>
    <mergeCell ref="C11:C12"/>
    <mergeCell ref="B10:D10"/>
    <mergeCell ref="B79:B80"/>
    <mergeCell ref="C79:C80"/>
    <mergeCell ref="D79:D80"/>
    <mergeCell ref="B59:D59"/>
    <mergeCell ref="B60:B61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92</v>
      </c>
      <c r="C5" s="129"/>
      <c r="D5" s="129"/>
      <c r="I5" s="279"/>
    </row>
    <row r="6" spans="2:9" ht="18">
      <c r="B6" s="321" t="s">
        <v>137</v>
      </c>
      <c r="C6" s="321"/>
      <c r="D6" s="321"/>
      <c r="I6" s="289"/>
    </row>
    <row r="7" spans="2:4" ht="18">
      <c r="B7" s="321" t="s">
        <v>136</v>
      </c>
      <c r="C7" s="321"/>
      <c r="D7" s="321"/>
    </row>
    <row r="8" spans="2:4" ht="16.5">
      <c r="B8" s="345" t="s">
        <v>1</v>
      </c>
      <c r="C8" s="184"/>
      <c r="D8" s="184"/>
    </row>
    <row r="9" spans="2:5" ht="15.75">
      <c r="B9" s="133" t="str">
        <f>+'DEP-C2'!B9</f>
        <v>Al 31 de marzo de 2019</v>
      </c>
      <c r="C9" s="133"/>
      <c r="D9" s="267"/>
      <c r="E9" s="320">
        <f>+Portada!H39</f>
        <v>3.321</v>
      </c>
    </row>
    <row r="10" spans="2:4" ht="9.75" customHeight="1">
      <c r="B10" s="596"/>
      <c r="C10" s="596"/>
      <c r="D10" s="596"/>
    </row>
    <row r="11" spans="2:4" ht="16.5" customHeight="1">
      <c r="B11" s="582" t="s">
        <v>151</v>
      </c>
      <c r="C11" s="584" t="s">
        <v>88</v>
      </c>
      <c r="D11" s="584" t="s">
        <v>165</v>
      </c>
    </row>
    <row r="12" spans="2:8" s="81" customFormat="1" ht="16.5" customHeight="1">
      <c r="B12" s="583"/>
      <c r="C12" s="585"/>
      <c r="D12" s="585"/>
      <c r="H12" s="206"/>
    </row>
    <row r="13" spans="2:8" s="81" customFormat="1" ht="9.75" customHeight="1">
      <c r="B13" s="255"/>
      <c r="C13" s="104"/>
      <c r="D13" s="138"/>
      <c r="H13" s="206"/>
    </row>
    <row r="14" spans="2:9" s="65" customFormat="1" ht="16.5" customHeight="1">
      <c r="B14" s="364" t="s">
        <v>0</v>
      </c>
      <c r="C14" s="383">
        <f>SUM(C15:C16)</f>
        <v>4774678.65529</v>
      </c>
      <c r="D14" s="485">
        <f>SUM(D15:D16)</f>
        <v>15856707.81421808</v>
      </c>
      <c r="E14" s="219"/>
      <c r="F14" s="351"/>
      <c r="G14" s="292"/>
      <c r="H14" s="292"/>
      <c r="I14" s="292"/>
    </row>
    <row r="15" spans="2:8" s="65" customFormat="1" ht="16.5" customHeight="1">
      <c r="B15" s="69" t="s">
        <v>24</v>
      </c>
      <c r="C15" s="384">
        <v>651711.3688800002</v>
      </c>
      <c r="D15" s="484">
        <f>ROUND(+C15*$E$9,8)</f>
        <v>2164333.45605048</v>
      </c>
      <c r="E15" s="471"/>
      <c r="F15" s="350"/>
      <c r="G15" s="355"/>
      <c r="H15" s="292"/>
    </row>
    <row r="16" spans="2:8" s="65" customFormat="1" ht="16.5" customHeight="1">
      <c r="B16" s="69" t="s">
        <v>25</v>
      </c>
      <c r="C16" s="384">
        <v>4122967.28641</v>
      </c>
      <c r="D16" s="484">
        <f>ROUND(+C16*$E$9,8)</f>
        <v>13692374.3581676</v>
      </c>
      <c r="E16" s="471"/>
      <c r="F16" s="350"/>
      <c r="G16" s="292"/>
      <c r="H16" s="292"/>
    </row>
    <row r="17" spans="2:8" s="65" customFormat="1" ht="12" customHeight="1">
      <c r="B17" s="69"/>
      <c r="C17" s="384"/>
      <c r="D17" s="484"/>
      <c r="E17" s="470"/>
      <c r="H17" s="210"/>
    </row>
    <row r="18" spans="2:8" s="65" customFormat="1" ht="16.5" customHeight="1">
      <c r="B18" s="364" t="s">
        <v>194</v>
      </c>
      <c r="C18" s="383">
        <f>SUM(C19:C19)</f>
        <v>78026.7168</v>
      </c>
      <c r="D18" s="485">
        <f>SUM(D19:D19)</f>
        <v>259126.7264928</v>
      </c>
      <c r="E18" s="470"/>
      <c r="F18" s="351"/>
      <c r="G18" s="293"/>
      <c r="H18" s="293"/>
    </row>
    <row r="19" spans="2:8" s="65" customFormat="1" ht="16.5" customHeight="1">
      <c r="B19" s="69" t="s">
        <v>24</v>
      </c>
      <c r="C19" s="384">
        <v>78026.7168</v>
      </c>
      <c r="D19" s="484">
        <f>ROUND(+C19*$E$9,8)</f>
        <v>259126.7264928</v>
      </c>
      <c r="E19" s="471"/>
      <c r="F19" s="350"/>
      <c r="H19" s="210"/>
    </row>
    <row r="20" spans="2:8" s="65" customFormat="1" ht="11.25" customHeight="1">
      <c r="B20" s="69"/>
      <c r="C20" s="384"/>
      <c r="D20" s="484"/>
      <c r="E20" s="470"/>
      <c r="H20" s="210"/>
    </row>
    <row r="21" spans="2:8" s="65" customFormat="1" ht="16.5" customHeight="1">
      <c r="B21" s="364" t="s">
        <v>195</v>
      </c>
      <c r="C21" s="383">
        <f>+C22</f>
        <v>3236717.1234</v>
      </c>
      <c r="D21" s="485">
        <f>+D22</f>
        <v>10749137.5668114</v>
      </c>
      <c r="E21" s="470"/>
      <c r="F21" s="351"/>
      <c r="H21" s="210"/>
    </row>
    <row r="22" spans="2:8" s="65" customFormat="1" ht="16.5" customHeight="1">
      <c r="B22" s="69" t="s">
        <v>24</v>
      </c>
      <c r="C22" s="384">
        <v>3236717.1234</v>
      </c>
      <c r="D22" s="484">
        <f>ROUND(+C22*$E$9,8)</f>
        <v>10749137.5668114</v>
      </c>
      <c r="E22" s="471"/>
      <c r="F22" s="350"/>
      <c r="H22" s="210"/>
    </row>
    <row r="23" spans="2:8" s="65" customFormat="1" ht="9.75" customHeight="1">
      <c r="B23" s="68"/>
      <c r="C23" s="396"/>
      <c r="D23" s="483"/>
      <c r="F23" s="350"/>
      <c r="H23" s="210"/>
    </row>
    <row r="24" spans="2:8" s="65" customFormat="1" ht="15" customHeight="1">
      <c r="B24" s="597" t="s">
        <v>61</v>
      </c>
      <c r="C24" s="590">
        <f>+C18+C14+C21</f>
        <v>8089422.49549</v>
      </c>
      <c r="D24" s="590">
        <f>+D18+D14+D21</f>
        <v>26864972.10752228</v>
      </c>
      <c r="F24" s="351"/>
      <c r="H24" s="210"/>
    </row>
    <row r="25" spans="2:8" s="81" customFormat="1" ht="15" customHeight="1">
      <c r="B25" s="598"/>
      <c r="C25" s="591"/>
      <c r="D25" s="591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65" t="s">
        <v>196</v>
      </c>
      <c r="C27" s="465"/>
      <c r="D27" s="465"/>
      <c r="H27" s="210"/>
    </row>
    <row r="28" spans="2:8" s="65" customFormat="1" ht="17.25" customHeight="1">
      <c r="B28" s="465" t="s">
        <v>197</v>
      </c>
      <c r="C28" s="466"/>
      <c r="D28" s="465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120</v>
      </c>
      <c r="C33" s="129"/>
      <c r="D33" s="129"/>
      <c r="H33" s="220"/>
    </row>
    <row r="34" spans="2:8" s="136" customFormat="1" ht="18">
      <c r="B34" s="321" t="s">
        <v>137</v>
      </c>
      <c r="C34" s="321"/>
      <c r="D34" s="321"/>
      <c r="H34" s="220"/>
    </row>
    <row r="35" spans="2:8" s="136" customFormat="1" ht="18">
      <c r="B35" s="321" t="s">
        <v>138</v>
      </c>
      <c r="C35" s="321"/>
      <c r="D35" s="321"/>
      <c r="H35" s="220"/>
    </row>
    <row r="36" spans="2:8" s="136" customFormat="1" ht="18">
      <c r="B36" s="345" t="s">
        <v>1</v>
      </c>
      <c r="C36" s="184"/>
      <c r="D36" s="184"/>
      <c r="H36" s="220"/>
    </row>
    <row r="37" spans="2:8" s="136" customFormat="1" ht="18">
      <c r="B37" s="133" t="str">
        <f>+B9</f>
        <v>Al 31 de marzo de 2019</v>
      </c>
      <c r="C37" s="133"/>
      <c r="D37" s="254"/>
      <c r="H37" s="220"/>
    </row>
    <row r="38" spans="2:4" ht="9.75" customHeight="1">
      <c r="B38" s="596"/>
      <c r="C38" s="596"/>
      <c r="D38" s="596"/>
    </row>
    <row r="39" spans="2:4" ht="16.5" customHeight="1">
      <c r="B39" s="582" t="s">
        <v>151</v>
      </c>
      <c r="C39" s="584" t="s">
        <v>88</v>
      </c>
      <c r="D39" s="584" t="s">
        <v>165</v>
      </c>
    </row>
    <row r="40" spans="2:8" s="81" customFormat="1" ht="16.5" customHeight="1">
      <c r="B40" s="583"/>
      <c r="C40" s="585"/>
      <c r="D40" s="585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4" t="s">
        <v>0</v>
      </c>
      <c r="C42" s="383">
        <f>SUM(C43:C43)</f>
        <v>77082.34537</v>
      </c>
      <c r="D42" s="485">
        <f>SUM(D43:D43)</f>
        <v>255990.46897377</v>
      </c>
      <c r="E42" s="219"/>
      <c r="H42" s="210"/>
    </row>
    <row r="43" spans="2:8" s="65" customFormat="1" ht="16.5" customHeight="1">
      <c r="B43" s="69" t="s">
        <v>24</v>
      </c>
      <c r="C43" s="384">
        <v>77082.34537</v>
      </c>
      <c r="D43" s="484">
        <f>ROUND(+C43*$E$9,8)</f>
        <v>255990.46897377</v>
      </c>
      <c r="E43" s="219"/>
      <c r="F43" s="363"/>
      <c r="H43" s="210"/>
    </row>
    <row r="44" spans="2:8" s="65" customFormat="1" ht="12" customHeight="1">
      <c r="B44" s="69"/>
      <c r="C44" s="384"/>
      <c r="D44" s="484"/>
      <c r="E44" s="219"/>
      <c r="H44" s="210"/>
    </row>
    <row r="45" spans="2:8" s="65" customFormat="1" ht="16.5" customHeight="1">
      <c r="B45" s="364" t="s">
        <v>160</v>
      </c>
      <c r="C45" s="383">
        <f>+C46</f>
        <v>446138.98440000013</v>
      </c>
      <c r="D45" s="485">
        <f>+D46</f>
        <v>1481627.5671924</v>
      </c>
      <c r="E45" s="221"/>
      <c r="F45" s="109"/>
      <c r="H45" s="210"/>
    </row>
    <row r="46" spans="2:8" s="65" customFormat="1" ht="16.5" customHeight="1">
      <c r="B46" s="69" t="s">
        <v>24</v>
      </c>
      <c r="C46" s="384">
        <v>446138.98440000013</v>
      </c>
      <c r="D46" s="484">
        <f>ROUND(+C46*$E$9,8)</f>
        <v>1481627.5671924</v>
      </c>
      <c r="E46" s="221"/>
      <c r="F46" s="355"/>
      <c r="H46" s="210"/>
    </row>
    <row r="47" spans="2:8" s="65" customFormat="1" ht="9.75" customHeight="1">
      <c r="B47" s="68"/>
      <c r="C47" s="396"/>
      <c r="D47" s="483"/>
      <c r="H47" s="210"/>
    </row>
    <row r="48" spans="2:8" s="65" customFormat="1" ht="15" customHeight="1">
      <c r="B48" s="597" t="s">
        <v>61</v>
      </c>
      <c r="C48" s="590">
        <f>+C42+C45</f>
        <v>523221.3297700001</v>
      </c>
      <c r="D48" s="590">
        <f>+D42+D45</f>
        <v>1737618.0361661701</v>
      </c>
      <c r="H48" s="210"/>
    </row>
    <row r="49" spans="2:8" s="81" customFormat="1" ht="15" customHeight="1">
      <c r="B49" s="598"/>
      <c r="C49" s="591"/>
      <c r="D49" s="591"/>
      <c r="H49" s="206"/>
    </row>
    <row r="50" ht="4.5" customHeight="1"/>
    <row r="51" spans="3:4" ht="12.75">
      <c r="C51" s="443"/>
      <c r="D51" s="245"/>
    </row>
    <row r="52" ht="12.75">
      <c r="C52" s="168"/>
    </row>
    <row r="55" ht="12.75">
      <c r="C55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2019-05-31T22:44:47Z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