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75" windowWidth="20640" windowHeight="11760" firstSheet="3" activeTab="3"/>
  </bookViews>
  <sheets>
    <sheet name="Febrero 2013" sheetId="1" state="hidden" r:id="rId1"/>
    <sheet name="Traspasos" sheetId="2" state="hidden" r:id="rId2"/>
    <sheet name="xxxxx" sheetId="3" state="hidden" r:id="rId3"/>
    <sheet name="TR" sheetId="4" r:id="rId4"/>
    <sheet name="Detalle" sheetId="5" state="hidden" r:id="rId5"/>
  </sheets>
  <definedNames>
    <definedName name="_xlnm.Print_Area" localSheetId="4">'Detalle'!$B$1:$O$49</definedName>
    <definedName name="_xlnm.Print_Area" localSheetId="0">'Febrero 2013'!$B$3:$D$48</definedName>
    <definedName name="_xlnm.Print_Area" localSheetId="3">'TR'!$B$5:$BA$85</definedName>
    <definedName name="_xlnm.Print_Area" localSheetId="1">'Traspasos'!$B$75:$AG$140</definedName>
    <definedName name="dólares">'TR'!$B$93</definedName>
    <definedName name="Soles">'Traspasos'!$B$78</definedName>
    <definedName name="Traspaso">#REF!</definedName>
  </definedNames>
  <calcPr fullCalcOnLoad="1"/>
</workbook>
</file>

<file path=xl/sharedStrings.xml><?xml version="1.0" encoding="utf-8"?>
<sst xmlns="http://schemas.openxmlformats.org/spreadsheetml/2006/main" count="731" uniqueCount="149">
  <si>
    <t>Bonos</t>
  </si>
  <si>
    <t>Préstamos</t>
  </si>
  <si>
    <t>Por tipo de instrumento</t>
  </si>
  <si>
    <t>Mediano y largo plazo</t>
  </si>
  <si>
    <t>Por tipo de moneda</t>
  </si>
  <si>
    <t>Moneda local</t>
  </si>
  <si>
    <t>Moneda Extranjera</t>
  </si>
  <si>
    <t>Por tipo de tasa de interés</t>
  </si>
  <si>
    <t>Tasa fija</t>
  </si>
  <si>
    <t>Tasa variable</t>
  </si>
  <si>
    <t>Por la residencia del acreedor</t>
  </si>
  <si>
    <t>Deuda interna</t>
  </si>
  <si>
    <t>Deuda externa</t>
  </si>
  <si>
    <t>Al 28 de Febrero de 2013</t>
  </si>
  <si>
    <t xml:space="preserve">   Millones de US dólares</t>
  </si>
  <si>
    <t>Equiv. millones de nuevos soles</t>
  </si>
  <si>
    <t>Deuda con Garantía</t>
  </si>
  <si>
    <t>Gobiernos Locales</t>
  </si>
  <si>
    <t>Bonos ONP</t>
  </si>
  <si>
    <t xml:space="preserve">RESUMEN </t>
  </si>
  <si>
    <r>
      <t xml:space="preserve">Por período de cancelación  </t>
    </r>
    <r>
      <rPr>
        <sz val="8"/>
        <color indexed="8"/>
        <rFont val="Arial"/>
        <family val="2"/>
      </rPr>
      <t xml:space="preserve"> 1/</t>
    </r>
  </si>
  <si>
    <t xml:space="preserve">Corto plazo   </t>
  </si>
  <si>
    <t>Gobiernos Regionales</t>
  </si>
  <si>
    <t>Empresas Públicas No Financieras</t>
  </si>
  <si>
    <t>Empresas Públicas Financieras</t>
  </si>
  <si>
    <r>
      <t xml:space="preserve">Deuda Contigente   </t>
    </r>
    <r>
      <rPr>
        <sz val="8"/>
        <color indexed="8"/>
        <rFont val="Arial"/>
        <family val="2"/>
      </rPr>
      <t>2/</t>
    </r>
  </si>
  <si>
    <t xml:space="preserve">     Locales y Empresas Públicas, a través de Convenios de Traspaso de Recursos.</t>
  </si>
  <si>
    <t xml:space="preserve">2/  Deuda que el Gobierno Nacional concerta y transfiere a los Gobiernos Regionales, Gobiernos </t>
  </si>
  <si>
    <t>Cuadro N° 1</t>
  </si>
  <si>
    <t>Resumen</t>
  </si>
  <si>
    <t>DEUDA PÚBLICA DE MEDIANO Y LARGO PLAZO</t>
  </si>
  <si>
    <t>1/  Se presenta los estados de la Deuda Pública de Mediano y Largo Plazo. No se compila la deuda</t>
  </si>
  <si>
    <t xml:space="preserve">     de corto plazo.</t>
  </si>
  <si>
    <t>Ene</t>
  </si>
  <si>
    <t>Feb</t>
  </si>
  <si>
    <t>Mar</t>
  </si>
  <si>
    <t>Abr</t>
  </si>
  <si>
    <t>May</t>
  </si>
  <si>
    <t>TOTAL</t>
  </si>
  <si>
    <t>(Millones de US dólares)</t>
  </si>
  <si>
    <t>(Millones de nuevos soles)</t>
  </si>
  <si>
    <t>COFIDE</t>
  </si>
  <si>
    <t>Servicio de Agua Potable y Alcantarillado de Lima</t>
  </si>
  <si>
    <t>Activos Mineros</t>
  </si>
  <si>
    <t>Entidad Prestadora de Servicios de Saneamiento de Agua Potable y Alcantarrillado de Loreto</t>
  </si>
  <si>
    <t>Entidad Municipal Prestadora de Servicios de Saneamiento del  Cusco</t>
  </si>
  <si>
    <t>Empresa Prestadora de Servicio de Saneamiento de Cajamarca</t>
  </si>
  <si>
    <t>Entidad Prestadora de Servicios de Saneamiento de Lambayeque</t>
  </si>
  <si>
    <t>Empresa Municipal de Agua Potable y Alcantarillado de Huancavelica</t>
  </si>
  <si>
    <t>Empresa Municipal de Saneamiento Básico de Puno</t>
  </si>
  <si>
    <t>Entidad Prestadora de Servicios de Saneamiento Ayacucho</t>
  </si>
  <si>
    <t>Empresa de Servicio de Agua Potable y Alcantarillado de Arequipa</t>
  </si>
  <si>
    <t>Emp.Municipal Prestadora de Servicio de Saneamiento de las Provincias Alto Andinas</t>
  </si>
  <si>
    <t>Empresa Municipal de Agua Potable y Alcantarrillado de Huaral</t>
  </si>
  <si>
    <t>Entidad Prestadora de Servicios de Saneamiento Chavín</t>
  </si>
  <si>
    <t>Empresa Municipal de Servicios de Agua Potable y Alcantarillado de Huánuco</t>
  </si>
  <si>
    <t>Entidad Prestadora de Servicios de Saneamiento de Moquegua</t>
  </si>
  <si>
    <t>Entidad Prestadora de Servicios de Saneamiento Sierra Central</t>
  </si>
  <si>
    <t>Empresa Municipal de Agua Potable y Alcantarrillado de  Cañete</t>
  </si>
  <si>
    <t>Entidad Prestadora de Servicios de Saneamiento Selva Central</t>
  </si>
  <si>
    <t>Entidad Prestadora de Servicios de Saneamiento de Moyobamba</t>
  </si>
  <si>
    <t>Gobierno Regional de Cajamarca</t>
  </si>
  <si>
    <t>Gobierno Regional de Loreto</t>
  </si>
  <si>
    <t>Gobierno Regional de Cusco</t>
  </si>
  <si>
    <t>Gobierno Regional de San Martín</t>
  </si>
  <si>
    <t>Gobierno Regional del Callao</t>
  </si>
  <si>
    <t>A. Gobiernos Regionales</t>
  </si>
  <si>
    <t>B. Gobiernos Locales</t>
  </si>
  <si>
    <t>C. Empresas Públicas No Financieras</t>
  </si>
  <si>
    <t>D. Empresas Públicas Financieras</t>
  </si>
  <si>
    <r>
      <t xml:space="preserve">Aguas de Tumbes - ATUSA   </t>
    </r>
    <r>
      <rPr>
        <sz val="8"/>
        <color indexed="8"/>
        <rFont val="Arial"/>
        <family val="2"/>
      </rPr>
      <t>1/</t>
    </r>
  </si>
  <si>
    <r>
      <t xml:space="preserve">Fuente: </t>
    </r>
    <r>
      <rPr>
        <sz val="11"/>
        <rFont val="Arial"/>
        <family val="2"/>
      </rPr>
      <t>Perú - Ministerio de Economía y Finanzas.</t>
    </r>
  </si>
  <si>
    <r>
      <t xml:space="preserve">Elaboración: </t>
    </r>
    <r>
      <rPr>
        <sz val="11"/>
        <rFont val="Arial"/>
        <family val="2"/>
      </rPr>
      <t>Dirección General de Endeudamiento y Tesoro Público.</t>
    </r>
  </si>
  <si>
    <t>En nuevos soles</t>
  </si>
  <si>
    <t>Jun</t>
  </si>
  <si>
    <t>Jul</t>
  </si>
  <si>
    <t>Ago</t>
  </si>
  <si>
    <t>Set</t>
  </si>
  <si>
    <t>Oct</t>
  </si>
  <si>
    <t>Nov</t>
  </si>
  <si>
    <t>Dic</t>
  </si>
  <si>
    <t>Superintendencia Nacional de Aduanas y de Administración Tributaria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</si>
  <si>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 xml:space="preserve"> Convenio de Traspaso de Recursos: deuda que el Gobierno Nacional concerta y transfiere a los Gobiernos Regionales, Gobiernos Locales y Empresas Públicas. El servicio de la deuda está a cargo de los Gobiernos Regionales, Gobiernos Locales y Empresas Públicas.</t>
    </r>
  </si>
  <si>
    <t>Municipalidad Metropolitana de Lima</t>
  </si>
  <si>
    <t>SALDO ADEUDADO DE LA DEUDA CON CONVENIO DE TRASPASO DE RECURSOS</t>
  </si>
  <si>
    <t>Empresa de Servicio de Agua Potable y Alcantarillado de La Libertad</t>
  </si>
  <si>
    <t>Gobierno Regional de Apurímac</t>
  </si>
  <si>
    <t>Operaciones de Endeudamiento / Sector Institucional / Deudor</t>
  </si>
  <si>
    <t>POR OPERACIONES DE ENDEUDAMIENTO, SECTOR INSTITUCIONAL Y DEUDOR</t>
  </si>
  <si>
    <t xml:space="preserve"> I. Por Operaciones de Endeudamiento Externo </t>
  </si>
  <si>
    <t xml:space="preserve"> II. Por Operaciones de Endeudamiento Interno</t>
  </si>
  <si>
    <t>Gobierno Provincial de Abancay</t>
  </si>
  <si>
    <t>1/ Deuda adquirida antes de la concesión de EMFAPATUMBES (Empresa Municipal Fronteriza de Agua Potable y Alcantarillado de Tumbes) y asumida por ATUSA.</t>
  </si>
  <si>
    <t>Municipalidad Provincial de Abancay</t>
  </si>
  <si>
    <t>Municipalidad Provincial de Cotabambas - Tambobamba</t>
  </si>
  <si>
    <t>Período: De 2011 al 31 de julio de 2014</t>
  </si>
  <si>
    <t>Ministerio de Vivienda, Construcción y Saneamiento - Dirección Nacional de Saneamiento</t>
  </si>
  <si>
    <t>Empresa de Generación Eléctrica San Gaban</t>
  </si>
  <si>
    <t>Empresa Municipal de Agua Potable y Alcantarillado de Pisco</t>
  </si>
  <si>
    <t>Organismo Supervisor de Inversión Privada en Telecomunicaciones</t>
  </si>
  <si>
    <t>Empresa Electricidad del Perú</t>
  </si>
  <si>
    <t xml:space="preserve">   Gobiernos Regionales</t>
  </si>
  <si>
    <t xml:space="preserve">    Gobiernos Locales</t>
  </si>
  <si>
    <t xml:space="preserve">   Empresas Públicas Financieras</t>
  </si>
  <si>
    <t xml:space="preserve">   Gobiernos Locales</t>
  </si>
  <si>
    <t xml:space="preserve">   Empresas Públicas No Financieras</t>
  </si>
  <si>
    <t>MINISTERIO DE DEFENSA</t>
  </si>
  <si>
    <t>12B0061</t>
  </si>
  <si>
    <t>12B0111</t>
  </si>
  <si>
    <t>12B0121</t>
  </si>
  <si>
    <t>12B0141</t>
  </si>
  <si>
    <t>12B0151</t>
  </si>
  <si>
    <t>02C9291</t>
  </si>
  <si>
    <t>12B0211</t>
  </si>
  <si>
    <t>MINISTERIO DE TRANSPORTE Y COMUNICACIONES</t>
  </si>
  <si>
    <t>12B0221</t>
  </si>
  <si>
    <t>UNIVERSIDAD NACIONAL DE LA AMAZONIA</t>
  </si>
  <si>
    <t>12B0261</t>
  </si>
  <si>
    <t>(US dólares)</t>
  </si>
  <si>
    <t>(En unidades monetarias)</t>
  </si>
  <si>
    <t>Total</t>
  </si>
  <si>
    <t>Entidad</t>
  </si>
  <si>
    <t>Clave</t>
  </si>
  <si>
    <t>Período: De 2012 al 31 de enero de 2015</t>
  </si>
  <si>
    <t xml:space="preserve">   Gobiernos Nacional   </t>
  </si>
  <si>
    <t xml:space="preserve">    Gobiernos Nacional   </t>
  </si>
  <si>
    <t>Empresa de Generación Eléctrica del Sur</t>
  </si>
  <si>
    <r>
      <t xml:space="preserve">Gobierno Regional de Libertad   </t>
    </r>
    <r>
      <rPr>
        <sz val="8"/>
        <color indexed="8"/>
        <rFont val="Arial"/>
        <family val="2"/>
      </rPr>
      <t>1/</t>
    </r>
  </si>
  <si>
    <r>
      <t xml:space="preserve">Empresa Municipal Fronteriza de Agua Potable y Alcantarillado de tumbes (EMFAPATUMBES)   </t>
    </r>
    <r>
      <rPr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/</t>
    </r>
  </si>
  <si>
    <r>
      <t xml:space="preserve">Ministerio de Defensa   </t>
    </r>
    <r>
      <rPr>
        <sz val="8"/>
        <color indexed="8"/>
        <rFont val="Arial"/>
        <family val="2"/>
      </rPr>
      <t>3/</t>
    </r>
  </si>
  <si>
    <r>
      <t xml:space="preserve">Autoridad Portuaria Nacional   </t>
    </r>
    <r>
      <rPr>
        <sz val="8"/>
        <color indexed="8"/>
        <rFont val="Arial"/>
        <family val="2"/>
      </rPr>
      <t>3/</t>
    </r>
  </si>
  <si>
    <r>
      <t xml:space="preserve">Universidad Nacional de la Amazonía Peruana   </t>
    </r>
    <r>
      <rPr>
        <sz val="8"/>
        <color indexed="8"/>
        <rFont val="Arial"/>
        <family val="2"/>
      </rPr>
      <t>3/</t>
    </r>
  </si>
  <si>
    <r>
      <t xml:space="preserve">Gobierno Regional de Apurímac   </t>
    </r>
    <r>
      <rPr>
        <sz val="8"/>
        <color indexed="8"/>
        <rFont val="Arial"/>
        <family val="2"/>
      </rPr>
      <t>1/</t>
    </r>
  </si>
  <si>
    <r>
      <t xml:space="preserve">Municipalidad Provincial de Abancay   </t>
    </r>
    <r>
      <rPr>
        <sz val="8"/>
        <rFont val="Arial"/>
        <family val="2"/>
      </rPr>
      <t>1/</t>
    </r>
  </si>
  <si>
    <r>
      <t xml:space="preserve">Municipalidad Provincial de Cotabambas - Tambobamba / Municipalidad Distrital Challhuacho   </t>
    </r>
    <r>
      <rPr>
        <sz val="8"/>
        <rFont val="Arial"/>
        <family val="2"/>
      </rPr>
      <t>1/</t>
    </r>
  </si>
  <si>
    <r>
      <t xml:space="preserve">Municipalidad Provincial de Graú - Chuquibambilla / Municipalidad Distrital de Progreso   </t>
    </r>
    <r>
      <rPr>
        <sz val="8"/>
        <rFont val="Arial"/>
        <family val="2"/>
      </rPr>
      <t>1/</t>
    </r>
  </si>
  <si>
    <r>
      <t xml:space="preserve">Municipalidad Distrital de Haquira   </t>
    </r>
    <r>
      <rPr>
        <sz val="8"/>
        <rFont val="Arial"/>
        <family val="2"/>
      </rPr>
      <t>1/</t>
    </r>
  </si>
  <si>
    <t>1/ El servicio es atendido con recurso del tesoro público.</t>
  </si>
  <si>
    <t>2/ Asumida por Aguas de Tumbes (ATUSA).</t>
  </si>
  <si>
    <t>3/ El servicio de la deuda se atiende con los recursos propios de estas entidades.</t>
  </si>
  <si>
    <r>
      <t xml:space="preserve">Municipalidad Distrital de Coyllurqui   </t>
    </r>
    <r>
      <rPr>
        <sz val="8"/>
        <rFont val="Arial"/>
        <family val="2"/>
      </rPr>
      <t>1/</t>
    </r>
  </si>
  <si>
    <r>
      <t xml:space="preserve">Municipalidad Distrital de Chincheros   </t>
    </r>
    <r>
      <rPr>
        <sz val="8"/>
        <rFont val="Arial"/>
        <family val="2"/>
      </rPr>
      <t>1/</t>
    </r>
  </si>
  <si>
    <t>Gobierno Regional de Arequipa</t>
  </si>
  <si>
    <r>
      <t xml:space="preserve">Municipalidad Distrital de Cotabambas   </t>
    </r>
    <r>
      <rPr>
        <sz val="8"/>
        <rFont val="Arial"/>
        <family val="2"/>
      </rPr>
      <t>1/</t>
    </r>
  </si>
  <si>
    <r>
      <t xml:space="preserve">Municipalidad Distrital de Challhuacho   </t>
    </r>
    <r>
      <rPr>
        <sz val="8"/>
        <rFont val="Arial"/>
        <family val="2"/>
      </rPr>
      <t>1/</t>
    </r>
  </si>
  <si>
    <t xml:space="preserve"> </t>
  </si>
  <si>
    <t>Período: De 2006 al 30 de noviembre de 2015</t>
  </si>
  <si>
    <r>
      <t xml:space="preserve">Municipalidad Provincial de Andahuaylas   </t>
    </r>
    <r>
      <rPr>
        <sz val="8"/>
        <rFont val="Arial"/>
        <family val="2"/>
      </rPr>
      <t>1/</t>
    </r>
  </si>
  <si>
    <t>Período: De 2006 al 31 de marzo de 2016</t>
  </si>
</sst>
</file>

<file path=xl/styles.xml><?xml version="1.0" encoding="utf-8"?>
<styleSheet xmlns="http://schemas.openxmlformats.org/spreadsheetml/2006/main">
  <numFmts count="6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.0\ ##0"/>
    <numFmt numFmtId="173" formatCode="###,###,###,###,###,###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##,###,###,###,###,###.0"/>
    <numFmt numFmtId="180" formatCode="#,##0.00000"/>
    <numFmt numFmtId="181" formatCode="#,##0.000000"/>
    <numFmt numFmtId="182" formatCode="#,##0.0000000"/>
    <numFmt numFmtId="183" formatCode="#,##0.000000000"/>
    <numFmt numFmtId="184" formatCode="0.00000000"/>
    <numFmt numFmtId="185" formatCode="###,###,###,###,###.0"/>
    <numFmt numFmtId="186" formatCode="0.000000000"/>
    <numFmt numFmtId="187" formatCode="\-"/>
    <numFmt numFmtId="188" formatCode="#"/>
    <numFmt numFmtId="189" formatCode="#.##0"/>
    <numFmt numFmtId="190" formatCode="#.##"/>
    <numFmt numFmtId="191" formatCode="#.#"/>
    <numFmt numFmtId="192" formatCode="[$-280A]dddd\,\ dd&quot; de &quot;mmmm&quot; de &quot;yyyy"/>
    <numFmt numFmtId="193" formatCode="[$-280A]hh:mm:ss\ AM/PM"/>
    <numFmt numFmtId="194" formatCode="0.0000000"/>
    <numFmt numFmtId="195" formatCode="#,##0.0"/>
    <numFmt numFmtId="196" formatCode="#,##0.000"/>
    <numFmt numFmtId="197" formatCode="#,##0.0000"/>
    <numFmt numFmtId="198" formatCode="#,##0.00000000"/>
    <numFmt numFmtId="199" formatCode="[$-80A]dddd\,\ d&quot; de &quot;mmmm&quot; de &quot;yyyy"/>
    <numFmt numFmtId="200" formatCode="[$-80A]hh:mm:ss\ AM/PM"/>
    <numFmt numFmtId="201" formatCode="###,###,###,###,###.00"/>
    <numFmt numFmtId="202" formatCode="###,###,###,###,###.000"/>
    <numFmt numFmtId="203" formatCode="###,###,###,###,###,###.00"/>
    <numFmt numFmtId="204" formatCode="###,###,###,###,###,###.000"/>
    <numFmt numFmtId="205" formatCode="###,###,###,###,###,###.0000"/>
    <numFmt numFmtId="206" formatCode="###,###,###,###,###,###.00000"/>
    <numFmt numFmtId="207" formatCode="###,###,###,###,###,###.000000"/>
    <numFmt numFmtId="208" formatCode="###,###,###,###,###,###.0000000"/>
    <numFmt numFmtId="209" formatCode="###,###,###,###,###,###.00000000"/>
    <numFmt numFmtId="210" formatCode="###,###,###,###,###,###.000000000"/>
    <numFmt numFmtId="211" formatCode="0.0000000000"/>
    <numFmt numFmtId="212" formatCode="_ * #,##0.000_ ;_ * \-#,##0.000_ ;_ * &quot;-&quot;??_ ;_ @_ "/>
    <numFmt numFmtId="213" formatCode="_ * #,##0.0000_ ;_ * \-#,##0.0000_ ;_ * &quot;-&quot;??_ ;_ @_ "/>
    <numFmt numFmtId="214" formatCode="_ * #,##0.00000_ ;_ * \-#,##0.00000_ ;_ * &quot;-&quot;??_ ;_ @_ "/>
    <numFmt numFmtId="215" formatCode="_ * #,##0.000000_ ;_ * \-#,##0.000000_ ;_ * &quot;-&quot;??_ ;_ @_ 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  <numFmt numFmtId="220" formatCode="###,###,###"/>
    <numFmt numFmtId="221" formatCode="###,###,###.0"/>
    <numFmt numFmtId="222" formatCode="###,###,###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2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3"/>
      <color indexed="8"/>
      <name val="Calibri"/>
      <family val="2"/>
    </font>
    <font>
      <b/>
      <u val="single"/>
      <sz val="12"/>
      <color indexed="12"/>
      <name val="Arial"/>
      <family val="2"/>
    </font>
    <font>
      <sz val="11"/>
      <name val="Calibri"/>
      <family val="2"/>
    </font>
    <font>
      <sz val="8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u val="single"/>
      <sz val="12"/>
      <color theme="1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/>
      <bottom style="thin">
        <color indexed="2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theme="0" tint="-0.4999699890613556"/>
      </bottom>
    </border>
    <border>
      <left style="thin">
        <color indexed="2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 tint="-0.4999699890613556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 tint="-0.499969989061355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 tint="-0.4999699890613556"/>
      </bottom>
    </border>
    <border>
      <left style="thin">
        <color indexed="2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</borders>
  <cellStyleXfs count="5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4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4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4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45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6" fillId="35" borderId="1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7" borderId="3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4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2" fillId="0" borderId="0">
      <alignment/>
      <protection/>
    </xf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44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44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44" fillId="4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4" fillId="46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4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1" fillId="49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3" borderId="8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9" fontId="1" fillId="0" borderId="0" applyFont="0" applyFill="0" applyBorder="0" applyAlignment="0" applyProtection="0"/>
    <xf numFmtId="0" fontId="56" fillId="35" borderId="10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50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</cellStyleXfs>
  <cellXfs count="739">
    <xf numFmtId="0" fontId="0" fillId="0" borderId="0" xfId="0" applyFont="1" applyAlignment="1">
      <alignment/>
    </xf>
    <xf numFmtId="172" fontId="3" fillId="55" borderId="0" xfId="410" applyNumberFormat="1" applyFont="1" applyFill="1" applyAlignment="1">
      <alignment/>
      <protection/>
    </xf>
    <xf numFmtId="0" fontId="22" fillId="55" borderId="0" xfId="410" applyFont="1" applyFill="1" applyAlignment="1" applyProtection="1">
      <alignment/>
      <protection/>
    </xf>
    <xf numFmtId="0" fontId="2" fillId="0" borderId="0" xfId="410" applyFont="1">
      <alignment/>
      <protection/>
    </xf>
    <xf numFmtId="0" fontId="30" fillId="0" borderId="0" xfId="0" applyFont="1" applyAlignment="1">
      <alignment/>
    </xf>
    <xf numFmtId="0" fontId="0" fillId="0" borderId="0" xfId="0" applyBorder="1" applyAlignment="1">
      <alignment/>
    </xf>
    <xf numFmtId="0" fontId="31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" fillId="0" borderId="0" xfId="410" applyFont="1" applyBorder="1">
      <alignment/>
      <protection/>
    </xf>
    <xf numFmtId="0" fontId="30" fillId="0" borderId="19" xfId="0" applyFont="1" applyBorder="1" applyAlignment="1">
      <alignment horizontal="left" indent="1"/>
    </xf>
    <xf numFmtId="0" fontId="24" fillId="55" borderId="0" xfId="410" applyFont="1" applyFill="1" applyBorder="1" applyAlignment="1" applyProtection="1">
      <alignment/>
      <protection locked="0"/>
    </xf>
    <xf numFmtId="0" fontId="25" fillId="55" borderId="0" xfId="410" applyFont="1" applyFill="1" applyAlignment="1" applyProtection="1">
      <alignment/>
      <protection/>
    </xf>
    <xf numFmtId="0" fontId="21" fillId="55" borderId="0" xfId="410" applyFont="1" applyFill="1">
      <alignment/>
      <protection/>
    </xf>
    <xf numFmtId="0" fontId="30" fillId="0" borderId="20" xfId="0" applyFont="1" applyBorder="1" applyAlignment="1">
      <alignment/>
    </xf>
    <xf numFmtId="173" fontId="4" fillId="0" borderId="19" xfId="0" applyNumberFormat="1" applyFont="1" applyBorder="1" applyAlignment="1">
      <alignment horizontal="right" indent="3"/>
    </xf>
    <xf numFmtId="173" fontId="30" fillId="0" borderId="19" xfId="0" applyNumberFormat="1" applyFont="1" applyBorder="1" applyAlignment="1">
      <alignment horizontal="right" indent="3"/>
    </xf>
    <xf numFmtId="173" fontId="32" fillId="0" borderId="19" xfId="0" applyNumberFormat="1" applyFont="1" applyBorder="1" applyAlignment="1">
      <alignment horizontal="right" indent="3"/>
    </xf>
    <xf numFmtId="0" fontId="33" fillId="0" borderId="0" xfId="0" applyFont="1" applyAlignment="1">
      <alignment/>
    </xf>
    <xf numFmtId="0" fontId="34" fillId="55" borderId="0" xfId="0" applyFont="1" applyFill="1" applyAlignment="1">
      <alignment/>
    </xf>
    <xf numFmtId="0" fontId="5" fillId="0" borderId="0" xfId="0" applyFont="1" applyAlignment="1">
      <alignment/>
    </xf>
    <xf numFmtId="0" fontId="30" fillId="0" borderId="21" xfId="0" applyFont="1" applyBorder="1" applyAlignment="1">
      <alignment/>
    </xf>
    <xf numFmtId="0" fontId="30" fillId="0" borderId="22" xfId="0" applyFont="1" applyBorder="1" applyAlignment="1">
      <alignment/>
    </xf>
    <xf numFmtId="0" fontId="4" fillId="0" borderId="19" xfId="0" applyFont="1" applyBorder="1" applyAlignment="1">
      <alignment horizontal="left" indent="1"/>
    </xf>
    <xf numFmtId="0" fontId="32" fillId="0" borderId="19" xfId="0" applyFont="1" applyBorder="1" applyAlignment="1">
      <alignment horizontal="left" indent="2"/>
    </xf>
    <xf numFmtId="173" fontId="4" fillId="0" borderId="0" xfId="0" applyNumberFormat="1" applyFont="1" applyBorder="1" applyAlignment="1">
      <alignment horizontal="right" indent="4"/>
    </xf>
    <xf numFmtId="173" fontId="32" fillId="0" borderId="0" xfId="0" applyNumberFormat="1" applyFont="1" applyBorder="1" applyAlignment="1">
      <alignment horizontal="right" indent="4"/>
    </xf>
    <xf numFmtId="173" fontId="30" fillId="0" borderId="0" xfId="0" applyNumberFormat="1" applyFont="1" applyBorder="1" applyAlignment="1">
      <alignment horizontal="right" indent="4"/>
    </xf>
    <xf numFmtId="173" fontId="30" fillId="0" borderId="22" xfId="0" applyNumberFormat="1" applyFont="1" applyBorder="1" applyAlignment="1">
      <alignment/>
    </xf>
    <xf numFmtId="0" fontId="23" fillId="55" borderId="0" xfId="411" applyFont="1" applyFill="1" applyAlignment="1" applyProtection="1">
      <alignment/>
      <protection/>
    </xf>
    <xf numFmtId="0" fontId="30" fillId="55" borderId="0" xfId="0" applyFont="1" applyFill="1" applyAlignment="1">
      <alignment/>
    </xf>
    <xf numFmtId="0" fontId="32" fillId="0" borderId="20" xfId="0" applyFont="1" applyBorder="1" applyAlignment="1">
      <alignment horizontal="left" indent="2"/>
    </xf>
    <xf numFmtId="173" fontId="32" fillId="0" borderId="21" xfId="0" applyNumberFormat="1" applyFont="1" applyBorder="1" applyAlignment="1">
      <alignment horizontal="right" indent="4"/>
    </xf>
    <xf numFmtId="173" fontId="32" fillId="0" borderId="20" xfId="0" applyNumberFormat="1" applyFont="1" applyBorder="1" applyAlignment="1">
      <alignment horizontal="right" indent="3"/>
    </xf>
    <xf numFmtId="0" fontId="27" fillId="55" borderId="0" xfId="0" applyFont="1" applyFill="1" applyAlignment="1">
      <alignment/>
    </xf>
    <xf numFmtId="1" fontId="32" fillId="0" borderId="19" xfId="0" applyNumberFormat="1" applyFont="1" applyBorder="1" applyAlignment="1">
      <alignment horizontal="right" indent="3"/>
    </xf>
    <xf numFmtId="1" fontId="32" fillId="0" borderId="0" xfId="0" applyNumberFormat="1" applyFont="1" applyBorder="1" applyAlignment="1">
      <alignment horizontal="right" indent="4"/>
    </xf>
    <xf numFmtId="179" fontId="32" fillId="0" borderId="0" xfId="0" applyNumberFormat="1" applyFont="1" applyBorder="1" applyAlignment="1">
      <alignment horizontal="right" indent="4"/>
    </xf>
    <xf numFmtId="176" fontId="32" fillId="0" borderId="0" xfId="0" applyNumberFormat="1" applyFont="1" applyBorder="1" applyAlignment="1">
      <alignment horizontal="right" indent="4"/>
    </xf>
    <xf numFmtId="179" fontId="32" fillId="0" borderId="19" xfId="0" applyNumberFormat="1" applyFont="1" applyBorder="1" applyAlignment="1">
      <alignment horizontal="right" indent="3"/>
    </xf>
    <xf numFmtId="179" fontId="35" fillId="0" borderId="0" xfId="0" applyNumberFormat="1" applyFont="1" applyBorder="1" applyAlignment="1">
      <alignment horizontal="right" indent="4"/>
    </xf>
    <xf numFmtId="179" fontId="30" fillId="0" borderId="23" xfId="0" applyNumberFormat="1" applyFont="1" applyBorder="1" applyAlignment="1">
      <alignment/>
    </xf>
    <xf numFmtId="179" fontId="4" fillId="0" borderId="19" xfId="0" applyNumberFormat="1" applyFont="1" applyBorder="1" applyAlignment="1">
      <alignment horizontal="right" indent="3"/>
    </xf>
    <xf numFmtId="0" fontId="23" fillId="55" borderId="0" xfId="410" applyFont="1" applyFill="1" applyAlignment="1" applyProtection="1">
      <alignment vertical="top"/>
      <protection/>
    </xf>
    <xf numFmtId="0" fontId="29" fillId="55" borderId="0" xfId="410" applyFont="1" applyFill="1" applyBorder="1" applyAlignment="1" applyProtection="1">
      <alignment/>
      <protection locked="0"/>
    </xf>
    <xf numFmtId="0" fontId="25" fillId="55" borderId="0" xfId="411" applyFont="1" applyFill="1" applyAlignment="1" applyProtection="1">
      <alignment/>
      <protection/>
    </xf>
    <xf numFmtId="0" fontId="26" fillId="55" borderId="0" xfId="410" applyFont="1" applyFill="1" applyAlignment="1" applyProtection="1">
      <alignment/>
      <protection/>
    </xf>
    <xf numFmtId="0" fontId="2" fillId="55" borderId="0" xfId="410" applyFont="1" applyFill="1">
      <alignment/>
      <protection/>
    </xf>
    <xf numFmtId="0" fontId="2" fillId="55" borderId="0" xfId="410" applyFont="1" applyFill="1" applyBorder="1">
      <alignment/>
      <protection/>
    </xf>
    <xf numFmtId="0" fontId="31" fillId="55" borderId="0" xfId="0" applyFont="1" applyFill="1" applyBorder="1" applyAlignment="1">
      <alignment/>
    </xf>
    <xf numFmtId="0" fontId="32" fillId="55" borderId="19" xfId="0" applyFont="1" applyFill="1" applyBorder="1" applyAlignment="1">
      <alignment horizontal="left" indent="2"/>
    </xf>
    <xf numFmtId="0" fontId="4" fillId="55" borderId="19" xfId="0" applyFont="1" applyFill="1" applyBorder="1" applyAlignment="1">
      <alignment horizontal="left" indent="1"/>
    </xf>
    <xf numFmtId="0" fontId="30" fillId="55" borderId="22" xfId="0" applyFont="1" applyFill="1" applyBorder="1" applyAlignment="1">
      <alignment/>
    </xf>
    <xf numFmtId="179" fontId="32" fillId="55" borderId="0" xfId="0" applyNumberFormat="1" applyFont="1" applyFill="1" applyBorder="1" applyAlignment="1">
      <alignment horizontal="right" indent="4"/>
    </xf>
    <xf numFmtId="0" fontId="2" fillId="55" borderId="0" xfId="0" applyFont="1" applyFill="1" applyAlignment="1" applyProtection="1">
      <alignment/>
      <protection/>
    </xf>
    <xf numFmtId="0" fontId="26" fillId="55" borderId="0" xfId="0" applyFont="1" applyFill="1" applyBorder="1" applyAlignment="1" applyProtection="1">
      <alignment vertical="center"/>
      <protection/>
    </xf>
    <xf numFmtId="0" fontId="21" fillId="55" borderId="0" xfId="411" applyFont="1" applyFill="1" applyBorder="1" applyAlignment="1" applyProtection="1">
      <alignment/>
      <protection/>
    </xf>
    <xf numFmtId="0" fontId="31" fillId="55" borderId="0" xfId="0" applyFont="1" applyFill="1" applyBorder="1" applyAlignment="1">
      <alignment horizontal="left"/>
    </xf>
    <xf numFmtId="0" fontId="32" fillId="55" borderId="0" xfId="0" applyFont="1" applyFill="1" applyBorder="1" applyAlignment="1">
      <alignment horizontal="left" indent="2"/>
    </xf>
    <xf numFmtId="179" fontId="32" fillId="55" borderId="0" xfId="0" applyNumberFormat="1" applyFont="1" applyFill="1" applyBorder="1" applyAlignment="1">
      <alignment horizontal="right" indent="3"/>
    </xf>
    <xf numFmtId="172" fontId="3" fillId="55" borderId="20" xfId="410" applyNumberFormat="1" applyFont="1" applyFill="1" applyBorder="1" applyAlignment="1">
      <alignment/>
      <protection/>
    </xf>
    <xf numFmtId="0" fontId="2" fillId="55" borderId="0" xfId="410" applyFont="1" applyFill="1" applyBorder="1" applyAlignment="1">
      <alignment/>
      <protection/>
    </xf>
    <xf numFmtId="0" fontId="30" fillId="0" borderId="0" xfId="0" applyFont="1" applyBorder="1" applyAlignment="1">
      <alignment/>
    </xf>
    <xf numFmtId="176" fontId="32" fillId="55" borderId="0" xfId="0" applyNumberFormat="1" applyFont="1" applyFill="1" applyBorder="1" applyAlignment="1">
      <alignment/>
    </xf>
    <xf numFmtId="0" fontId="23" fillId="55" borderId="0" xfId="0" applyFont="1" applyFill="1" applyAlignment="1">
      <alignment/>
    </xf>
    <xf numFmtId="0" fontId="23" fillId="0" borderId="0" xfId="0" applyFont="1" applyAlignment="1">
      <alignment/>
    </xf>
    <xf numFmtId="0" fontId="2" fillId="55" borderId="0" xfId="410" applyFont="1" applyFill="1">
      <alignment/>
      <protection/>
    </xf>
    <xf numFmtId="0" fontId="2" fillId="55" borderId="0" xfId="410" applyFont="1" applyFill="1" applyBorder="1">
      <alignment/>
      <protection/>
    </xf>
    <xf numFmtId="0" fontId="23" fillId="0" borderId="0" xfId="0" applyFont="1" applyBorder="1" applyAlignment="1">
      <alignment/>
    </xf>
    <xf numFmtId="0" fontId="30" fillId="0" borderId="19" xfId="0" applyFont="1" applyBorder="1" applyAlignment="1">
      <alignment/>
    </xf>
    <xf numFmtId="179" fontId="32" fillId="55" borderId="0" xfId="0" applyNumberFormat="1" applyFont="1" applyFill="1" applyBorder="1" applyAlignment="1">
      <alignment/>
    </xf>
    <xf numFmtId="176" fontId="30" fillId="55" borderId="0" xfId="0" applyNumberFormat="1" applyFont="1" applyFill="1" applyBorder="1" applyAlignment="1">
      <alignment/>
    </xf>
    <xf numFmtId="179" fontId="30" fillId="55" borderId="0" xfId="0" applyNumberFormat="1" applyFont="1" applyFill="1" applyBorder="1" applyAlignment="1">
      <alignment/>
    </xf>
    <xf numFmtId="0" fontId="4" fillId="55" borderId="19" xfId="0" applyFont="1" applyFill="1" applyBorder="1" applyAlignment="1">
      <alignment/>
    </xf>
    <xf numFmtId="0" fontId="30" fillId="0" borderId="19" xfId="0" applyFont="1" applyBorder="1" applyAlignment="1">
      <alignment horizontal="left" indent="4"/>
    </xf>
    <xf numFmtId="0" fontId="30" fillId="55" borderId="19" xfId="0" applyFont="1" applyFill="1" applyBorder="1" applyAlignment="1">
      <alignment horizontal="left" indent="4"/>
    </xf>
    <xf numFmtId="176" fontId="30" fillId="55" borderId="0" xfId="0" applyNumberFormat="1" applyFont="1" applyFill="1" applyAlignment="1">
      <alignment/>
    </xf>
    <xf numFmtId="179" fontId="4" fillId="55" borderId="0" xfId="0" applyNumberFormat="1" applyFont="1" applyFill="1" applyBorder="1" applyAlignment="1">
      <alignment/>
    </xf>
    <xf numFmtId="179" fontId="4" fillId="55" borderId="0" xfId="0" applyNumberFormat="1" applyFont="1" applyFill="1" applyBorder="1" applyAlignment="1">
      <alignment horizontal="right" indent="1"/>
    </xf>
    <xf numFmtId="179" fontId="32" fillId="55" borderId="0" xfId="0" applyNumberFormat="1" applyFont="1" applyFill="1" applyAlignment="1">
      <alignment/>
    </xf>
    <xf numFmtId="179" fontId="30" fillId="55" borderId="0" xfId="0" applyNumberFormat="1" applyFont="1" applyFill="1" applyAlignment="1">
      <alignment/>
    </xf>
    <xf numFmtId="179" fontId="30" fillId="55" borderId="19" xfId="0" applyNumberFormat="1" applyFont="1" applyFill="1" applyBorder="1" applyAlignment="1">
      <alignment horizontal="right" indent="2"/>
    </xf>
    <xf numFmtId="179" fontId="30" fillId="0" borderId="0" xfId="0" applyNumberFormat="1" applyFont="1" applyAlignment="1">
      <alignment/>
    </xf>
    <xf numFmtId="179" fontId="32" fillId="0" borderId="0" xfId="0" applyNumberFormat="1" applyFont="1" applyAlignment="1">
      <alignment/>
    </xf>
    <xf numFmtId="0" fontId="0" fillId="55" borderId="0" xfId="0" applyFill="1" applyAlignment="1">
      <alignment/>
    </xf>
    <xf numFmtId="179" fontId="30" fillId="55" borderId="0" xfId="0" applyNumberFormat="1" applyFont="1" applyFill="1" applyBorder="1" applyAlignment="1">
      <alignment/>
    </xf>
    <xf numFmtId="0" fontId="35" fillId="55" borderId="19" xfId="0" applyFont="1" applyFill="1" applyBorder="1" applyAlignment="1">
      <alignment horizontal="left" indent="2"/>
    </xf>
    <xf numFmtId="179" fontId="35" fillId="55" borderId="19" xfId="0" applyNumberFormat="1" applyFont="1" applyFill="1" applyBorder="1" applyAlignment="1">
      <alignment horizontal="right" indent="2"/>
    </xf>
    <xf numFmtId="179" fontId="35" fillId="55" borderId="0" xfId="0" applyNumberFormat="1" applyFont="1" applyFill="1" applyBorder="1" applyAlignment="1">
      <alignment/>
    </xf>
    <xf numFmtId="0" fontId="21" fillId="55" borderId="0" xfId="0" applyFont="1" applyFill="1" applyAlignment="1">
      <alignment vertical="center"/>
    </xf>
    <xf numFmtId="0" fontId="37" fillId="55" borderId="0" xfId="379" applyFont="1" applyFill="1" applyAlignment="1" applyProtection="1">
      <alignment/>
      <protection/>
    </xf>
    <xf numFmtId="172" fontId="3" fillId="55" borderId="0" xfId="410" applyNumberFormat="1" applyFont="1" applyFill="1" applyBorder="1" applyAlignment="1">
      <alignment/>
      <protection/>
    </xf>
    <xf numFmtId="172" fontId="3" fillId="55" borderId="24" xfId="410" applyNumberFormat="1" applyFont="1" applyFill="1" applyBorder="1" applyAlignment="1">
      <alignment/>
      <protection/>
    </xf>
    <xf numFmtId="176" fontId="35" fillId="55" borderId="0" xfId="0" applyNumberFormat="1" applyFont="1" applyFill="1" applyBorder="1" applyAlignment="1">
      <alignment/>
    </xf>
    <xf numFmtId="176" fontId="30" fillId="0" borderId="0" xfId="0" applyNumberFormat="1" applyFont="1" applyBorder="1" applyAlignment="1">
      <alignment/>
    </xf>
    <xf numFmtId="176" fontId="4" fillId="55" borderId="0" xfId="0" applyNumberFormat="1" applyFont="1" applyFill="1" applyBorder="1" applyAlignment="1">
      <alignment/>
    </xf>
    <xf numFmtId="176" fontId="4" fillId="55" borderId="0" xfId="0" applyNumberFormat="1" applyFont="1" applyFill="1" applyBorder="1" applyAlignment="1">
      <alignment horizontal="right"/>
    </xf>
    <xf numFmtId="176" fontId="30" fillId="55" borderId="0" xfId="0" applyNumberFormat="1" applyFont="1" applyFill="1" applyBorder="1" applyAlignment="1">
      <alignment horizontal="right"/>
    </xf>
    <xf numFmtId="0" fontId="30" fillId="55" borderId="0" xfId="0" applyFont="1" applyFill="1" applyBorder="1" applyAlignment="1">
      <alignment horizontal="right"/>
    </xf>
    <xf numFmtId="185" fontId="4" fillId="55" borderId="0" xfId="0" applyNumberFormat="1" applyFont="1" applyFill="1" applyBorder="1" applyAlignment="1">
      <alignment/>
    </xf>
    <xf numFmtId="185" fontId="35" fillId="55" borderId="0" xfId="0" applyNumberFormat="1" applyFont="1" applyFill="1" applyBorder="1" applyAlignment="1">
      <alignment/>
    </xf>
    <xf numFmtId="176" fontId="30" fillId="55" borderId="19" xfId="0" applyNumberFormat="1" applyFont="1" applyFill="1" applyBorder="1" applyAlignment="1">
      <alignment horizontal="right" indent="2"/>
    </xf>
    <xf numFmtId="0" fontId="22" fillId="56" borderId="19" xfId="0" applyFont="1" applyFill="1" applyBorder="1" applyAlignment="1" applyProtection="1">
      <alignment horizontal="right" vertical="center" indent="1"/>
      <protection/>
    </xf>
    <xf numFmtId="0" fontId="22" fillId="55" borderId="2" xfId="411" applyFont="1" applyFill="1" applyBorder="1" applyAlignment="1" applyProtection="1">
      <alignment horizontal="center" vertical="center"/>
      <protection/>
    </xf>
    <xf numFmtId="172" fontId="26" fillId="55" borderId="19" xfId="410" applyNumberFormat="1" applyFont="1" applyFill="1" applyBorder="1" applyAlignment="1">
      <alignment horizontal="center" vertical="center" wrapText="1"/>
      <protection/>
    </xf>
    <xf numFmtId="185" fontId="4" fillId="55" borderId="25" xfId="0" applyNumberFormat="1" applyFont="1" applyFill="1" applyBorder="1" applyAlignment="1">
      <alignment horizontal="right" indent="1"/>
    </xf>
    <xf numFmtId="185" fontId="35" fillId="55" borderId="25" xfId="0" applyNumberFormat="1" applyFont="1" applyFill="1" applyBorder="1" applyAlignment="1">
      <alignment horizontal="right" indent="1"/>
    </xf>
    <xf numFmtId="185" fontId="30" fillId="55" borderId="25" xfId="0" applyNumberFormat="1" applyFont="1" applyFill="1" applyBorder="1" applyAlignment="1">
      <alignment horizontal="right" indent="1"/>
    </xf>
    <xf numFmtId="176" fontId="30" fillId="55" borderId="25" xfId="0" applyNumberFormat="1" applyFont="1" applyFill="1" applyBorder="1" applyAlignment="1">
      <alignment horizontal="right" indent="1"/>
    </xf>
    <xf numFmtId="176" fontId="32" fillId="55" borderId="25" xfId="0" applyNumberFormat="1" applyFont="1" applyFill="1" applyBorder="1" applyAlignment="1">
      <alignment horizontal="right" indent="1"/>
    </xf>
    <xf numFmtId="176" fontId="35" fillId="55" borderId="25" xfId="0" applyNumberFormat="1" applyFont="1" applyFill="1" applyBorder="1" applyAlignment="1">
      <alignment horizontal="right" indent="1"/>
    </xf>
    <xf numFmtId="185" fontId="32" fillId="55" borderId="25" xfId="0" applyNumberFormat="1" applyFont="1" applyFill="1" applyBorder="1" applyAlignment="1">
      <alignment horizontal="right" indent="1"/>
    </xf>
    <xf numFmtId="185" fontId="35" fillId="57" borderId="25" xfId="0" applyNumberFormat="1" applyFont="1" applyFill="1" applyBorder="1" applyAlignment="1">
      <alignment horizontal="right" indent="1"/>
    </xf>
    <xf numFmtId="185" fontId="30" fillId="57" borderId="25" xfId="0" applyNumberFormat="1" applyFont="1" applyFill="1" applyBorder="1" applyAlignment="1">
      <alignment horizontal="right" indent="1"/>
    </xf>
    <xf numFmtId="176" fontId="30" fillId="57" borderId="25" xfId="0" applyNumberFormat="1" applyFont="1" applyFill="1" applyBorder="1" applyAlignment="1">
      <alignment horizontal="right" indent="1"/>
    </xf>
    <xf numFmtId="185" fontId="30" fillId="0" borderId="25" xfId="0" applyNumberFormat="1" applyFont="1" applyBorder="1" applyAlignment="1">
      <alignment horizontal="right" indent="1"/>
    </xf>
    <xf numFmtId="176" fontId="4" fillId="55" borderId="25" xfId="0" applyNumberFormat="1" applyFont="1" applyFill="1" applyBorder="1" applyAlignment="1">
      <alignment horizontal="right" indent="1"/>
    </xf>
    <xf numFmtId="0" fontId="38" fillId="0" borderId="0" xfId="0" applyFont="1" applyAlignment="1">
      <alignment/>
    </xf>
    <xf numFmtId="0" fontId="30" fillId="57" borderId="19" xfId="0" applyFont="1" applyFill="1" applyBorder="1" applyAlignment="1">
      <alignment horizontal="left" indent="4"/>
    </xf>
    <xf numFmtId="179" fontId="4" fillId="55" borderId="26" xfId="0" applyNumberFormat="1" applyFont="1" applyFill="1" applyBorder="1" applyAlignment="1">
      <alignment/>
    </xf>
    <xf numFmtId="179" fontId="4" fillId="55" borderId="25" xfId="0" applyNumberFormat="1" applyFont="1" applyFill="1" applyBorder="1" applyAlignment="1">
      <alignment horizontal="right" indent="1"/>
    </xf>
    <xf numFmtId="179" fontId="35" fillId="55" borderId="26" xfId="0" applyNumberFormat="1" applyFont="1" applyFill="1" applyBorder="1" applyAlignment="1">
      <alignment/>
    </xf>
    <xf numFmtId="179" fontId="35" fillId="55" borderId="0" xfId="0" applyNumberFormat="1" applyFont="1" applyFill="1" applyBorder="1" applyAlignment="1">
      <alignment horizontal="right" indent="1"/>
    </xf>
    <xf numFmtId="179" fontId="32" fillId="55" borderId="26" xfId="0" applyNumberFormat="1" applyFont="1" applyFill="1" applyBorder="1" applyAlignment="1">
      <alignment/>
    </xf>
    <xf numFmtId="179" fontId="32" fillId="55" borderId="25" xfId="0" applyNumberFormat="1" applyFont="1" applyFill="1" applyBorder="1" applyAlignment="1">
      <alignment horizontal="right" indent="1"/>
    </xf>
    <xf numFmtId="179" fontId="30" fillId="55" borderId="26" xfId="0" applyNumberFormat="1" applyFont="1" applyFill="1" applyBorder="1" applyAlignment="1">
      <alignment/>
    </xf>
    <xf numFmtId="179" fontId="30" fillId="55" borderId="0" xfId="0" applyNumberFormat="1" applyFont="1" applyFill="1" applyBorder="1" applyAlignment="1">
      <alignment horizontal="right" indent="1"/>
    </xf>
    <xf numFmtId="179" fontId="30" fillId="55" borderId="25" xfId="0" applyNumberFormat="1" applyFont="1" applyFill="1" applyBorder="1" applyAlignment="1">
      <alignment horizontal="right" indent="1"/>
    </xf>
    <xf numFmtId="179" fontId="30" fillId="55" borderId="26" xfId="0" applyNumberFormat="1" applyFont="1" applyFill="1" applyBorder="1" applyAlignment="1">
      <alignment/>
    </xf>
    <xf numFmtId="179" fontId="0" fillId="55" borderId="0" xfId="0" applyNumberFormat="1" applyFill="1" applyBorder="1" applyAlignment="1">
      <alignment/>
    </xf>
    <xf numFmtId="176" fontId="30" fillId="55" borderId="0" xfId="0" applyNumberFormat="1" applyFont="1" applyFill="1" applyBorder="1" applyAlignment="1">
      <alignment horizontal="right" indent="1"/>
    </xf>
    <xf numFmtId="0" fontId="22" fillId="56" borderId="0" xfId="0" applyFont="1" applyFill="1" applyBorder="1" applyAlignment="1" applyProtection="1">
      <alignment horizontal="right" vertical="center"/>
      <protection/>
    </xf>
    <xf numFmtId="0" fontId="22" fillId="56" borderId="0" xfId="0" applyFont="1" applyFill="1" applyBorder="1" applyAlignment="1" applyProtection="1">
      <alignment horizontal="right" vertical="center" indent="1"/>
      <protection/>
    </xf>
    <xf numFmtId="0" fontId="22" fillId="56" borderId="26" xfId="0" applyFont="1" applyFill="1" applyBorder="1" applyAlignment="1" applyProtection="1">
      <alignment horizontal="right" vertical="center"/>
      <protection/>
    </xf>
    <xf numFmtId="0" fontId="30" fillId="57" borderId="0" xfId="0" applyFont="1" applyFill="1" applyAlignment="1">
      <alignment/>
    </xf>
    <xf numFmtId="176" fontId="30" fillId="57" borderId="0" xfId="0" applyNumberFormat="1" applyFont="1" applyFill="1" applyBorder="1" applyAlignment="1">
      <alignment/>
    </xf>
    <xf numFmtId="179" fontId="30" fillId="57" borderId="0" xfId="0" applyNumberFormat="1" applyFont="1" applyFill="1" applyAlignment="1">
      <alignment/>
    </xf>
    <xf numFmtId="179" fontId="30" fillId="57" borderId="0" xfId="0" applyNumberFormat="1" applyFont="1" applyFill="1" applyBorder="1" applyAlignment="1">
      <alignment/>
    </xf>
    <xf numFmtId="179" fontId="23" fillId="57" borderId="0" xfId="0" applyNumberFormat="1" applyFont="1" applyFill="1" applyAlignment="1">
      <alignment/>
    </xf>
    <xf numFmtId="185" fontId="35" fillId="57" borderId="0" xfId="0" applyNumberFormat="1" applyFont="1" applyFill="1" applyBorder="1" applyAlignment="1">
      <alignment/>
    </xf>
    <xf numFmtId="185" fontId="32" fillId="55" borderId="0" xfId="0" applyNumberFormat="1" applyFont="1" applyFill="1" applyBorder="1" applyAlignment="1">
      <alignment/>
    </xf>
    <xf numFmtId="185" fontId="30" fillId="57" borderId="0" xfId="0" applyNumberFormat="1" applyFont="1" applyFill="1" applyBorder="1" applyAlignment="1">
      <alignment/>
    </xf>
    <xf numFmtId="185" fontId="30" fillId="0" borderId="0" xfId="0" applyNumberFormat="1" applyFont="1" applyBorder="1" applyAlignment="1">
      <alignment/>
    </xf>
    <xf numFmtId="176" fontId="30" fillId="55" borderId="26" xfId="0" applyNumberFormat="1" applyFont="1" applyFill="1" applyBorder="1" applyAlignment="1">
      <alignment/>
    </xf>
    <xf numFmtId="179" fontId="4" fillId="55" borderId="0" xfId="0" applyNumberFormat="1" applyFont="1" applyFill="1" applyBorder="1" applyAlignment="1">
      <alignment horizontal="right"/>
    </xf>
    <xf numFmtId="179" fontId="35" fillId="55" borderId="0" xfId="0" applyNumberFormat="1" applyFont="1" applyFill="1" applyBorder="1" applyAlignment="1">
      <alignment horizontal="right"/>
    </xf>
    <xf numFmtId="0" fontId="32" fillId="55" borderId="0" xfId="0" applyFont="1" applyFill="1" applyBorder="1" applyAlignment="1">
      <alignment horizontal="right"/>
    </xf>
    <xf numFmtId="176" fontId="30" fillId="55" borderId="26" xfId="0" applyNumberFormat="1" applyFont="1" applyFill="1" applyBorder="1" applyAlignment="1">
      <alignment horizontal="right"/>
    </xf>
    <xf numFmtId="0" fontId="32" fillId="55" borderId="27" xfId="0" applyFont="1" applyFill="1" applyBorder="1" applyAlignment="1">
      <alignment horizontal="right"/>
    </xf>
    <xf numFmtId="179" fontId="35" fillId="55" borderId="27" xfId="0" applyNumberFormat="1" applyFont="1" applyFill="1" applyBorder="1" applyAlignment="1">
      <alignment horizontal="right"/>
    </xf>
    <xf numFmtId="176" fontId="30" fillId="55" borderId="27" xfId="0" applyNumberFormat="1" applyFont="1" applyFill="1" applyBorder="1" applyAlignment="1">
      <alignment horizontal="right"/>
    </xf>
    <xf numFmtId="176" fontId="4" fillId="55" borderId="27" xfId="0" applyNumberFormat="1" applyFont="1" applyFill="1" applyBorder="1" applyAlignment="1">
      <alignment horizontal="right"/>
    </xf>
    <xf numFmtId="0" fontId="4" fillId="55" borderId="27" xfId="0" applyFont="1" applyFill="1" applyBorder="1" applyAlignment="1">
      <alignment horizontal="right"/>
    </xf>
    <xf numFmtId="176" fontId="35" fillId="55" borderId="27" xfId="0" applyNumberFormat="1" applyFont="1" applyFill="1" applyBorder="1" applyAlignment="1">
      <alignment horizontal="right"/>
    </xf>
    <xf numFmtId="0" fontId="30" fillId="55" borderId="26" xfId="0" applyFont="1" applyFill="1" applyBorder="1" applyAlignment="1">
      <alignment horizontal="right"/>
    </xf>
    <xf numFmtId="0" fontId="4" fillId="57" borderId="0" xfId="0" applyFont="1" applyFill="1" applyBorder="1" applyAlignment="1">
      <alignment horizontal="right"/>
    </xf>
    <xf numFmtId="176" fontId="35" fillId="55" borderId="0" xfId="0" applyNumberFormat="1" applyFont="1" applyFill="1" applyBorder="1" applyAlignment="1">
      <alignment horizontal="right"/>
    </xf>
    <xf numFmtId="176" fontId="30" fillId="57" borderId="0" xfId="0" applyNumberFormat="1" applyFont="1" applyFill="1" applyBorder="1" applyAlignment="1">
      <alignment horizontal="right"/>
    </xf>
    <xf numFmtId="179" fontId="32" fillId="55" borderId="0" xfId="0" applyNumberFormat="1" applyFont="1" applyFill="1" applyBorder="1" applyAlignment="1">
      <alignment horizontal="right"/>
    </xf>
    <xf numFmtId="179" fontId="30" fillId="55" borderId="0" xfId="0" applyNumberFormat="1" applyFont="1" applyFill="1" applyBorder="1" applyAlignment="1">
      <alignment horizontal="right"/>
    </xf>
    <xf numFmtId="176" fontId="35" fillId="55" borderId="0" xfId="0" applyNumberFormat="1" applyFont="1" applyFill="1" applyBorder="1" applyAlignment="1">
      <alignment horizontal="right" indent="1"/>
    </xf>
    <xf numFmtId="183" fontId="30" fillId="0" borderId="0" xfId="0" applyNumberFormat="1" applyFont="1" applyAlignment="1">
      <alignment/>
    </xf>
    <xf numFmtId="176" fontId="30" fillId="57" borderId="19" xfId="0" applyNumberFormat="1" applyFont="1" applyFill="1" applyBorder="1" applyAlignment="1">
      <alignment horizontal="right" indent="2"/>
    </xf>
    <xf numFmtId="0" fontId="32" fillId="55" borderId="19" xfId="0" applyFont="1" applyFill="1" applyBorder="1" applyAlignment="1">
      <alignment horizontal="right" indent="2"/>
    </xf>
    <xf numFmtId="176" fontId="30" fillId="55" borderId="26" xfId="0" applyNumberFormat="1" applyFont="1" applyFill="1" applyBorder="1" applyAlignment="1">
      <alignment horizontal="right" indent="2"/>
    </xf>
    <xf numFmtId="0" fontId="32" fillId="55" borderId="26" xfId="0" applyFont="1" applyFill="1" applyBorder="1" applyAlignment="1">
      <alignment horizontal="right" indent="2"/>
    </xf>
    <xf numFmtId="179" fontId="35" fillId="55" borderId="26" xfId="0" applyNumberFormat="1" applyFont="1" applyFill="1" applyBorder="1" applyAlignment="1">
      <alignment horizontal="right" indent="2"/>
    </xf>
    <xf numFmtId="176" fontId="4" fillId="55" borderId="26" xfId="0" applyNumberFormat="1" applyFont="1" applyFill="1" applyBorder="1" applyAlignment="1">
      <alignment horizontal="right" indent="2"/>
    </xf>
    <xf numFmtId="0" fontId="4" fillId="55" borderId="26" xfId="0" applyFont="1" applyFill="1" applyBorder="1" applyAlignment="1">
      <alignment horizontal="right" indent="2"/>
    </xf>
    <xf numFmtId="176" fontId="35" fillId="55" borderId="26" xfId="0" applyNumberFormat="1" applyFont="1" applyFill="1" applyBorder="1" applyAlignment="1">
      <alignment horizontal="right" indent="2"/>
    </xf>
    <xf numFmtId="0" fontId="30" fillId="55" borderId="26" xfId="0" applyFont="1" applyFill="1" applyBorder="1" applyAlignment="1">
      <alignment horizontal="right" indent="2"/>
    </xf>
    <xf numFmtId="179" fontId="32" fillId="55" borderId="0" xfId="0" applyNumberFormat="1" applyFont="1" applyFill="1" applyBorder="1" applyAlignment="1">
      <alignment horizontal="right" indent="1"/>
    </xf>
    <xf numFmtId="0" fontId="22" fillId="56" borderId="25" xfId="0" applyFont="1" applyFill="1" applyBorder="1" applyAlignment="1" applyProtection="1">
      <alignment horizontal="right" vertical="center" indent="1"/>
      <protection/>
    </xf>
    <xf numFmtId="176" fontId="30" fillId="57" borderId="0" xfId="0" applyNumberFormat="1" applyFont="1" applyFill="1" applyBorder="1" applyAlignment="1">
      <alignment horizontal="right" indent="1"/>
    </xf>
    <xf numFmtId="185" fontId="30" fillId="57" borderId="0" xfId="0" applyNumberFormat="1" applyFont="1" applyFill="1" applyBorder="1" applyAlignment="1">
      <alignment horizontal="right" indent="1"/>
    </xf>
    <xf numFmtId="179" fontId="30" fillId="57" borderId="27" xfId="0" applyNumberFormat="1" applyFont="1" applyFill="1" applyBorder="1" applyAlignment="1">
      <alignment/>
    </xf>
    <xf numFmtId="187" fontId="30" fillId="55" borderId="19" xfId="0" applyNumberFormat="1" applyFont="1" applyFill="1" applyBorder="1" applyAlignment="1">
      <alignment horizontal="right" indent="2"/>
    </xf>
    <xf numFmtId="187" fontId="30" fillId="55" borderId="0" xfId="0" applyNumberFormat="1" applyFont="1" applyFill="1" applyBorder="1" applyAlignment="1">
      <alignment/>
    </xf>
    <xf numFmtId="187" fontId="30" fillId="55" borderId="0" xfId="0" applyNumberFormat="1" applyFont="1" applyFill="1" applyAlignment="1">
      <alignment/>
    </xf>
    <xf numFmtId="187" fontId="30" fillId="0" borderId="19" xfId="0" applyNumberFormat="1" applyFont="1" applyBorder="1" applyAlignment="1">
      <alignment horizontal="right" indent="2"/>
    </xf>
    <xf numFmtId="187" fontId="30" fillId="0" borderId="0" xfId="0" applyNumberFormat="1" applyFont="1" applyBorder="1" applyAlignment="1">
      <alignment/>
    </xf>
    <xf numFmtId="187" fontId="30" fillId="55" borderId="26" xfId="0" applyNumberFormat="1" applyFont="1" applyFill="1" applyBorder="1" applyAlignment="1">
      <alignment horizontal="right" indent="2"/>
    </xf>
    <xf numFmtId="187" fontId="30" fillId="55" borderId="27" xfId="0" applyNumberFormat="1" applyFont="1" applyFill="1" applyBorder="1" applyAlignment="1">
      <alignment horizontal="right"/>
    </xf>
    <xf numFmtId="176" fontId="21" fillId="55" borderId="0" xfId="0" applyNumberFormat="1" applyFont="1" applyFill="1" applyAlignment="1">
      <alignment vertical="center"/>
    </xf>
    <xf numFmtId="180" fontId="30" fillId="0" borderId="0" xfId="0" applyNumberFormat="1" applyFont="1" applyAlignment="1">
      <alignment/>
    </xf>
    <xf numFmtId="0" fontId="30" fillId="0" borderId="0" xfId="0" applyFont="1" applyBorder="1" applyAlignment="1">
      <alignment horizontal="right" indent="1"/>
    </xf>
    <xf numFmtId="179" fontId="35" fillId="55" borderId="25" xfId="0" applyNumberFormat="1" applyFont="1" applyFill="1" applyBorder="1" applyAlignment="1">
      <alignment horizontal="right" indent="1"/>
    </xf>
    <xf numFmtId="179" fontId="30" fillId="0" borderId="0" xfId="0" applyNumberFormat="1" applyFont="1" applyBorder="1" applyAlignment="1">
      <alignment/>
    </xf>
    <xf numFmtId="179" fontId="30" fillId="0" borderId="0" xfId="0" applyNumberFormat="1" applyFont="1" applyBorder="1" applyAlignment="1">
      <alignment horizontal="right" indent="1"/>
    </xf>
    <xf numFmtId="179" fontId="30" fillId="57" borderId="0" xfId="0" applyNumberFormat="1" applyFont="1" applyFill="1" applyBorder="1" applyAlignment="1">
      <alignment horizontal="right" indent="1"/>
    </xf>
    <xf numFmtId="187" fontId="30" fillId="0" borderId="0" xfId="0" applyNumberFormat="1" applyFont="1" applyBorder="1" applyAlignment="1">
      <alignment horizontal="right" indent="1"/>
    </xf>
    <xf numFmtId="179" fontId="32" fillId="0" borderId="0" xfId="0" applyNumberFormat="1" applyFont="1" applyBorder="1" applyAlignment="1">
      <alignment/>
    </xf>
    <xf numFmtId="179" fontId="32" fillId="0" borderId="0" xfId="0" applyNumberFormat="1" applyFont="1" applyBorder="1" applyAlignment="1">
      <alignment horizontal="right" indent="1"/>
    </xf>
    <xf numFmtId="179" fontId="30" fillId="55" borderId="28" xfId="0" applyNumberFormat="1" applyFont="1" applyFill="1" applyBorder="1" applyAlignment="1">
      <alignment horizontal="right" indent="1"/>
    </xf>
    <xf numFmtId="187" fontId="30" fillId="57" borderId="19" xfId="0" applyNumberFormat="1" applyFont="1" applyFill="1" applyBorder="1" applyAlignment="1">
      <alignment horizontal="right" indent="2"/>
    </xf>
    <xf numFmtId="187" fontId="30" fillId="57" borderId="0" xfId="0" applyNumberFormat="1" applyFont="1" applyFill="1" applyBorder="1" applyAlignment="1">
      <alignment/>
    </xf>
    <xf numFmtId="187" fontId="30" fillId="0" borderId="0" xfId="0" applyNumberFormat="1" applyFont="1" applyAlignment="1">
      <alignment/>
    </xf>
    <xf numFmtId="187" fontId="30" fillId="57" borderId="25" xfId="0" applyNumberFormat="1" applyFont="1" applyFill="1" applyBorder="1" applyAlignment="1">
      <alignment horizontal="right" indent="1"/>
    </xf>
    <xf numFmtId="179" fontId="30" fillId="55" borderId="23" xfId="0" applyNumberFormat="1" applyFont="1" applyFill="1" applyBorder="1" applyAlignment="1">
      <alignment horizontal="right" indent="1"/>
    </xf>
    <xf numFmtId="179" fontId="30" fillId="55" borderId="27" xfId="0" applyNumberFormat="1" applyFont="1" applyFill="1" applyBorder="1" applyAlignment="1">
      <alignment/>
    </xf>
    <xf numFmtId="176" fontId="30" fillId="57" borderId="26" xfId="0" applyNumberFormat="1" applyFont="1" applyFill="1" applyBorder="1" applyAlignment="1">
      <alignment horizontal="right" indent="2"/>
    </xf>
    <xf numFmtId="176" fontId="30" fillId="57" borderId="27" xfId="0" applyNumberFormat="1" applyFont="1" applyFill="1" applyBorder="1" applyAlignment="1">
      <alignment/>
    </xf>
    <xf numFmtId="187" fontId="30" fillId="57" borderId="0" xfId="0" applyNumberFormat="1" applyFont="1" applyFill="1" applyAlignment="1">
      <alignment horizontal="right" indent="1"/>
    </xf>
    <xf numFmtId="187" fontId="30" fillId="57" borderId="27" xfId="0" applyNumberFormat="1" applyFont="1" applyFill="1" applyBorder="1" applyAlignment="1">
      <alignment horizontal="right" indent="1"/>
    </xf>
    <xf numFmtId="187" fontId="30" fillId="57" borderId="0" xfId="0" applyNumberFormat="1" applyFont="1" applyFill="1" applyBorder="1" applyAlignment="1">
      <alignment horizontal="right" indent="1"/>
    </xf>
    <xf numFmtId="187" fontId="30" fillId="57" borderId="0" xfId="0" applyNumberFormat="1" applyFont="1" applyFill="1" applyBorder="1" applyAlignment="1">
      <alignment horizontal="right"/>
    </xf>
    <xf numFmtId="179" fontId="30" fillId="57" borderId="0" xfId="0" applyNumberFormat="1" applyFont="1" applyFill="1" applyBorder="1" applyAlignment="1">
      <alignment horizontal="right"/>
    </xf>
    <xf numFmtId="179" fontId="30" fillId="57" borderId="26" xfId="0" applyNumberFormat="1" applyFont="1" applyFill="1" applyBorder="1" applyAlignment="1">
      <alignment/>
    </xf>
    <xf numFmtId="176" fontId="30" fillId="57" borderId="0" xfId="393" applyNumberFormat="1" applyFont="1" applyFill="1" applyBorder="1" applyAlignment="1">
      <alignment horizontal="right"/>
    </xf>
    <xf numFmtId="176" fontId="30" fillId="57" borderId="26" xfId="0" applyNumberFormat="1" applyFont="1" applyFill="1" applyBorder="1" applyAlignment="1">
      <alignment/>
    </xf>
    <xf numFmtId="176" fontId="30" fillId="57" borderId="0" xfId="393" applyNumberFormat="1" applyFont="1" applyFill="1" applyBorder="1" applyAlignment="1">
      <alignment horizontal="right" indent="1"/>
    </xf>
    <xf numFmtId="176" fontId="30" fillId="57" borderId="0" xfId="0" applyNumberFormat="1" applyFont="1" applyFill="1" applyAlignment="1">
      <alignment/>
    </xf>
    <xf numFmtId="181" fontId="26" fillId="55" borderId="0" xfId="410" applyNumberFormat="1" applyFont="1" applyFill="1" applyAlignment="1" applyProtection="1">
      <alignment/>
      <protection/>
    </xf>
    <xf numFmtId="182" fontId="30" fillId="0" borderId="0" xfId="0" applyNumberFormat="1" applyFont="1" applyAlignment="1">
      <alignment/>
    </xf>
    <xf numFmtId="175" fontId="23" fillId="0" borderId="0" xfId="0" applyNumberFormat="1" applyFont="1" applyAlignment="1">
      <alignment/>
    </xf>
    <xf numFmtId="179" fontId="35" fillId="55" borderId="29" xfId="0" applyNumberFormat="1" applyFont="1" applyFill="1" applyBorder="1" applyAlignment="1">
      <alignment horizontal="right" indent="1"/>
    </xf>
    <xf numFmtId="179" fontId="30" fillId="0" borderId="29" xfId="0" applyNumberFormat="1" applyFont="1" applyBorder="1" applyAlignment="1">
      <alignment horizontal="right" indent="1"/>
    </xf>
    <xf numFmtId="176" fontId="30" fillId="57" borderId="29" xfId="0" applyNumberFormat="1" applyFont="1" applyFill="1" applyBorder="1" applyAlignment="1">
      <alignment horizontal="right" indent="1"/>
    </xf>
    <xf numFmtId="187" fontId="30" fillId="57" borderId="29" xfId="0" applyNumberFormat="1" applyFont="1" applyFill="1" applyBorder="1" applyAlignment="1">
      <alignment horizontal="right" indent="1"/>
    </xf>
    <xf numFmtId="179" fontId="32" fillId="0" borderId="29" xfId="0" applyNumberFormat="1" applyFont="1" applyBorder="1" applyAlignment="1">
      <alignment horizontal="right" indent="1"/>
    </xf>
    <xf numFmtId="0" fontId="30" fillId="0" borderId="30" xfId="0" applyFont="1" applyBorder="1" applyAlignment="1">
      <alignment horizontal="right" indent="1"/>
    </xf>
    <xf numFmtId="0" fontId="26" fillId="57" borderId="0" xfId="410" applyFont="1" applyFill="1" applyAlignment="1" applyProtection="1">
      <alignment/>
      <protection/>
    </xf>
    <xf numFmtId="0" fontId="4" fillId="55" borderId="19" xfId="0" applyFont="1" applyFill="1" applyBorder="1" applyAlignment="1">
      <alignment/>
    </xf>
    <xf numFmtId="0" fontId="30" fillId="0" borderId="31" xfId="0" applyFont="1" applyBorder="1" applyAlignment="1">
      <alignment horizontal="right" indent="1"/>
    </xf>
    <xf numFmtId="179" fontId="30" fillId="57" borderId="25" xfId="0" applyNumberFormat="1" applyFont="1" applyFill="1" applyBorder="1" applyAlignment="1">
      <alignment horizontal="right" indent="1"/>
    </xf>
    <xf numFmtId="176" fontId="30" fillId="0" borderId="0" xfId="0" applyNumberFormat="1" applyFont="1" applyBorder="1" applyAlignment="1">
      <alignment horizontal="right" indent="1"/>
    </xf>
    <xf numFmtId="187" fontId="30" fillId="0" borderId="26" xfId="0" applyNumberFormat="1" applyFont="1" applyBorder="1" applyAlignment="1">
      <alignment/>
    </xf>
    <xf numFmtId="187" fontId="30" fillId="0" borderId="26" xfId="0" applyNumberFormat="1" applyFont="1" applyBorder="1" applyAlignment="1">
      <alignment horizontal="right" indent="2"/>
    </xf>
    <xf numFmtId="187" fontId="30" fillId="0" borderId="27" xfId="0" applyNumberFormat="1" applyFont="1" applyBorder="1" applyAlignment="1">
      <alignment/>
    </xf>
    <xf numFmtId="186" fontId="23" fillId="0" borderId="0" xfId="0" applyNumberFormat="1" applyFont="1" applyAlignment="1">
      <alignment/>
    </xf>
    <xf numFmtId="182" fontId="23" fillId="0" borderId="0" xfId="0" applyNumberFormat="1" applyFont="1" applyAlignment="1">
      <alignment/>
    </xf>
    <xf numFmtId="0" fontId="21" fillId="55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182" fontId="23" fillId="0" borderId="0" xfId="0" applyNumberFormat="1" applyFont="1" applyBorder="1" applyAlignment="1">
      <alignment/>
    </xf>
    <xf numFmtId="177" fontId="21" fillId="55" borderId="0" xfId="0" applyNumberFormat="1" applyFont="1" applyFill="1" applyAlignment="1">
      <alignment vertical="center"/>
    </xf>
    <xf numFmtId="184" fontId="21" fillId="55" borderId="0" xfId="0" applyNumberFormat="1" applyFont="1" applyFill="1" applyAlignment="1">
      <alignment vertical="center"/>
    </xf>
    <xf numFmtId="182" fontId="0" fillId="55" borderId="0" xfId="0" applyNumberFormat="1" applyFill="1" applyAlignment="1">
      <alignment/>
    </xf>
    <xf numFmtId="177" fontId="23" fillId="0" borderId="0" xfId="0" applyNumberFormat="1" applyFont="1" applyBorder="1" applyAlignment="1">
      <alignment/>
    </xf>
    <xf numFmtId="179" fontId="23" fillId="55" borderId="0" xfId="0" applyNumberFormat="1" applyFont="1" applyFill="1" applyBorder="1" applyAlignment="1">
      <alignment horizontal="right" indent="1"/>
    </xf>
    <xf numFmtId="176" fontId="23" fillId="55" borderId="0" xfId="0" applyNumberFormat="1" applyFont="1" applyFill="1" applyBorder="1" applyAlignment="1">
      <alignment horizontal="right" indent="1"/>
    </xf>
    <xf numFmtId="179" fontId="23" fillId="0" borderId="0" xfId="0" applyNumberFormat="1" applyFont="1" applyBorder="1" applyAlignment="1">
      <alignment horizontal="right" indent="1"/>
    </xf>
    <xf numFmtId="179" fontId="22" fillId="55" borderId="0" xfId="0" applyNumberFormat="1" applyFont="1" applyFill="1" applyBorder="1" applyAlignment="1">
      <alignment horizontal="right" indent="1"/>
    </xf>
    <xf numFmtId="179" fontId="22" fillId="55" borderId="25" xfId="0" applyNumberFormat="1" applyFont="1" applyFill="1" applyBorder="1" applyAlignment="1">
      <alignment horizontal="right" indent="1"/>
    </xf>
    <xf numFmtId="179" fontId="26" fillId="55" borderId="0" xfId="0" applyNumberFormat="1" applyFont="1" applyFill="1" applyBorder="1" applyAlignment="1">
      <alignment horizontal="right" indent="1"/>
    </xf>
    <xf numFmtId="179" fontId="26" fillId="55" borderId="25" xfId="0" applyNumberFormat="1" applyFont="1" applyFill="1" applyBorder="1" applyAlignment="1">
      <alignment horizontal="right" indent="1"/>
    </xf>
    <xf numFmtId="176" fontId="30" fillId="55" borderId="27" xfId="0" applyNumberFormat="1" applyFont="1" applyFill="1" applyBorder="1" applyAlignment="1">
      <alignment/>
    </xf>
    <xf numFmtId="179" fontId="32" fillId="55" borderId="27" xfId="0" applyNumberFormat="1" applyFont="1" applyFill="1" applyBorder="1" applyAlignment="1">
      <alignment/>
    </xf>
    <xf numFmtId="179" fontId="35" fillId="55" borderId="27" xfId="0" applyNumberFormat="1" applyFont="1" applyFill="1" applyBorder="1" applyAlignment="1">
      <alignment/>
    </xf>
    <xf numFmtId="179" fontId="30" fillId="0" borderId="27" xfId="0" applyNumberFormat="1" applyFont="1" applyBorder="1" applyAlignment="1">
      <alignment/>
    </xf>
    <xf numFmtId="179" fontId="32" fillId="0" borderId="27" xfId="0" applyNumberFormat="1" applyFont="1" applyBorder="1" applyAlignment="1">
      <alignment/>
    </xf>
    <xf numFmtId="187" fontId="30" fillId="57" borderId="26" xfId="0" applyNumberFormat="1" applyFont="1" applyFill="1" applyBorder="1" applyAlignment="1">
      <alignment/>
    </xf>
    <xf numFmtId="187" fontId="30" fillId="57" borderId="26" xfId="0" applyNumberFormat="1" applyFont="1" applyFill="1" applyBorder="1" applyAlignment="1">
      <alignment horizontal="right" indent="1"/>
    </xf>
    <xf numFmtId="179" fontId="32" fillId="55" borderId="25" xfId="0" applyNumberFormat="1" applyFont="1" applyFill="1" applyBorder="1" applyAlignment="1">
      <alignment/>
    </xf>
    <xf numFmtId="179" fontId="30" fillId="55" borderId="25" xfId="0" applyNumberFormat="1" applyFont="1" applyFill="1" applyBorder="1" applyAlignment="1">
      <alignment/>
    </xf>
    <xf numFmtId="187" fontId="30" fillId="0" borderId="25" xfId="0" applyNumberFormat="1" applyFont="1" applyBorder="1" applyAlignment="1">
      <alignment horizontal="right" indent="1"/>
    </xf>
    <xf numFmtId="179" fontId="30" fillId="55" borderId="25" xfId="0" applyNumberFormat="1" applyFont="1" applyFill="1" applyBorder="1" applyAlignment="1">
      <alignment/>
    </xf>
    <xf numFmtId="173" fontId="30" fillId="55" borderId="0" xfId="0" applyNumberFormat="1" applyFont="1" applyFill="1" applyBorder="1" applyAlignment="1">
      <alignment horizontal="right" indent="1"/>
    </xf>
    <xf numFmtId="0" fontId="30" fillId="0" borderId="24" xfId="0" applyFont="1" applyBorder="1" applyAlignment="1">
      <alignment horizontal="right" indent="1"/>
    </xf>
    <xf numFmtId="179" fontId="30" fillId="55" borderId="29" xfId="0" applyNumberFormat="1" applyFont="1" applyFill="1" applyBorder="1" applyAlignment="1">
      <alignment horizontal="right" indent="1"/>
    </xf>
    <xf numFmtId="179" fontId="32" fillId="55" borderId="29" xfId="0" applyNumberFormat="1" applyFont="1" applyFill="1" applyBorder="1" applyAlignment="1">
      <alignment horizontal="right" indent="1"/>
    </xf>
    <xf numFmtId="179" fontId="23" fillId="0" borderId="29" xfId="0" applyNumberFormat="1" applyFont="1" applyBorder="1" applyAlignment="1">
      <alignment horizontal="right" indent="1"/>
    </xf>
    <xf numFmtId="175" fontId="23" fillId="0" borderId="0" xfId="0" applyNumberFormat="1" applyFont="1" applyBorder="1" applyAlignment="1">
      <alignment/>
    </xf>
    <xf numFmtId="0" fontId="23" fillId="0" borderId="19" xfId="0" applyFont="1" applyBorder="1" applyAlignment="1">
      <alignment horizontal="left" indent="4"/>
    </xf>
    <xf numFmtId="187" fontId="23" fillId="0" borderId="0" xfId="0" applyNumberFormat="1" applyFont="1" applyBorder="1" applyAlignment="1">
      <alignment/>
    </xf>
    <xf numFmtId="187" fontId="23" fillId="0" borderId="0" xfId="0" applyNumberFormat="1" applyFont="1" applyBorder="1" applyAlignment="1">
      <alignment horizontal="right" indent="1"/>
    </xf>
    <xf numFmtId="187" fontId="23" fillId="0" borderId="26" xfId="0" applyNumberFormat="1" applyFont="1" applyBorder="1" applyAlignment="1">
      <alignment/>
    </xf>
    <xf numFmtId="179" fontId="23" fillId="55" borderId="25" xfId="0" applyNumberFormat="1" applyFont="1" applyFill="1" applyBorder="1" applyAlignment="1">
      <alignment horizontal="right" indent="1"/>
    </xf>
    <xf numFmtId="187" fontId="23" fillId="0" borderId="27" xfId="0" applyNumberFormat="1" applyFont="1" applyBorder="1" applyAlignment="1">
      <alignment/>
    </xf>
    <xf numFmtId="0" fontId="23" fillId="55" borderId="22" xfId="0" applyFont="1" applyFill="1" applyBorder="1" applyAlignment="1">
      <alignment/>
    </xf>
    <xf numFmtId="185" fontId="23" fillId="57" borderId="0" xfId="0" applyNumberFormat="1" applyFont="1" applyFill="1" applyBorder="1" applyAlignment="1">
      <alignment/>
    </xf>
    <xf numFmtId="179" fontId="23" fillId="55" borderId="0" xfId="0" applyNumberFormat="1" applyFont="1" applyFill="1" applyBorder="1" applyAlignment="1">
      <alignment/>
    </xf>
    <xf numFmtId="185" fontId="23" fillId="57" borderId="0" xfId="0" applyNumberFormat="1" applyFont="1" applyFill="1" applyBorder="1" applyAlignment="1">
      <alignment horizontal="right" indent="1"/>
    </xf>
    <xf numFmtId="179" fontId="23" fillId="55" borderId="26" xfId="0" applyNumberFormat="1" applyFont="1" applyFill="1" applyBorder="1" applyAlignment="1">
      <alignment/>
    </xf>
    <xf numFmtId="179" fontId="23" fillId="0" borderId="27" xfId="0" applyNumberFormat="1" applyFont="1" applyBorder="1" applyAlignment="1">
      <alignment/>
    </xf>
    <xf numFmtId="179" fontId="23" fillId="0" borderId="0" xfId="0" applyNumberFormat="1" applyFont="1" applyBorder="1" applyAlignment="1">
      <alignment/>
    </xf>
    <xf numFmtId="0" fontId="27" fillId="55" borderId="0" xfId="0" applyFont="1" applyFill="1" applyBorder="1" applyAlignment="1">
      <alignment horizontal="left" indent="2"/>
    </xf>
    <xf numFmtId="179" fontId="27" fillId="55" borderId="0" xfId="0" applyNumberFormat="1" applyFont="1" applyFill="1" applyBorder="1" applyAlignment="1">
      <alignment horizontal="right" indent="4"/>
    </xf>
    <xf numFmtId="179" fontId="27" fillId="55" borderId="0" xfId="0" applyNumberFormat="1" applyFont="1" applyFill="1" applyBorder="1" applyAlignment="1">
      <alignment horizontal="right" indent="3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76" fontId="23" fillId="55" borderId="25" xfId="0" applyNumberFormat="1" applyFont="1" applyFill="1" applyBorder="1" applyAlignment="1">
      <alignment horizontal="right" indent="1"/>
    </xf>
    <xf numFmtId="0" fontId="22" fillId="56" borderId="30" xfId="0" applyFont="1" applyFill="1" applyBorder="1" applyAlignment="1" applyProtection="1">
      <alignment horizontal="right" vertical="center" indent="1"/>
      <protection/>
    </xf>
    <xf numFmtId="179" fontId="35" fillId="55" borderId="34" xfId="0" applyNumberFormat="1" applyFont="1" applyFill="1" applyBorder="1" applyAlignment="1">
      <alignment horizontal="right" vertical="center" indent="2"/>
    </xf>
    <xf numFmtId="179" fontId="35" fillId="55" borderId="35" xfId="0" applyNumberFormat="1" applyFont="1" applyFill="1" applyBorder="1" applyAlignment="1">
      <alignment horizontal="right" vertical="center" indent="2"/>
    </xf>
    <xf numFmtId="0" fontId="22" fillId="56" borderId="20" xfId="0" applyFont="1" applyFill="1" applyBorder="1" applyAlignment="1" applyProtection="1">
      <alignment horizontal="center" vertical="center"/>
      <protection/>
    </xf>
    <xf numFmtId="0" fontId="22" fillId="56" borderId="36" xfId="0" applyFont="1" applyFill="1" applyBorder="1" applyAlignment="1" applyProtection="1">
      <alignment horizontal="center" vertical="center"/>
      <protection/>
    </xf>
    <xf numFmtId="0" fontId="22" fillId="56" borderId="31" xfId="0" applyFont="1" applyFill="1" applyBorder="1" applyAlignment="1" applyProtection="1">
      <alignment horizontal="right" vertical="center" indent="1"/>
      <protection/>
    </xf>
    <xf numFmtId="17" fontId="23" fillId="55" borderId="0" xfId="0" applyNumberFormat="1" applyFont="1" applyFill="1" applyAlignment="1">
      <alignment/>
    </xf>
    <xf numFmtId="17" fontId="23" fillId="55" borderId="0" xfId="0" applyNumberFormat="1" applyFont="1" applyFill="1" applyAlignment="1">
      <alignment horizontal="right"/>
    </xf>
    <xf numFmtId="17" fontId="23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174" fontId="23" fillId="55" borderId="0" xfId="0" applyNumberFormat="1" applyFont="1" applyFill="1" applyAlignment="1">
      <alignment horizontal="right"/>
    </xf>
    <xf numFmtId="175" fontId="23" fillId="55" borderId="0" xfId="0" applyNumberFormat="1" applyFont="1" applyFill="1" applyAlignment="1">
      <alignment horizontal="right"/>
    </xf>
    <xf numFmtId="2" fontId="23" fillId="55" borderId="0" xfId="0" applyNumberFormat="1" applyFont="1" applyFill="1" applyAlignment="1">
      <alignment horizontal="right"/>
    </xf>
    <xf numFmtId="175" fontId="23" fillId="57" borderId="0" xfId="0" applyNumberFormat="1" applyFont="1" applyFill="1" applyAlignment="1">
      <alignment horizontal="right"/>
    </xf>
    <xf numFmtId="178" fontId="23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186" fontId="38" fillId="0" borderId="0" xfId="0" applyNumberFormat="1" applyFont="1" applyBorder="1" applyAlignment="1">
      <alignment/>
    </xf>
    <xf numFmtId="179" fontId="22" fillId="55" borderId="19" xfId="0" applyNumberFormat="1" applyFont="1" applyFill="1" applyBorder="1" applyAlignment="1">
      <alignment horizontal="right" indent="2"/>
    </xf>
    <xf numFmtId="179" fontId="22" fillId="55" borderId="0" xfId="0" applyNumberFormat="1" applyFont="1" applyFill="1" applyBorder="1" applyAlignment="1">
      <alignment horizontal="right"/>
    </xf>
    <xf numFmtId="179" fontId="22" fillId="55" borderId="26" xfId="0" applyNumberFormat="1" applyFont="1" applyFill="1" applyBorder="1" applyAlignment="1">
      <alignment/>
    </xf>
    <xf numFmtId="179" fontId="22" fillId="55" borderId="0" xfId="0" applyNumberFormat="1" applyFont="1" applyFill="1" applyBorder="1" applyAlignment="1">
      <alignment/>
    </xf>
    <xf numFmtId="0" fontId="22" fillId="55" borderId="19" xfId="0" applyFont="1" applyFill="1" applyBorder="1" applyAlignment="1">
      <alignment horizontal="right" indent="2"/>
    </xf>
    <xf numFmtId="0" fontId="22" fillId="55" borderId="0" xfId="0" applyFont="1" applyFill="1" applyBorder="1" applyAlignment="1">
      <alignment horizontal="right"/>
    </xf>
    <xf numFmtId="179" fontId="26" fillId="55" borderId="19" xfId="0" applyNumberFormat="1" applyFont="1" applyFill="1" applyBorder="1" applyAlignment="1">
      <alignment horizontal="right" indent="2"/>
    </xf>
    <xf numFmtId="179" fontId="26" fillId="55" borderId="0" xfId="0" applyNumberFormat="1" applyFont="1" applyFill="1" applyBorder="1" applyAlignment="1">
      <alignment horizontal="right"/>
    </xf>
    <xf numFmtId="179" fontId="26" fillId="55" borderId="26" xfId="0" applyNumberFormat="1" applyFont="1" applyFill="1" applyBorder="1" applyAlignment="1">
      <alignment/>
    </xf>
    <xf numFmtId="179" fontId="26" fillId="55" borderId="0" xfId="0" applyNumberFormat="1" applyFont="1" applyFill="1" applyBorder="1" applyAlignment="1">
      <alignment/>
    </xf>
    <xf numFmtId="176" fontId="23" fillId="55" borderId="19" xfId="0" applyNumberFormat="1" applyFont="1" applyFill="1" applyBorder="1" applyAlignment="1">
      <alignment horizontal="right" indent="2"/>
    </xf>
    <xf numFmtId="176" fontId="23" fillId="55" borderId="0" xfId="0" applyNumberFormat="1" applyFont="1" applyFill="1" applyBorder="1" applyAlignment="1">
      <alignment horizontal="right"/>
    </xf>
    <xf numFmtId="179" fontId="23" fillId="55" borderId="0" xfId="0" applyNumberFormat="1" applyFont="1" applyFill="1" applyBorder="1" applyAlignment="1">
      <alignment horizontal="right"/>
    </xf>
    <xf numFmtId="187" fontId="23" fillId="55" borderId="19" xfId="0" applyNumberFormat="1" applyFont="1" applyFill="1" applyBorder="1" applyAlignment="1">
      <alignment horizontal="right" indent="2"/>
    </xf>
    <xf numFmtId="187" fontId="23" fillId="55" borderId="0" xfId="0" applyNumberFormat="1" applyFont="1" applyFill="1" applyBorder="1" applyAlignment="1">
      <alignment horizontal="right"/>
    </xf>
    <xf numFmtId="172" fontId="3" fillId="55" borderId="26" xfId="410" applyNumberFormat="1" applyFont="1" applyFill="1" applyBorder="1" applyAlignment="1">
      <alignment/>
      <protection/>
    </xf>
    <xf numFmtId="185" fontId="4" fillId="55" borderId="26" xfId="0" applyNumberFormat="1" applyFont="1" applyFill="1" applyBorder="1" applyAlignment="1">
      <alignment horizontal="right" indent="2"/>
    </xf>
    <xf numFmtId="185" fontId="35" fillId="55" borderId="26" xfId="0" applyNumberFormat="1" applyFont="1" applyFill="1" applyBorder="1" applyAlignment="1">
      <alignment horizontal="right" indent="2"/>
    </xf>
    <xf numFmtId="185" fontId="30" fillId="55" borderId="26" xfId="0" applyNumberFormat="1" applyFont="1" applyFill="1" applyBorder="1" applyAlignment="1">
      <alignment horizontal="right" indent="2"/>
    </xf>
    <xf numFmtId="176" fontId="32" fillId="55" borderId="26" xfId="0" applyNumberFormat="1" applyFont="1" applyFill="1" applyBorder="1" applyAlignment="1">
      <alignment horizontal="right" indent="2"/>
    </xf>
    <xf numFmtId="185" fontId="32" fillId="55" borderId="26" xfId="0" applyNumberFormat="1" applyFont="1" applyFill="1" applyBorder="1" applyAlignment="1">
      <alignment horizontal="right" indent="2"/>
    </xf>
    <xf numFmtId="185" fontId="35" fillId="57" borderId="26" xfId="0" applyNumberFormat="1" applyFont="1" applyFill="1" applyBorder="1" applyAlignment="1">
      <alignment horizontal="right" indent="2"/>
    </xf>
    <xf numFmtId="185" fontId="30" fillId="57" borderId="26" xfId="0" applyNumberFormat="1" applyFont="1" applyFill="1" applyBorder="1" applyAlignment="1">
      <alignment horizontal="right" indent="2"/>
    </xf>
    <xf numFmtId="187" fontId="30" fillId="57" borderId="26" xfId="0" applyNumberFormat="1" applyFont="1" applyFill="1" applyBorder="1" applyAlignment="1">
      <alignment horizontal="right" indent="2"/>
    </xf>
    <xf numFmtId="185" fontId="30" fillId="0" borderId="26" xfId="0" applyNumberFormat="1" applyFont="1" applyBorder="1" applyAlignment="1">
      <alignment horizontal="right" indent="2"/>
    </xf>
    <xf numFmtId="176" fontId="30" fillId="0" borderId="26" xfId="0" applyNumberFormat="1" applyFont="1" applyBorder="1" applyAlignment="1">
      <alignment horizontal="right" indent="2"/>
    </xf>
    <xf numFmtId="187" fontId="23" fillId="0" borderId="26" xfId="0" applyNumberFormat="1" applyFont="1" applyBorder="1" applyAlignment="1">
      <alignment horizontal="right" indent="2"/>
    </xf>
    <xf numFmtId="185" fontId="23" fillId="55" borderId="26" xfId="0" applyNumberFormat="1" applyFont="1" applyFill="1" applyBorder="1" applyAlignment="1">
      <alignment horizontal="right" indent="2"/>
    </xf>
    <xf numFmtId="172" fontId="3" fillId="55" borderId="25" xfId="410" applyNumberFormat="1" applyFont="1" applyFill="1" applyBorder="1" applyAlignment="1">
      <alignment/>
      <protection/>
    </xf>
    <xf numFmtId="185" fontId="4" fillId="55" borderId="25" xfId="0" applyNumberFormat="1" applyFont="1" applyFill="1" applyBorder="1" applyAlignment="1">
      <alignment horizontal="right" indent="2"/>
    </xf>
    <xf numFmtId="185" fontId="35" fillId="55" borderId="25" xfId="0" applyNumberFormat="1" applyFont="1" applyFill="1" applyBorder="1" applyAlignment="1">
      <alignment horizontal="right" indent="2"/>
    </xf>
    <xf numFmtId="185" fontId="30" fillId="55" borderId="25" xfId="0" applyNumberFormat="1" applyFont="1" applyFill="1" applyBorder="1" applyAlignment="1">
      <alignment horizontal="right" indent="2"/>
    </xf>
    <xf numFmtId="187" fontId="30" fillId="55" borderId="25" xfId="0" applyNumberFormat="1" applyFont="1" applyFill="1" applyBorder="1" applyAlignment="1">
      <alignment horizontal="right" indent="2"/>
    </xf>
    <xf numFmtId="176" fontId="32" fillId="55" borderId="25" xfId="0" applyNumberFormat="1" applyFont="1" applyFill="1" applyBorder="1" applyAlignment="1">
      <alignment horizontal="right" indent="2"/>
    </xf>
    <xf numFmtId="176" fontId="35" fillId="55" borderId="25" xfId="0" applyNumberFormat="1" applyFont="1" applyFill="1" applyBorder="1" applyAlignment="1">
      <alignment horizontal="right" indent="2"/>
    </xf>
    <xf numFmtId="176" fontId="30" fillId="55" borderId="25" xfId="0" applyNumberFormat="1" applyFont="1" applyFill="1" applyBorder="1" applyAlignment="1">
      <alignment horizontal="right" indent="2"/>
    </xf>
    <xf numFmtId="185" fontId="32" fillId="55" borderId="25" xfId="0" applyNumberFormat="1" applyFont="1" applyFill="1" applyBorder="1" applyAlignment="1">
      <alignment horizontal="right" indent="2"/>
    </xf>
    <xf numFmtId="185" fontId="35" fillId="57" borderId="25" xfId="0" applyNumberFormat="1" applyFont="1" applyFill="1" applyBorder="1" applyAlignment="1">
      <alignment horizontal="right" indent="2"/>
    </xf>
    <xf numFmtId="185" fontId="30" fillId="57" borderId="25" xfId="0" applyNumberFormat="1" applyFont="1" applyFill="1" applyBorder="1" applyAlignment="1">
      <alignment horizontal="right" indent="2"/>
    </xf>
    <xf numFmtId="187" fontId="30" fillId="57" borderId="25" xfId="0" applyNumberFormat="1" applyFont="1" applyFill="1" applyBorder="1" applyAlignment="1">
      <alignment horizontal="right" indent="2"/>
    </xf>
    <xf numFmtId="176" fontId="30" fillId="57" borderId="25" xfId="0" applyNumberFormat="1" applyFont="1" applyFill="1" applyBorder="1" applyAlignment="1">
      <alignment horizontal="right" indent="2"/>
    </xf>
    <xf numFmtId="185" fontId="30" fillId="0" borderId="25" xfId="0" applyNumberFormat="1" applyFont="1" applyBorder="1" applyAlignment="1">
      <alignment horizontal="right" indent="2"/>
    </xf>
    <xf numFmtId="176" fontId="4" fillId="55" borderId="25" xfId="0" applyNumberFormat="1" applyFont="1" applyFill="1" applyBorder="1" applyAlignment="1">
      <alignment horizontal="right" indent="2"/>
    </xf>
    <xf numFmtId="176" fontId="30" fillId="0" borderId="25" xfId="0" applyNumberFormat="1" applyFont="1" applyBorder="1" applyAlignment="1">
      <alignment horizontal="right" indent="2"/>
    </xf>
    <xf numFmtId="187" fontId="30" fillId="0" borderId="25" xfId="0" applyNumberFormat="1" applyFont="1" applyBorder="1" applyAlignment="1">
      <alignment horizontal="right" indent="2"/>
    </xf>
    <xf numFmtId="187" fontId="23" fillId="0" borderId="25" xfId="0" applyNumberFormat="1" applyFont="1" applyBorder="1" applyAlignment="1">
      <alignment horizontal="right" indent="2"/>
    </xf>
    <xf numFmtId="185" fontId="23" fillId="55" borderId="25" xfId="0" applyNumberFormat="1" applyFont="1" applyFill="1" applyBorder="1" applyAlignment="1">
      <alignment horizontal="right" indent="2"/>
    </xf>
    <xf numFmtId="172" fontId="3" fillId="55" borderId="30" xfId="410" applyNumberFormat="1" applyFont="1" applyFill="1" applyBorder="1" applyAlignment="1">
      <alignment/>
      <protection/>
    </xf>
    <xf numFmtId="185" fontId="4" fillId="55" borderId="0" xfId="0" applyNumberFormat="1" applyFont="1" applyFill="1" applyBorder="1" applyAlignment="1">
      <alignment horizontal="right" indent="2"/>
    </xf>
    <xf numFmtId="185" fontId="35" fillId="55" borderId="0" xfId="0" applyNumberFormat="1" applyFont="1" applyFill="1" applyBorder="1" applyAlignment="1">
      <alignment horizontal="right" indent="2"/>
    </xf>
    <xf numFmtId="185" fontId="30" fillId="55" borderId="0" xfId="0" applyNumberFormat="1" applyFont="1" applyFill="1" applyBorder="1" applyAlignment="1">
      <alignment horizontal="right" indent="2"/>
    </xf>
    <xf numFmtId="187" fontId="30" fillId="55" borderId="0" xfId="0" applyNumberFormat="1" applyFont="1" applyFill="1" applyBorder="1" applyAlignment="1">
      <alignment horizontal="right" indent="2"/>
    </xf>
    <xf numFmtId="176" fontId="32" fillId="55" borderId="0" xfId="0" applyNumberFormat="1" applyFont="1" applyFill="1" applyBorder="1" applyAlignment="1">
      <alignment horizontal="right" indent="2"/>
    </xf>
    <xf numFmtId="176" fontId="35" fillId="55" borderId="0" xfId="0" applyNumberFormat="1" applyFont="1" applyFill="1" applyBorder="1" applyAlignment="1">
      <alignment horizontal="right" indent="2"/>
    </xf>
    <xf numFmtId="176" fontId="30" fillId="55" borderId="0" xfId="0" applyNumberFormat="1" applyFont="1" applyFill="1" applyBorder="1" applyAlignment="1">
      <alignment horizontal="right" indent="2"/>
    </xf>
    <xf numFmtId="185" fontId="32" fillId="55" borderId="0" xfId="0" applyNumberFormat="1" applyFont="1" applyFill="1" applyBorder="1" applyAlignment="1">
      <alignment horizontal="right" indent="2"/>
    </xf>
    <xf numFmtId="185" fontId="35" fillId="57" borderId="0" xfId="0" applyNumberFormat="1" applyFont="1" applyFill="1" applyBorder="1" applyAlignment="1">
      <alignment horizontal="right" indent="2"/>
    </xf>
    <xf numFmtId="185" fontId="30" fillId="57" borderId="0" xfId="0" applyNumberFormat="1" applyFont="1" applyFill="1" applyBorder="1" applyAlignment="1">
      <alignment horizontal="right" indent="2"/>
    </xf>
    <xf numFmtId="187" fontId="30" fillId="57" borderId="0" xfId="0" applyNumberFormat="1" applyFont="1" applyFill="1" applyBorder="1" applyAlignment="1">
      <alignment horizontal="right" indent="2"/>
    </xf>
    <xf numFmtId="176" fontId="30" fillId="57" borderId="0" xfId="0" applyNumberFormat="1" applyFont="1" applyFill="1" applyBorder="1" applyAlignment="1">
      <alignment horizontal="right" indent="2"/>
    </xf>
    <xf numFmtId="185" fontId="30" fillId="0" borderId="0" xfId="0" applyNumberFormat="1" applyFont="1" applyBorder="1" applyAlignment="1">
      <alignment horizontal="right" indent="2"/>
    </xf>
    <xf numFmtId="176" fontId="4" fillId="55" borderId="0" xfId="0" applyNumberFormat="1" applyFont="1" applyFill="1" applyBorder="1" applyAlignment="1">
      <alignment horizontal="right" indent="2"/>
    </xf>
    <xf numFmtId="176" fontId="30" fillId="0" borderId="0" xfId="0" applyNumberFormat="1" applyFont="1" applyBorder="1" applyAlignment="1">
      <alignment horizontal="right" indent="2"/>
    </xf>
    <xf numFmtId="187" fontId="30" fillId="0" borderId="0" xfId="0" applyNumberFormat="1" applyFont="1" applyBorder="1" applyAlignment="1">
      <alignment horizontal="right" indent="2"/>
    </xf>
    <xf numFmtId="187" fontId="23" fillId="0" borderId="0" xfId="0" applyNumberFormat="1" applyFont="1" applyBorder="1" applyAlignment="1">
      <alignment horizontal="right" indent="2"/>
    </xf>
    <xf numFmtId="185" fontId="23" fillId="55" borderId="0" xfId="0" applyNumberFormat="1" applyFont="1" applyFill="1" applyBorder="1" applyAlignment="1">
      <alignment horizontal="right" indent="2"/>
    </xf>
    <xf numFmtId="185" fontId="26" fillId="55" borderId="21" xfId="0" applyNumberFormat="1" applyFont="1" applyFill="1" applyBorder="1" applyAlignment="1">
      <alignment horizontal="right" vertical="center" indent="2"/>
    </xf>
    <xf numFmtId="185" fontId="26" fillId="55" borderId="23" xfId="0" applyNumberFormat="1" applyFont="1" applyFill="1" applyBorder="1" applyAlignment="1">
      <alignment horizontal="right" vertical="center" indent="2"/>
    </xf>
    <xf numFmtId="185" fontId="4" fillId="55" borderId="27" xfId="0" applyNumberFormat="1" applyFont="1" applyFill="1" applyBorder="1" applyAlignment="1">
      <alignment horizontal="right" indent="2"/>
    </xf>
    <xf numFmtId="185" fontId="35" fillId="55" borderId="27" xfId="0" applyNumberFormat="1" applyFont="1" applyFill="1" applyBorder="1" applyAlignment="1">
      <alignment horizontal="right" indent="2"/>
    </xf>
    <xf numFmtId="185" fontId="30" fillId="55" borderId="27" xfId="0" applyNumberFormat="1" applyFont="1" applyFill="1" applyBorder="1" applyAlignment="1">
      <alignment horizontal="right" indent="2"/>
    </xf>
    <xf numFmtId="172" fontId="3" fillId="55" borderId="31" xfId="410" applyNumberFormat="1" applyFont="1" applyFill="1" applyBorder="1" applyAlignment="1">
      <alignment/>
      <protection/>
    </xf>
    <xf numFmtId="187" fontId="35" fillId="55" borderId="0" xfId="0" applyNumberFormat="1" applyFont="1" applyFill="1" applyBorder="1" applyAlignment="1">
      <alignment horizontal="right" indent="1"/>
    </xf>
    <xf numFmtId="0" fontId="30" fillId="0" borderId="0" xfId="0" applyFont="1" applyAlignment="1">
      <alignment horizontal="right"/>
    </xf>
    <xf numFmtId="0" fontId="31" fillId="55" borderId="0" xfId="0" applyFont="1" applyFill="1" applyBorder="1" applyAlignment="1">
      <alignment horizontal="right"/>
    </xf>
    <xf numFmtId="0" fontId="26" fillId="55" borderId="0" xfId="0" applyFont="1" applyFill="1" applyBorder="1" applyAlignment="1" applyProtection="1">
      <alignment horizontal="right" vertical="center"/>
      <protection/>
    </xf>
    <xf numFmtId="0" fontId="21" fillId="55" borderId="0" xfId="411" applyFont="1" applyFill="1" applyBorder="1" applyAlignment="1" applyProtection="1">
      <alignment horizontal="right"/>
      <protection/>
    </xf>
    <xf numFmtId="172" fontId="3" fillId="55" borderId="30" xfId="410" applyNumberFormat="1" applyFont="1" applyFill="1" applyBorder="1" applyAlignment="1">
      <alignment horizontal="right"/>
      <protection/>
    </xf>
    <xf numFmtId="187" fontId="35" fillId="55" borderId="0" xfId="0" applyNumberFormat="1" applyFont="1" applyFill="1" applyBorder="1" applyAlignment="1">
      <alignment horizontal="right"/>
    </xf>
    <xf numFmtId="187" fontId="30" fillId="0" borderId="0" xfId="0" applyNumberFormat="1" applyFont="1" applyBorder="1" applyAlignment="1">
      <alignment horizontal="right"/>
    </xf>
    <xf numFmtId="0" fontId="23" fillId="55" borderId="0" xfId="411" applyFont="1" applyFill="1" applyAlignment="1" applyProtection="1">
      <alignment horizontal="right"/>
      <protection/>
    </xf>
    <xf numFmtId="0" fontId="23" fillId="55" borderId="0" xfId="0" applyFont="1" applyFill="1" applyAlignment="1">
      <alignment horizontal="right"/>
    </xf>
    <xf numFmtId="0" fontId="25" fillId="55" borderId="0" xfId="411" applyFont="1" applyFill="1" applyAlignment="1" applyProtection="1">
      <alignment horizontal="right"/>
      <protection/>
    </xf>
    <xf numFmtId="181" fontId="26" fillId="55" borderId="0" xfId="410" applyNumberFormat="1" applyFont="1" applyFill="1" applyAlignment="1" applyProtection="1">
      <alignment horizontal="right"/>
      <protection/>
    </xf>
    <xf numFmtId="172" fontId="3" fillId="55" borderId="0" xfId="410" applyNumberFormat="1" applyFont="1" applyFill="1" applyAlignment="1">
      <alignment horizontal="right"/>
      <protection/>
    </xf>
    <xf numFmtId="0" fontId="23" fillId="55" borderId="0" xfId="410" applyFont="1" applyFill="1" applyAlignment="1" applyProtection="1">
      <alignment horizontal="right" vertical="top"/>
      <protection/>
    </xf>
    <xf numFmtId="0" fontId="21" fillId="55" borderId="0" xfId="0" applyFont="1" applyFill="1" applyAlignment="1">
      <alignment horizontal="right" vertical="center"/>
    </xf>
    <xf numFmtId="176" fontId="21" fillId="55" borderId="0" xfId="0" applyNumberFormat="1" applyFont="1" applyFill="1" applyAlignment="1">
      <alignment horizontal="right" vertical="center"/>
    </xf>
    <xf numFmtId="180" fontId="30" fillId="0" borderId="0" xfId="0" applyNumberFormat="1" applyFont="1" applyAlignment="1">
      <alignment horizontal="right"/>
    </xf>
    <xf numFmtId="182" fontId="30" fillId="0" borderId="0" xfId="0" applyNumberFormat="1" applyFont="1" applyAlignment="1">
      <alignment horizontal="right"/>
    </xf>
    <xf numFmtId="183" fontId="3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85" fontId="4" fillId="55" borderId="0" xfId="0" applyNumberFormat="1" applyFont="1" applyFill="1" applyBorder="1" applyAlignment="1">
      <alignment horizontal="right"/>
    </xf>
    <xf numFmtId="185" fontId="35" fillId="55" borderId="0" xfId="0" applyNumberFormat="1" applyFont="1" applyFill="1" applyBorder="1" applyAlignment="1">
      <alignment horizontal="right"/>
    </xf>
    <xf numFmtId="185" fontId="30" fillId="55" borderId="0" xfId="0" applyNumberFormat="1" applyFont="1" applyFill="1" applyBorder="1" applyAlignment="1">
      <alignment horizontal="right"/>
    </xf>
    <xf numFmtId="176" fontId="32" fillId="55" borderId="0" xfId="0" applyNumberFormat="1" applyFont="1" applyFill="1" applyBorder="1" applyAlignment="1">
      <alignment horizontal="right"/>
    </xf>
    <xf numFmtId="185" fontId="32" fillId="55" borderId="0" xfId="0" applyNumberFormat="1" applyFont="1" applyFill="1" applyBorder="1" applyAlignment="1">
      <alignment horizontal="right"/>
    </xf>
    <xf numFmtId="185" fontId="35" fillId="57" borderId="0" xfId="0" applyNumberFormat="1" applyFont="1" applyFill="1" applyBorder="1" applyAlignment="1">
      <alignment horizontal="right"/>
    </xf>
    <xf numFmtId="185" fontId="30" fillId="57" borderId="0" xfId="0" applyNumberFormat="1" applyFont="1" applyFill="1" applyBorder="1" applyAlignment="1">
      <alignment horizontal="right"/>
    </xf>
    <xf numFmtId="185" fontId="30" fillId="0" borderId="0" xfId="0" applyNumberFormat="1" applyFont="1" applyBorder="1" applyAlignment="1">
      <alignment horizontal="right"/>
    </xf>
    <xf numFmtId="187" fontId="4" fillId="55" borderId="0" xfId="0" applyNumberFormat="1" applyFont="1" applyFill="1" applyBorder="1" applyAlignment="1">
      <alignment horizontal="right"/>
    </xf>
    <xf numFmtId="185" fontId="23" fillId="55" borderId="0" xfId="0" applyNumberFormat="1" applyFont="1" applyFill="1" applyBorder="1" applyAlignment="1">
      <alignment horizontal="right"/>
    </xf>
    <xf numFmtId="0" fontId="27" fillId="55" borderId="0" xfId="0" applyFont="1" applyFill="1" applyBorder="1" applyAlignment="1">
      <alignment horizontal="right"/>
    </xf>
    <xf numFmtId="172" fontId="3" fillId="55" borderId="0" xfId="410" applyNumberFormat="1" applyFont="1" applyFill="1" applyBorder="1" applyAlignment="1">
      <alignment horizontal="right"/>
      <protection/>
    </xf>
    <xf numFmtId="185" fontId="23" fillId="55" borderId="23" xfId="0" applyNumberFormat="1" applyFont="1" applyFill="1" applyBorder="1" applyAlignment="1">
      <alignment horizontal="right"/>
    </xf>
    <xf numFmtId="185" fontId="23" fillId="57" borderId="0" xfId="0" applyNumberFormat="1" applyFont="1" applyFill="1" applyBorder="1" applyAlignment="1">
      <alignment horizontal="right"/>
    </xf>
    <xf numFmtId="172" fontId="3" fillId="55" borderId="26" xfId="410" applyNumberFormat="1" applyFont="1" applyFill="1" applyBorder="1" applyAlignment="1">
      <alignment horizontal="right"/>
      <protection/>
    </xf>
    <xf numFmtId="185" fontId="4" fillId="55" borderId="27" xfId="0" applyNumberFormat="1" applyFont="1" applyFill="1" applyBorder="1" applyAlignment="1">
      <alignment horizontal="right"/>
    </xf>
    <xf numFmtId="185" fontId="35" fillId="55" borderId="27" xfId="0" applyNumberFormat="1" applyFont="1" applyFill="1" applyBorder="1" applyAlignment="1">
      <alignment horizontal="right"/>
    </xf>
    <xf numFmtId="185" fontId="30" fillId="55" borderId="27" xfId="0" applyNumberFormat="1" applyFont="1" applyFill="1" applyBorder="1" applyAlignment="1">
      <alignment horizontal="right"/>
    </xf>
    <xf numFmtId="187" fontId="30" fillId="57" borderId="26" xfId="0" applyNumberFormat="1" applyFont="1" applyFill="1" applyBorder="1" applyAlignment="1">
      <alignment horizontal="right"/>
    </xf>
    <xf numFmtId="176" fontId="32" fillId="55" borderId="26" xfId="0" applyNumberFormat="1" applyFont="1" applyFill="1" applyBorder="1" applyAlignment="1">
      <alignment horizontal="right"/>
    </xf>
    <xf numFmtId="185" fontId="32" fillId="55" borderId="26" xfId="0" applyNumberFormat="1" applyFont="1" applyFill="1" applyBorder="1" applyAlignment="1">
      <alignment horizontal="right"/>
    </xf>
    <xf numFmtId="185" fontId="35" fillId="57" borderId="26" xfId="0" applyNumberFormat="1" applyFont="1" applyFill="1" applyBorder="1" applyAlignment="1">
      <alignment horizontal="right"/>
    </xf>
    <xf numFmtId="185" fontId="30" fillId="57" borderId="26" xfId="0" applyNumberFormat="1" applyFont="1" applyFill="1" applyBorder="1" applyAlignment="1">
      <alignment horizontal="right"/>
    </xf>
    <xf numFmtId="185" fontId="23" fillId="55" borderId="26" xfId="0" applyNumberFormat="1" applyFont="1" applyFill="1" applyBorder="1" applyAlignment="1">
      <alignment horizontal="right"/>
    </xf>
    <xf numFmtId="185" fontId="23" fillId="55" borderId="35" xfId="0" applyNumberFormat="1" applyFont="1" applyFill="1" applyBorder="1" applyAlignment="1">
      <alignment horizontal="right"/>
    </xf>
    <xf numFmtId="172" fontId="3" fillId="55" borderId="37" xfId="410" applyNumberFormat="1" applyFont="1" applyFill="1" applyBorder="1" applyAlignment="1">
      <alignment horizontal="right"/>
      <protection/>
    </xf>
    <xf numFmtId="176" fontId="32" fillId="55" borderId="27" xfId="0" applyNumberFormat="1" applyFont="1" applyFill="1" applyBorder="1" applyAlignment="1">
      <alignment horizontal="right"/>
    </xf>
    <xf numFmtId="185" fontId="32" fillId="55" borderId="27" xfId="0" applyNumberFormat="1" applyFont="1" applyFill="1" applyBorder="1" applyAlignment="1">
      <alignment horizontal="right"/>
    </xf>
    <xf numFmtId="185" fontId="35" fillId="57" borderId="27" xfId="0" applyNumberFormat="1" applyFont="1" applyFill="1" applyBorder="1" applyAlignment="1">
      <alignment horizontal="right"/>
    </xf>
    <xf numFmtId="185" fontId="30" fillId="57" borderId="27" xfId="0" applyNumberFormat="1" applyFont="1" applyFill="1" applyBorder="1" applyAlignment="1">
      <alignment horizontal="right"/>
    </xf>
    <xf numFmtId="176" fontId="30" fillId="57" borderId="27" xfId="0" applyNumberFormat="1" applyFont="1" applyFill="1" applyBorder="1" applyAlignment="1">
      <alignment horizontal="right"/>
    </xf>
    <xf numFmtId="2" fontId="30" fillId="57" borderId="0" xfId="0" applyNumberFormat="1" applyFont="1" applyFill="1" applyBorder="1" applyAlignment="1">
      <alignment horizontal="right"/>
    </xf>
    <xf numFmtId="183" fontId="31" fillId="55" borderId="0" xfId="0" applyNumberFormat="1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187" fontId="35" fillId="55" borderId="27" xfId="0" applyNumberFormat="1" applyFont="1" applyFill="1" applyBorder="1" applyAlignment="1">
      <alignment horizontal="right"/>
    </xf>
    <xf numFmtId="185" fontId="30" fillId="0" borderId="27" xfId="0" applyNumberFormat="1" applyFont="1" applyBorder="1" applyAlignment="1">
      <alignment horizontal="right"/>
    </xf>
    <xf numFmtId="187" fontId="4" fillId="55" borderId="27" xfId="0" applyNumberFormat="1" applyFont="1" applyFill="1" applyBorder="1" applyAlignment="1">
      <alignment horizontal="right"/>
    </xf>
    <xf numFmtId="187" fontId="30" fillId="0" borderId="27" xfId="0" applyNumberFormat="1" applyFont="1" applyBorder="1" applyAlignment="1">
      <alignment horizontal="right"/>
    </xf>
    <xf numFmtId="187" fontId="30" fillId="57" borderId="27" xfId="0" applyNumberFormat="1" applyFont="1" applyFill="1" applyBorder="1" applyAlignment="1">
      <alignment horizontal="right"/>
    </xf>
    <xf numFmtId="179" fontId="30" fillId="57" borderId="29" xfId="0" applyNumberFormat="1" applyFont="1" applyFill="1" applyBorder="1" applyAlignment="1">
      <alignment horizontal="right" indent="1"/>
    </xf>
    <xf numFmtId="179" fontId="4" fillId="55" borderId="27" xfId="0" applyNumberFormat="1" applyFont="1" applyFill="1" applyBorder="1" applyAlignment="1">
      <alignment/>
    </xf>
    <xf numFmtId="179" fontId="4" fillId="55" borderId="29" xfId="0" applyNumberFormat="1" applyFont="1" applyFill="1" applyBorder="1" applyAlignment="1">
      <alignment horizontal="right" indent="1"/>
    </xf>
    <xf numFmtId="176" fontId="30" fillId="55" borderId="29" xfId="0" applyNumberFormat="1" applyFont="1" applyFill="1" applyBorder="1" applyAlignment="1">
      <alignment horizontal="right" indent="1"/>
    </xf>
    <xf numFmtId="179" fontId="30" fillId="55" borderId="27" xfId="0" applyNumberFormat="1" applyFont="1" applyFill="1" applyBorder="1" applyAlignment="1">
      <alignment horizontal="right" indent="1"/>
    </xf>
    <xf numFmtId="179" fontId="30" fillId="0" borderId="27" xfId="0" applyNumberFormat="1" applyFont="1" applyBorder="1" applyAlignment="1">
      <alignment horizontal="right" indent="1"/>
    </xf>
    <xf numFmtId="179" fontId="30" fillId="57" borderId="27" xfId="0" applyNumberFormat="1" applyFont="1" applyFill="1" applyBorder="1" applyAlignment="1">
      <alignment horizontal="right" indent="1"/>
    </xf>
    <xf numFmtId="176" fontId="30" fillId="57" borderId="27" xfId="0" applyNumberFormat="1" applyFont="1" applyFill="1" applyBorder="1" applyAlignment="1">
      <alignment horizontal="right" indent="1"/>
    </xf>
    <xf numFmtId="179" fontId="32" fillId="0" borderId="27" xfId="0" applyNumberFormat="1" applyFont="1" applyBorder="1" applyAlignment="1">
      <alignment horizontal="right" indent="1"/>
    </xf>
    <xf numFmtId="179" fontId="35" fillId="55" borderId="27" xfId="0" applyNumberFormat="1" applyFont="1" applyFill="1" applyBorder="1" applyAlignment="1">
      <alignment horizontal="right" indent="1"/>
    </xf>
    <xf numFmtId="179" fontId="4" fillId="55" borderId="27" xfId="0" applyNumberFormat="1" applyFont="1" applyFill="1" applyBorder="1" applyAlignment="1">
      <alignment horizontal="right" indent="1"/>
    </xf>
    <xf numFmtId="176" fontId="30" fillId="55" borderId="27" xfId="0" applyNumberFormat="1" applyFont="1" applyFill="1" applyBorder="1" applyAlignment="1">
      <alignment horizontal="right" indent="1"/>
    </xf>
    <xf numFmtId="179" fontId="23" fillId="55" borderId="27" xfId="0" applyNumberFormat="1" applyFont="1" applyFill="1" applyBorder="1" applyAlignment="1">
      <alignment horizontal="right" indent="1"/>
    </xf>
    <xf numFmtId="183" fontId="21" fillId="55" borderId="0" xfId="411" applyNumberFormat="1" applyFont="1" applyFill="1" applyBorder="1" applyAlignment="1" applyProtection="1">
      <alignment horizontal="right"/>
      <protection/>
    </xf>
    <xf numFmtId="4" fontId="62" fillId="0" borderId="0" xfId="410" applyNumberFormat="1" applyFont="1">
      <alignment/>
      <protection/>
    </xf>
    <xf numFmtId="179" fontId="4" fillId="57" borderId="0" xfId="0" applyNumberFormat="1" applyFont="1" applyFill="1" applyBorder="1" applyAlignment="1">
      <alignment horizontal="right" indent="1"/>
    </xf>
    <xf numFmtId="179" fontId="35" fillId="57" borderId="0" xfId="0" applyNumberFormat="1" applyFont="1" applyFill="1" applyBorder="1" applyAlignment="1">
      <alignment horizontal="right" indent="1"/>
    </xf>
    <xf numFmtId="179" fontId="22" fillId="55" borderId="26" xfId="0" applyNumberFormat="1" applyFont="1" applyFill="1" applyBorder="1" applyAlignment="1">
      <alignment horizontal="right"/>
    </xf>
    <xf numFmtId="0" fontId="22" fillId="55" borderId="26" xfId="0" applyFont="1" applyFill="1" applyBorder="1" applyAlignment="1">
      <alignment horizontal="right"/>
    </xf>
    <xf numFmtId="179" fontId="26" fillId="55" borderId="26" xfId="0" applyNumberFormat="1" applyFont="1" applyFill="1" applyBorder="1" applyAlignment="1">
      <alignment horizontal="right"/>
    </xf>
    <xf numFmtId="176" fontId="23" fillId="55" borderId="26" xfId="0" applyNumberFormat="1" applyFont="1" applyFill="1" applyBorder="1" applyAlignment="1">
      <alignment horizontal="right"/>
    </xf>
    <xf numFmtId="179" fontId="30" fillId="55" borderId="26" xfId="0" applyNumberFormat="1" applyFont="1" applyFill="1" applyBorder="1" applyAlignment="1">
      <alignment horizontal="right"/>
    </xf>
    <xf numFmtId="185" fontId="35" fillId="57" borderId="0" xfId="0" applyNumberFormat="1" applyFont="1" applyFill="1" applyBorder="1" applyAlignment="1">
      <alignment horizontal="right" indent="1"/>
    </xf>
    <xf numFmtId="187" fontId="26" fillId="55" borderId="26" xfId="0" applyNumberFormat="1" applyFont="1" applyFill="1" applyBorder="1" applyAlignment="1">
      <alignment horizontal="right"/>
    </xf>
    <xf numFmtId="187" fontId="26" fillId="55" borderId="0" xfId="0" applyNumberFormat="1" applyFont="1" applyFill="1" applyBorder="1" applyAlignment="1">
      <alignment horizontal="right"/>
    </xf>
    <xf numFmtId="187" fontId="23" fillId="55" borderId="26" xfId="0" applyNumberFormat="1" applyFont="1" applyFill="1" applyBorder="1" applyAlignment="1">
      <alignment horizontal="right"/>
    </xf>
    <xf numFmtId="0" fontId="22" fillId="55" borderId="25" xfId="0" applyFont="1" applyFill="1" applyBorder="1" applyAlignment="1">
      <alignment horizontal="right" indent="1"/>
    </xf>
    <xf numFmtId="187" fontId="26" fillId="55" borderId="25" xfId="0" applyNumberFormat="1" applyFont="1" applyFill="1" applyBorder="1" applyAlignment="1">
      <alignment horizontal="right" indent="1"/>
    </xf>
    <xf numFmtId="187" fontId="23" fillId="55" borderId="25" xfId="0" applyNumberFormat="1" applyFont="1" applyFill="1" applyBorder="1" applyAlignment="1">
      <alignment horizontal="right" indent="1"/>
    </xf>
    <xf numFmtId="0" fontId="32" fillId="55" borderId="25" xfId="0" applyFont="1" applyFill="1" applyBorder="1" applyAlignment="1">
      <alignment horizontal="right" indent="1"/>
    </xf>
    <xf numFmtId="0" fontId="32" fillId="55" borderId="0" xfId="0" applyFont="1" applyFill="1" applyBorder="1" applyAlignment="1">
      <alignment horizontal="right" indent="1"/>
    </xf>
    <xf numFmtId="187" fontId="4" fillId="55" borderId="0" xfId="0" applyNumberFormat="1" applyFont="1" applyFill="1" applyBorder="1" applyAlignment="1">
      <alignment horizontal="right" indent="1"/>
    </xf>
    <xf numFmtId="0" fontId="30" fillId="55" borderId="0" xfId="0" applyFont="1" applyFill="1" applyBorder="1" applyAlignment="1">
      <alignment horizontal="right" indent="1"/>
    </xf>
    <xf numFmtId="0" fontId="32" fillId="55" borderId="0" xfId="0" applyFont="1" applyFill="1" applyBorder="1" applyAlignment="1">
      <alignment/>
    </xf>
    <xf numFmtId="187" fontId="4" fillId="55" borderId="0" xfId="0" applyNumberFormat="1" applyFont="1" applyFill="1" applyBorder="1" applyAlignment="1">
      <alignment/>
    </xf>
    <xf numFmtId="0" fontId="30" fillId="55" borderId="0" xfId="0" applyFont="1" applyFill="1" applyBorder="1" applyAlignment="1">
      <alignment/>
    </xf>
    <xf numFmtId="0" fontId="30" fillId="55" borderId="26" xfId="0" applyFont="1" applyFill="1" applyBorder="1" applyAlignment="1">
      <alignment/>
    </xf>
    <xf numFmtId="187" fontId="30" fillId="55" borderId="29" xfId="0" applyNumberFormat="1" applyFont="1" applyFill="1" applyBorder="1" applyAlignment="1">
      <alignment horizontal="right" indent="1"/>
    </xf>
    <xf numFmtId="179" fontId="30" fillId="55" borderId="29" xfId="0" applyNumberFormat="1" applyFont="1" applyFill="1" applyBorder="1" applyAlignment="1">
      <alignment/>
    </xf>
    <xf numFmtId="179" fontId="32" fillId="55" borderId="27" xfId="0" applyNumberFormat="1" applyFont="1" applyFill="1" applyBorder="1" applyAlignment="1">
      <alignment horizontal="right" indent="1"/>
    </xf>
    <xf numFmtId="187" fontId="30" fillId="55" borderId="27" xfId="0" applyNumberFormat="1" applyFont="1" applyFill="1" applyBorder="1" applyAlignment="1">
      <alignment horizontal="right" indent="1"/>
    </xf>
    <xf numFmtId="185" fontId="4" fillId="55" borderId="0" xfId="0" applyNumberFormat="1" applyFont="1" applyFill="1" applyBorder="1" applyAlignment="1">
      <alignment horizontal="right" indent="1"/>
    </xf>
    <xf numFmtId="176" fontId="32" fillId="55" borderId="0" xfId="0" applyNumberFormat="1" applyFont="1" applyFill="1" applyBorder="1" applyAlignment="1">
      <alignment horizontal="right" indent="1"/>
    </xf>
    <xf numFmtId="185" fontId="32" fillId="55" borderId="0" xfId="0" applyNumberFormat="1" applyFont="1" applyFill="1" applyBorder="1" applyAlignment="1">
      <alignment horizontal="right" indent="1"/>
    </xf>
    <xf numFmtId="185" fontId="30" fillId="0" borderId="0" xfId="0" applyNumberFormat="1" applyFont="1" applyBorder="1" applyAlignment="1">
      <alignment horizontal="right" indent="1"/>
    </xf>
    <xf numFmtId="176" fontId="4" fillId="55" borderId="0" xfId="0" applyNumberFormat="1" applyFont="1" applyFill="1" applyBorder="1" applyAlignment="1">
      <alignment horizontal="right" indent="1"/>
    </xf>
    <xf numFmtId="185" fontId="4" fillId="55" borderId="29" xfId="0" applyNumberFormat="1" applyFont="1" applyFill="1" applyBorder="1" applyAlignment="1">
      <alignment horizontal="right" indent="1"/>
    </xf>
    <xf numFmtId="176" fontId="35" fillId="55" borderId="29" xfId="0" applyNumberFormat="1" applyFont="1" applyFill="1" applyBorder="1" applyAlignment="1">
      <alignment horizontal="right" indent="1"/>
    </xf>
    <xf numFmtId="176" fontId="32" fillId="55" borderId="29" xfId="0" applyNumberFormat="1" applyFont="1" applyFill="1" applyBorder="1" applyAlignment="1">
      <alignment horizontal="right" indent="1"/>
    </xf>
    <xf numFmtId="185" fontId="32" fillId="55" borderId="29" xfId="0" applyNumberFormat="1" applyFont="1" applyFill="1" applyBorder="1" applyAlignment="1">
      <alignment horizontal="right" indent="1"/>
    </xf>
    <xf numFmtId="185" fontId="35" fillId="57" borderId="29" xfId="0" applyNumberFormat="1" applyFont="1" applyFill="1" applyBorder="1" applyAlignment="1">
      <alignment horizontal="right" indent="1"/>
    </xf>
    <xf numFmtId="185" fontId="30" fillId="57" borderId="29" xfId="0" applyNumberFormat="1" applyFont="1" applyFill="1" applyBorder="1" applyAlignment="1">
      <alignment horizontal="right" indent="1"/>
    </xf>
    <xf numFmtId="185" fontId="35" fillId="55" borderId="29" xfId="0" applyNumberFormat="1" applyFont="1" applyFill="1" applyBorder="1" applyAlignment="1">
      <alignment horizontal="right" indent="1"/>
    </xf>
    <xf numFmtId="185" fontId="30" fillId="0" borderId="29" xfId="0" applyNumberFormat="1" applyFont="1" applyBorder="1" applyAlignment="1">
      <alignment horizontal="right" indent="1"/>
    </xf>
    <xf numFmtId="187" fontId="4" fillId="55" borderId="29" xfId="0" applyNumberFormat="1" applyFont="1" applyFill="1" applyBorder="1" applyAlignment="1">
      <alignment horizontal="right" indent="1"/>
    </xf>
    <xf numFmtId="176" fontId="4" fillId="55" borderId="29" xfId="0" applyNumberFormat="1" applyFont="1" applyFill="1" applyBorder="1" applyAlignment="1">
      <alignment horizontal="right" indent="1"/>
    </xf>
    <xf numFmtId="187" fontId="30" fillId="0" borderId="29" xfId="0" applyNumberFormat="1" applyFont="1" applyBorder="1" applyAlignment="1">
      <alignment horizontal="right" indent="1"/>
    </xf>
    <xf numFmtId="187" fontId="23" fillId="0" borderId="25" xfId="0" applyNumberFormat="1" applyFont="1" applyBorder="1" applyAlignment="1">
      <alignment horizontal="right" indent="1"/>
    </xf>
    <xf numFmtId="185" fontId="23" fillId="55" borderId="28" xfId="0" applyNumberFormat="1" applyFont="1" applyFill="1" applyBorder="1" applyAlignment="1">
      <alignment horizontal="right" indent="1"/>
    </xf>
    <xf numFmtId="176" fontId="30" fillId="0" borderId="29" xfId="0" applyNumberFormat="1" applyFont="1" applyBorder="1" applyAlignment="1">
      <alignment horizontal="right" indent="1"/>
    </xf>
    <xf numFmtId="185" fontId="23" fillId="55" borderId="25" xfId="0" applyNumberFormat="1" applyFont="1" applyFill="1" applyBorder="1" applyAlignment="1">
      <alignment horizontal="right" indent="1"/>
    </xf>
    <xf numFmtId="176" fontId="26" fillId="55" borderId="25" xfId="0" applyNumberFormat="1" applyFont="1" applyFill="1" applyBorder="1" applyAlignment="1">
      <alignment horizontal="right" indent="1"/>
    </xf>
    <xf numFmtId="176" fontId="26" fillId="55" borderId="26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horizontal="right" indent="1"/>
    </xf>
    <xf numFmtId="17" fontId="63" fillId="55" borderId="0" xfId="0" applyNumberFormat="1" applyFont="1" applyFill="1" applyAlignment="1">
      <alignment horizontal="right"/>
    </xf>
    <xf numFmtId="17" fontId="63" fillId="55" borderId="0" xfId="0" applyNumberFormat="1" applyFont="1" applyFill="1" applyAlignment="1">
      <alignment/>
    </xf>
    <xf numFmtId="0" fontId="63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177" fontId="44" fillId="0" borderId="0" xfId="0" applyNumberFormat="1" applyFont="1" applyBorder="1" applyAlignment="1">
      <alignment/>
    </xf>
    <xf numFmtId="0" fontId="23" fillId="57" borderId="0" xfId="0" applyFont="1" applyFill="1" applyAlignment="1">
      <alignment/>
    </xf>
    <xf numFmtId="0" fontId="23" fillId="57" borderId="0" xfId="0" applyFont="1" applyFill="1" applyAlignment="1">
      <alignment horizontal="right"/>
    </xf>
    <xf numFmtId="182" fontId="0" fillId="57" borderId="0" xfId="0" applyNumberFormat="1" applyFill="1" applyAlignment="1">
      <alignment/>
    </xf>
    <xf numFmtId="0" fontId="38" fillId="57" borderId="0" xfId="0" applyFont="1" applyFill="1" applyAlignment="1">
      <alignment/>
    </xf>
    <xf numFmtId="0" fontId="38" fillId="57" borderId="0" xfId="0" applyFont="1" applyFill="1" applyBorder="1" applyAlignment="1">
      <alignment/>
    </xf>
    <xf numFmtId="180" fontId="23" fillId="0" borderId="0" xfId="0" applyNumberFormat="1" applyFont="1" applyBorder="1" applyAlignment="1">
      <alignment/>
    </xf>
    <xf numFmtId="179" fontId="23" fillId="0" borderId="28" xfId="0" applyNumberFormat="1" applyFont="1" applyBorder="1" applyAlignment="1">
      <alignment horizontal="right" indent="1"/>
    </xf>
    <xf numFmtId="0" fontId="26" fillId="57" borderId="0" xfId="0" applyFont="1" applyFill="1" applyBorder="1" applyAlignment="1" applyProtection="1">
      <alignment vertical="center"/>
      <protection/>
    </xf>
    <xf numFmtId="0" fontId="21" fillId="57" borderId="0" xfId="411" applyFont="1" applyFill="1" applyBorder="1" applyAlignment="1" applyProtection="1">
      <alignment/>
      <protection/>
    </xf>
    <xf numFmtId="172" fontId="3" fillId="57" borderId="20" xfId="410" applyNumberFormat="1" applyFont="1" applyFill="1" applyBorder="1" applyAlignment="1">
      <alignment/>
      <protection/>
    </xf>
    <xf numFmtId="0" fontId="4" fillId="57" borderId="19" xfId="0" applyFont="1" applyFill="1" applyBorder="1" applyAlignment="1">
      <alignment/>
    </xf>
    <xf numFmtId="0" fontId="62" fillId="0" borderId="0" xfId="0" applyFont="1" applyAlignment="1">
      <alignment/>
    </xf>
    <xf numFmtId="0" fontId="22" fillId="56" borderId="29" xfId="0" applyFont="1" applyFill="1" applyBorder="1" applyAlignment="1" applyProtection="1">
      <alignment horizontal="right" vertical="center" indent="1"/>
      <protection/>
    </xf>
    <xf numFmtId="179" fontId="35" fillId="57" borderId="29" xfId="0" applyNumberFormat="1" applyFont="1" applyFill="1" applyBorder="1" applyAlignment="1">
      <alignment horizontal="right" indent="1"/>
    </xf>
    <xf numFmtId="179" fontId="35" fillId="57" borderId="27" xfId="0" applyNumberFormat="1" applyFont="1" applyFill="1" applyBorder="1" applyAlignment="1">
      <alignment horizontal="right" indent="1"/>
    </xf>
    <xf numFmtId="1" fontId="62" fillId="0" borderId="0" xfId="0" applyNumberFormat="1" applyFont="1" applyAlignment="1">
      <alignment/>
    </xf>
    <xf numFmtId="220" fontId="62" fillId="0" borderId="0" xfId="0" applyNumberFormat="1" applyFont="1" applyAlignment="1">
      <alignment/>
    </xf>
    <xf numFmtId="0" fontId="64" fillId="0" borderId="38" xfId="0" applyFont="1" applyBorder="1" applyAlignment="1">
      <alignment horizontal="center"/>
    </xf>
    <xf numFmtId="0" fontId="63" fillId="0" borderId="0" xfId="0" applyFont="1" applyAlignment="1">
      <alignment/>
    </xf>
    <xf numFmtId="0" fontId="65" fillId="55" borderId="0" xfId="0" applyFont="1" applyFill="1" applyAlignment="1" applyProtection="1">
      <alignment/>
      <protection/>
    </xf>
    <xf numFmtId="0" fontId="23" fillId="55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3" fillId="57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174" fontId="21" fillId="55" borderId="0" xfId="0" applyNumberFormat="1" applyFont="1" applyFill="1" applyAlignment="1">
      <alignment horizontal="right"/>
    </xf>
    <xf numFmtId="175" fontId="21" fillId="55" borderId="0" xfId="0" applyNumberFormat="1" applyFont="1" applyFill="1" applyAlignment="1">
      <alignment horizontal="right"/>
    </xf>
    <xf numFmtId="175" fontId="21" fillId="57" borderId="0" xfId="0" applyNumberFormat="1" applyFont="1" applyFill="1" applyAlignment="1">
      <alignment horizontal="right"/>
    </xf>
    <xf numFmtId="0" fontId="22" fillId="56" borderId="27" xfId="0" applyFont="1" applyFill="1" applyBorder="1" applyAlignment="1" applyProtection="1">
      <alignment horizontal="right" vertical="center" indent="1"/>
      <protection/>
    </xf>
    <xf numFmtId="0" fontId="62" fillId="0" borderId="29" xfId="0" applyFont="1" applyBorder="1" applyAlignment="1">
      <alignment/>
    </xf>
    <xf numFmtId="220" fontId="62" fillId="0" borderId="0" xfId="0" applyNumberFormat="1" applyFont="1" applyBorder="1" applyAlignment="1">
      <alignment/>
    </xf>
    <xf numFmtId="220" fontId="62" fillId="0" borderId="29" xfId="0" applyNumberFormat="1" applyFont="1" applyBorder="1" applyAlignment="1">
      <alignment/>
    </xf>
    <xf numFmtId="220" fontId="62" fillId="0" borderId="27" xfId="0" applyNumberFormat="1" applyFont="1" applyBorder="1" applyAlignment="1">
      <alignment/>
    </xf>
    <xf numFmtId="0" fontId="62" fillId="0" borderId="27" xfId="0" applyNumberFormat="1" applyFont="1" applyBorder="1" applyAlignment="1">
      <alignment/>
    </xf>
    <xf numFmtId="2" fontId="62" fillId="0" borderId="0" xfId="0" applyNumberFormat="1" applyFont="1" applyBorder="1" applyAlignment="1">
      <alignment/>
    </xf>
    <xf numFmtId="220" fontId="62" fillId="0" borderId="39" xfId="0" applyNumberFormat="1" applyFont="1" applyBorder="1" applyAlignment="1">
      <alignment/>
    </xf>
    <xf numFmtId="220" fontId="62" fillId="0" borderId="40" xfId="0" applyNumberFormat="1" applyFont="1" applyBorder="1" applyAlignment="1">
      <alignment/>
    </xf>
    <xf numFmtId="220" fontId="62" fillId="0" borderId="41" xfId="0" applyNumberFormat="1" applyFont="1" applyBorder="1" applyAlignment="1">
      <alignment/>
    </xf>
    <xf numFmtId="0" fontId="64" fillId="0" borderId="42" xfId="0" applyFont="1" applyBorder="1" applyAlignment="1">
      <alignment horizontal="center"/>
    </xf>
    <xf numFmtId="0" fontId="62" fillId="0" borderId="24" xfId="0" applyFont="1" applyBorder="1" applyAlignment="1">
      <alignment/>
    </xf>
    <xf numFmtId="0" fontId="62" fillId="0" borderId="41" xfId="0" applyFont="1" applyBorder="1" applyAlignment="1">
      <alignment/>
    </xf>
    <xf numFmtId="0" fontId="62" fillId="0" borderId="43" xfId="0" applyFont="1" applyBorder="1" applyAlignment="1">
      <alignment/>
    </xf>
    <xf numFmtId="0" fontId="62" fillId="0" borderId="44" xfId="0" applyFont="1" applyBorder="1" applyAlignment="1">
      <alignment/>
    </xf>
    <xf numFmtId="0" fontId="62" fillId="0" borderId="45" xfId="0" applyFont="1" applyBorder="1" applyAlignment="1">
      <alignment/>
    </xf>
    <xf numFmtId="0" fontId="64" fillId="0" borderId="0" xfId="0" applyFont="1" applyBorder="1" applyAlignment="1">
      <alignment horizontal="center" vertical="center"/>
    </xf>
    <xf numFmtId="220" fontId="62" fillId="0" borderId="0" xfId="0" applyNumberFormat="1" applyFont="1" applyBorder="1" applyAlignment="1">
      <alignment horizontal="right" vertical="center"/>
    </xf>
    <xf numFmtId="220" fontId="62" fillId="0" borderId="27" xfId="0" applyNumberFormat="1" applyFont="1" applyBorder="1" applyAlignment="1">
      <alignment horizontal="right"/>
    </xf>
    <xf numFmtId="0" fontId="62" fillId="0" borderId="0" xfId="0" applyNumberFormat="1" applyFont="1" applyBorder="1" applyAlignment="1">
      <alignment/>
    </xf>
    <xf numFmtId="1" fontId="62" fillId="0" borderId="27" xfId="0" applyNumberFormat="1" applyFont="1" applyBorder="1" applyAlignment="1">
      <alignment/>
    </xf>
    <xf numFmtId="1" fontId="62" fillId="0" borderId="0" xfId="0" applyNumberFormat="1" applyFont="1" applyBorder="1" applyAlignment="1">
      <alignment/>
    </xf>
    <xf numFmtId="179" fontId="4" fillId="57" borderId="0" xfId="0" applyNumberFormat="1" applyFont="1" applyFill="1" applyBorder="1" applyAlignment="1">
      <alignment/>
    </xf>
    <xf numFmtId="176" fontId="4" fillId="57" borderId="25" xfId="0" applyNumberFormat="1" applyFont="1" applyFill="1" applyBorder="1" applyAlignment="1">
      <alignment horizontal="right" indent="1"/>
    </xf>
    <xf numFmtId="179" fontId="4" fillId="57" borderId="27" xfId="0" applyNumberFormat="1" applyFont="1" applyFill="1" applyBorder="1" applyAlignment="1">
      <alignment/>
    </xf>
    <xf numFmtId="179" fontId="35" fillId="57" borderId="0" xfId="0" applyNumberFormat="1" applyFont="1" applyFill="1" applyBorder="1" applyAlignment="1">
      <alignment/>
    </xf>
    <xf numFmtId="179" fontId="35" fillId="57" borderId="27" xfId="0" applyNumberFormat="1" applyFont="1" applyFill="1" applyBorder="1" applyAlignment="1">
      <alignment/>
    </xf>
    <xf numFmtId="0" fontId="66" fillId="0" borderId="0" xfId="0" applyFont="1" applyAlignment="1">
      <alignment horizontal="right"/>
    </xf>
    <xf numFmtId="174" fontId="66" fillId="55" borderId="0" xfId="0" applyNumberFormat="1" applyFont="1" applyFill="1" applyAlignment="1">
      <alignment horizontal="right"/>
    </xf>
    <xf numFmtId="175" fontId="66" fillId="55" borderId="0" xfId="0" applyNumberFormat="1" applyFont="1" applyFill="1" applyAlignment="1">
      <alignment horizontal="right"/>
    </xf>
    <xf numFmtId="175" fontId="66" fillId="57" borderId="0" xfId="0" applyNumberFormat="1" applyFont="1" applyFill="1" applyAlignment="1">
      <alignment horizontal="right"/>
    </xf>
    <xf numFmtId="0" fontId="23" fillId="0" borderId="19" xfId="0" applyFont="1" applyBorder="1" applyAlignment="1">
      <alignment horizontal="left" vertical="top" indent="4"/>
    </xf>
    <xf numFmtId="0" fontId="4" fillId="57" borderId="0" xfId="0" applyFont="1" applyFill="1" applyBorder="1" applyAlignment="1">
      <alignment/>
    </xf>
    <xf numFmtId="0" fontId="23" fillId="0" borderId="24" xfId="0" applyFont="1" applyBorder="1" applyAlignment="1">
      <alignment/>
    </xf>
    <xf numFmtId="0" fontId="30" fillId="55" borderId="0" xfId="0" applyFont="1" applyFill="1" applyBorder="1" applyAlignment="1">
      <alignment/>
    </xf>
    <xf numFmtId="0" fontId="23" fillId="0" borderId="30" xfId="0" applyFont="1" applyBorder="1" applyAlignment="1">
      <alignment/>
    </xf>
    <xf numFmtId="187" fontId="23" fillId="55" borderId="0" xfId="0" applyNumberFormat="1" applyFont="1" applyFill="1" applyBorder="1" applyAlignment="1">
      <alignment/>
    </xf>
    <xf numFmtId="187" fontId="23" fillId="55" borderId="0" xfId="0" applyNumberFormat="1" applyFont="1" applyFill="1" applyBorder="1" applyAlignment="1">
      <alignment horizontal="right" indent="1"/>
    </xf>
    <xf numFmtId="175" fontId="63" fillId="57" borderId="0" xfId="0" applyNumberFormat="1" applyFont="1" applyFill="1" applyAlignment="1">
      <alignment horizontal="right"/>
    </xf>
    <xf numFmtId="0" fontId="67" fillId="55" borderId="0" xfId="379" applyFont="1" applyFill="1" applyAlignment="1" applyProtection="1">
      <alignment/>
      <protection/>
    </xf>
    <xf numFmtId="0" fontId="30" fillId="0" borderId="24" xfId="0" applyFont="1" applyBorder="1" applyAlignment="1">
      <alignment/>
    </xf>
    <xf numFmtId="0" fontId="30" fillId="55" borderId="29" xfId="0" applyFont="1" applyFill="1" applyBorder="1" applyAlignment="1">
      <alignment/>
    </xf>
    <xf numFmtId="0" fontId="22" fillId="56" borderId="30" xfId="0" applyFont="1" applyFill="1" applyBorder="1" applyAlignment="1" applyProtection="1">
      <alignment horizontal="right" vertical="center" indent="1"/>
      <protection/>
    </xf>
    <xf numFmtId="0" fontId="22" fillId="56" borderId="30" xfId="0" applyFont="1" applyFill="1" applyBorder="1" applyAlignment="1" applyProtection="1">
      <alignment horizontal="right" vertical="center"/>
      <protection/>
    </xf>
    <xf numFmtId="0" fontId="22" fillId="56" borderId="31" xfId="0" applyFont="1" applyFill="1" applyBorder="1" applyAlignment="1" applyProtection="1">
      <alignment horizontal="right" vertical="center" indent="1"/>
      <protection/>
    </xf>
    <xf numFmtId="17" fontId="63" fillId="57" borderId="0" xfId="0" applyNumberFormat="1" applyFont="1" applyFill="1" applyAlignment="1">
      <alignment horizontal="left"/>
    </xf>
    <xf numFmtId="17" fontId="63" fillId="57" borderId="0" xfId="0" applyNumberFormat="1" applyFont="1" applyFill="1" applyAlignment="1">
      <alignment/>
    </xf>
    <xf numFmtId="0" fontId="63" fillId="57" borderId="0" xfId="0" applyFont="1" applyFill="1" applyAlignment="1">
      <alignment horizontal="left"/>
    </xf>
    <xf numFmtId="174" fontId="63" fillId="57" borderId="0" xfId="0" applyNumberFormat="1" applyFont="1" applyFill="1" applyAlignment="1">
      <alignment horizontal="right"/>
    </xf>
    <xf numFmtId="0" fontId="44" fillId="57" borderId="0" xfId="0" applyFont="1" applyFill="1" applyBorder="1" applyAlignment="1">
      <alignment horizontal="left"/>
    </xf>
    <xf numFmtId="0" fontId="44" fillId="57" borderId="0" xfId="0" applyFont="1" applyFill="1" applyBorder="1" applyAlignment="1">
      <alignment/>
    </xf>
    <xf numFmtId="177" fontId="44" fillId="57" borderId="0" xfId="0" applyNumberFormat="1" applyFont="1" applyFill="1" applyBorder="1" applyAlignment="1">
      <alignment horizontal="left"/>
    </xf>
    <xf numFmtId="177" fontId="44" fillId="57" borderId="0" xfId="0" applyNumberFormat="1" applyFont="1" applyFill="1" applyBorder="1" applyAlignment="1">
      <alignment/>
    </xf>
    <xf numFmtId="174" fontId="44" fillId="57" borderId="0" xfId="0" applyNumberFormat="1" applyFont="1" applyFill="1" applyBorder="1" applyAlignment="1">
      <alignment/>
    </xf>
    <xf numFmtId="186" fontId="44" fillId="57" borderId="0" xfId="0" applyNumberFormat="1" applyFont="1" applyFill="1" applyBorder="1" applyAlignment="1">
      <alignment/>
    </xf>
    <xf numFmtId="0" fontId="30" fillId="0" borderId="30" xfId="0" applyFont="1" applyBorder="1" applyAlignment="1">
      <alignment/>
    </xf>
    <xf numFmtId="196" fontId="23" fillId="0" borderId="0" xfId="0" applyNumberFormat="1" applyFont="1" applyAlignment="1">
      <alignment/>
    </xf>
    <xf numFmtId="179" fontId="22" fillId="55" borderId="29" xfId="0" applyNumberFormat="1" applyFont="1" applyFill="1" applyBorder="1" applyAlignment="1">
      <alignment horizontal="right" indent="1"/>
    </xf>
    <xf numFmtId="179" fontId="26" fillId="55" borderId="29" xfId="0" applyNumberFormat="1" applyFont="1" applyFill="1" applyBorder="1" applyAlignment="1">
      <alignment horizontal="right" indent="1"/>
    </xf>
    <xf numFmtId="179" fontId="23" fillId="55" borderId="29" xfId="0" applyNumberFormat="1" applyFont="1" applyFill="1" applyBorder="1" applyAlignment="1">
      <alignment horizontal="right" indent="1"/>
    </xf>
    <xf numFmtId="179" fontId="30" fillId="55" borderId="46" xfId="0" applyNumberFormat="1" applyFont="1" applyFill="1" applyBorder="1" applyAlignment="1">
      <alignment horizontal="right" indent="1"/>
    </xf>
    <xf numFmtId="187" fontId="30" fillId="57" borderId="27" xfId="0" applyNumberFormat="1" applyFont="1" applyFill="1" applyBorder="1" applyAlignment="1">
      <alignment/>
    </xf>
    <xf numFmtId="187" fontId="30" fillId="55" borderId="27" xfId="0" applyNumberFormat="1" applyFont="1" applyFill="1" applyBorder="1" applyAlignment="1">
      <alignment/>
    </xf>
    <xf numFmtId="0" fontId="44" fillId="57" borderId="0" xfId="0" applyFont="1" applyFill="1" applyBorder="1" applyAlignment="1">
      <alignment/>
    </xf>
    <xf numFmtId="0" fontId="63" fillId="57" borderId="0" xfId="0" applyFont="1" applyFill="1" applyAlignment="1">
      <alignment/>
    </xf>
    <xf numFmtId="177" fontId="63" fillId="0" borderId="0" xfId="0" applyNumberFormat="1" applyFont="1" applyBorder="1" applyAlignment="1">
      <alignment/>
    </xf>
    <xf numFmtId="194" fontId="63" fillId="0" borderId="0" xfId="0" applyNumberFormat="1" applyFont="1" applyBorder="1" applyAlignment="1">
      <alignment/>
    </xf>
    <xf numFmtId="0" fontId="22" fillId="56" borderId="30" xfId="0" applyFont="1" applyFill="1" applyBorder="1" applyAlignment="1" applyProtection="1">
      <alignment horizontal="right" vertical="center"/>
      <protection/>
    </xf>
    <xf numFmtId="0" fontId="22" fillId="56" borderId="30" xfId="0" applyFont="1" applyFill="1" applyBorder="1" applyAlignment="1" applyProtection="1">
      <alignment horizontal="right" vertical="center" indent="1"/>
      <protection/>
    </xf>
    <xf numFmtId="0" fontId="22" fillId="56" borderId="31" xfId="0" applyFont="1" applyFill="1" applyBorder="1" applyAlignment="1" applyProtection="1">
      <alignment horizontal="right" vertical="center" indent="1"/>
      <protection/>
    </xf>
    <xf numFmtId="17" fontId="23" fillId="57" borderId="0" xfId="0" applyNumberFormat="1" applyFont="1" applyFill="1" applyAlignment="1">
      <alignment/>
    </xf>
    <xf numFmtId="0" fontId="38" fillId="57" borderId="0" xfId="0" applyFont="1" applyFill="1" applyBorder="1" applyAlignment="1">
      <alignment/>
    </xf>
    <xf numFmtId="177" fontId="38" fillId="57" borderId="0" xfId="0" applyNumberFormat="1" applyFont="1" applyFill="1" applyBorder="1" applyAlignment="1">
      <alignment/>
    </xf>
    <xf numFmtId="194" fontId="38" fillId="57" borderId="0" xfId="0" applyNumberFormat="1" applyFont="1" applyFill="1" applyBorder="1" applyAlignment="1">
      <alignment/>
    </xf>
    <xf numFmtId="208" fontId="30" fillId="55" borderId="0" xfId="0" applyNumberFormat="1" applyFont="1" applyFill="1" applyAlignment="1">
      <alignment/>
    </xf>
    <xf numFmtId="210" fontId="30" fillId="55" borderId="0" xfId="0" applyNumberFormat="1" applyFont="1" applyFill="1" applyAlignment="1">
      <alignment/>
    </xf>
    <xf numFmtId="210" fontId="23" fillId="0" borderId="0" xfId="0" applyNumberFormat="1" applyFont="1" applyAlignment="1">
      <alignment/>
    </xf>
    <xf numFmtId="0" fontId="22" fillId="56" borderId="30" xfId="0" applyFont="1" applyFill="1" applyBorder="1" applyAlignment="1" applyProtection="1">
      <alignment horizontal="right" vertical="center" indent="1"/>
      <protection/>
    </xf>
    <xf numFmtId="186" fontId="38" fillId="57" borderId="0" xfId="0" applyNumberFormat="1" applyFont="1" applyFill="1" applyBorder="1" applyAlignment="1">
      <alignment/>
    </xf>
    <xf numFmtId="194" fontId="23" fillId="0" borderId="0" xfId="0" applyNumberFormat="1" applyFont="1" applyBorder="1" applyAlignment="1">
      <alignment/>
    </xf>
    <xf numFmtId="196" fontId="63" fillId="0" borderId="0" xfId="0" applyNumberFormat="1" applyFont="1" applyAlignment="1">
      <alignment/>
    </xf>
    <xf numFmtId="194" fontId="44" fillId="57" borderId="0" xfId="0" applyNumberFormat="1" applyFont="1" applyFill="1" applyBorder="1" applyAlignment="1">
      <alignment/>
    </xf>
    <xf numFmtId="0" fontId="30" fillId="55" borderId="27" xfId="0" applyFont="1" applyFill="1" applyBorder="1" applyAlignment="1">
      <alignment/>
    </xf>
    <xf numFmtId="179" fontId="23" fillId="0" borderId="27" xfId="0" applyNumberFormat="1" applyFont="1" applyBorder="1" applyAlignment="1">
      <alignment horizontal="right" indent="1"/>
    </xf>
    <xf numFmtId="194" fontId="63" fillId="0" borderId="0" xfId="0" applyNumberFormat="1" applyFont="1" applyAlignment="1">
      <alignment/>
    </xf>
    <xf numFmtId="0" fontId="4" fillId="55" borderId="20" xfId="410" applyFont="1" applyFill="1" applyBorder="1" applyAlignment="1">
      <alignment horizontal="center" vertical="center" wrapText="1"/>
      <protection/>
    </xf>
    <xf numFmtId="0" fontId="36" fillId="0" borderId="19" xfId="0" applyFont="1" applyBorder="1" applyAlignment="1">
      <alignment wrapText="1"/>
    </xf>
    <xf numFmtId="0" fontId="36" fillId="0" borderId="22" xfId="0" applyFont="1" applyBorder="1" applyAlignment="1">
      <alignment wrapText="1"/>
    </xf>
    <xf numFmtId="0" fontId="26" fillId="55" borderId="21" xfId="0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 horizontal="center" vertical="center" wrapText="1"/>
    </xf>
    <xf numFmtId="0" fontId="26" fillId="55" borderId="23" xfId="0" applyFont="1" applyFill="1" applyBorder="1" applyAlignment="1">
      <alignment horizontal="center" vertical="center" wrapText="1"/>
    </xf>
    <xf numFmtId="3" fontId="26" fillId="55" borderId="20" xfId="0" applyNumberFormat="1" applyFont="1" applyFill="1" applyBorder="1" applyAlignment="1" applyProtection="1">
      <alignment horizontal="center" vertical="center" wrapText="1"/>
      <protection/>
    </xf>
    <xf numFmtId="3" fontId="26" fillId="55" borderId="19" xfId="0" applyNumberFormat="1" applyFont="1" applyFill="1" applyBorder="1" applyAlignment="1" applyProtection="1">
      <alignment horizontal="center" vertical="center" wrapText="1"/>
      <protection/>
    </xf>
    <xf numFmtId="3" fontId="26" fillId="55" borderId="22" xfId="0" applyNumberFormat="1" applyFont="1" applyFill="1" applyBorder="1" applyAlignment="1" applyProtection="1">
      <alignment horizontal="center" vertical="center" wrapText="1"/>
      <protection/>
    </xf>
    <xf numFmtId="0" fontId="22" fillId="56" borderId="47" xfId="0" applyFont="1" applyFill="1" applyBorder="1" applyAlignment="1" applyProtection="1">
      <alignment horizontal="right" vertical="center" indent="1"/>
      <protection/>
    </xf>
    <xf numFmtId="0" fontId="22" fillId="56" borderId="48" xfId="0" applyFont="1" applyFill="1" applyBorder="1" applyAlignment="1" applyProtection="1">
      <alignment horizontal="right" vertical="center" indent="1"/>
      <protection/>
    </xf>
    <xf numFmtId="179" fontId="22" fillId="55" borderId="49" xfId="0" applyNumberFormat="1" applyFont="1" applyFill="1" applyBorder="1" applyAlignment="1">
      <alignment horizontal="right" vertical="center" indent="1"/>
    </xf>
    <xf numFmtId="179" fontId="22" fillId="55" borderId="28" xfId="0" applyNumberFormat="1" applyFont="1" applyFill="1" applyBorder="1" applyAlignment="1">
      <alignment horizontal="right" vertical="center" indent="1"/>
    </xf>
    <xf numFmtId="179" fontId="4" fillId="55" borderId="49" xfId="0" applyNumberFormat="1" applyFont="1" applyFill="1" applyBorder="1" applyAlignment="1">
      <alignment horizontal="right" vertical="center" indent="1"/>
    </xf>
    <xf numFmtId="179" fontId="4" fillId="55" borderId="28" xfId="0" applyNumberFormat="1" applyFont="1" applyFill="1" applyBorder="1" applyAlignment="1">
      <alignment horizontal="right" vertical="center" inden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56" borderId="30" xfId="0" applyFont="1" applyFill="1" applyBorder="1" applyAlignment="1" applyProtection="1">
      <alignment horizontal="right" vertical="center" indent="1"/>
      <protection/>
    </xf>
    <xf numFmtId="0" fontId="22" fillId="56" borderId="40" xfId="0" applyFont="1" applyFill="1" applyBorder="1" applyAlignment="1" applyProtection="1">
      <alignment horizontal="right" vertical="center" indent="1"/>
      <protection/>
    </xf>
    <xf numFmtId="179" fontId="22" fillId="55" borderId="21" xfId="0" applyNumberFormat="1" applyFont="1" applyFill="1" applyBorder="1" applyAlignment="1">
      <alignment horizontal="right" vertical="center" indent="1"/>
    </xf>
    <xf numFmtId="179" fontId="22" fillId="55" borderId="23" xfId="0" applyNumberFormat="1" applyFont="1" applyFill="1" applyBorder="1" applyAlignment="1">
      <alignment horizontal="right" vertical="center" indent="1"/>
    </xf>
    <xf numFmtId="179" fontId="4" fillId="55" borderId="21" xfId="0" applyNumberFormat="1" applyFont="1" applyFill="1" applyBorder="1" applyAlignment="1">
      <alignment horizontal="right" vertical="center" indent="1"/>
    </xf>
    <xf numFmtId="179" fontId="4" fillId="55" borderId="23" xfId="0" applyNumberFormat="1" applyFont="1" applyFill="1" applyBorder="1" applyAlignment="1">
      <alignment horizontal="right" vertical="center" indent="1"/>
    </xf>
    <xf numFmtId="0" fontId="22" fillId="56" borderId="0" xfId="0" applyFont="1" applyFill="1" applyBorder="1" applyAlignment="1" applyProtection="1">
      <alignment horizontal="right" vertical="center" indent="1"/>
      <protection/>
    </xf>
    <xf numFmtId="0" fontId="22" fillId="56" borderId="24" xfId="0" applyFont="1" applyFill="1" applyBorder="1" applyAlignment="1" applyProtection="1">
      <alignment horizontal="right" vertical="center" indent="1"/>
      <protection/>
    </xf>
    <xf numFmtId="0" fontId="22" fillId="56" borderId="0" xfId="0" applyFont="1" applyFill="1" applyBorder="1" applyAlignment="1" applyProtection="1">
      <alignment horizontal="right" vertical="center"/>
      <protection/>
    </xf>
    <xf numFmtId="0" fontId="22" fillId="56" borderId="40" xfId="0" applyFont="1" applyFill="1" applyBorder="1" applyAlignment="1" applyProtection="1">
      <alignment horizontal="right" vertical="center"/>
      <protection/>
    </xf>
    <xf numFmtId="0" fontId="22" fillId="56" borderId="30" xfId="0" applyFont="1" applyFill="1" applyBorder="1" applyAlignment="1" applyProtection="1">
      <alignment horizontal="right" vertical="center"/>
      <protection/>
    </xf>
    <xf numFmtId="179" fontId="35" fillId="55" borderId="34" xfId="0" applyNumberFormat="1" applyFont="1" applyFill="1" applyBorder="1" applyAlignment="1">
      <alignment horizontal="right" vertical="center"/>
    </xf>
    <xf numFmtId="179" fontId="35" fillId="55" borderId="35" xfId="0" applyNumberFormat="1" applyFont="1" applyFill="1" applyBorder="1" applyAlignment="1">
      <alignment horizontal="right" vertical="center"/>
    </xf>
    <xf numFmtId="179" fontId="35" fillId="55" borderId="21" xfId="0" applyNumberFormat="1" applyFont="1" applyFill="1" applyBorder="1" applyAlignment="1">
      <alignment horizontal="right" vertical="center"/>
    </xf>
    <xf numFmtId="179" fontId="35" fillId="55" borderId="23" xfId="0" applyNumberFormat="1" applyFont="1" applyFill="1" applyBorder="1" applyAlignment="1">
      <alignment horizontal="right" vertical="center"/>
    </xf>
    <xf numFmtId="0" fontId="22" fillId="56" borderId="31" xfId="0" applyFont="1" applyFill="1" applyBorder="1" applyAlignment="1" applyProtection="1">
      <alignment horizontal="right" vertical="center" indent="1"/>
      <protection/>
    </xf>
    <xf numFmtId="0" fontId="35" fillId="55" borderId="20" xfId="0" applyFont="1" applyFill="1" applyBorder="1" applyAlignment="1">
      <alignment horizontal="left" vertical="center" indent="1"/>
    </xf>
    <xf numFmtId="0" fontId="35" fillId="55" borderId="22" xfId="0" applyFont="1" applyFill="1" applyBorder="1" applyAlignment="1">
      <alignment horizontal="left" vertical="center" indent="1"/>
    </xf>
    <xf numFmtId="172" fontId="26" fillId="55" borderId="20" xfId="410" applyNumberFormat="1" applyFont="1" applyFill="1" applyBorder="1" applyAlignment="1">
      <alignment horizontal="center" vertical="center" wrapText="1"/>
      <protection/>
    </xf>
    <xf numFmtId="172" fontId="26" fillId="55" borderId="19" xfId="410" applyNumberFormat="1" applyFont="1" applyFill="1" applyBorder="1" applyAlignment="1">
      <alignment horizontal="center" vertical="center" wrapText="1"/>
      <protection/>
    </xf>
    <xf numFmtId="172" fontId="26" fillId="55" borderId="22" xfId="410" applyNumberFormat="1" applyFont="1" applyFill="1" applyBorder="1" applyAlignment="1">
      <alignment horizontal="center" vertical="center" wrapText="1"/>
      <protection/>
    </xf>
    <xf numFmtId="179" fontId="35" fillId="55" borderId="34" xfId="0" applyNumberFormat="1" applyFont="1" applyFill="1" applyBorder="1" applyAlignment="1">
      <alignment horizontal="right" vertical="center" indent="2"/>
    </xf>
    <xf numFmtId="179" fontId="35" fillId="55" borderId="35" xfId="0" applyNumberFormat="1" applyFont="1" applyFill="1" applyBorder="1" applyAlignment="1">
      <alignment horizontal="right" vertical="center" indent="2"/>
    </xf>
    <xf numFmtId="185" fontId="26" fillId="55" borderId="21" xfId="0" applyNumberFormat="1" applyFont="1" applyFill="1" applyBorder="1" applyAlignment="1">
      <alignment vertical="center"/>
    </xf>
    <xf numFmtId="185" fontId="26" fillId="55" borderId="23" xfId="0" applyNumberFormat="1" applyFont="1" applyFill="1" applyBorder="1" applyAlignment="1">
      <alignment vertical="center"/>
    </xf>
    <xf numFmtId="185" fontId="26" fillId="55" borderId="49" xfId="0" applyNumberFormat="1" applyFont="1" applyFill="1" applyBorder="1" applyAlignment="1">
      <alignment horizontal="right" vertical="center" indent="2"/>
    </xf>
    <xf numFmtId="185" fontId="26" fillId="55" borderId="28" xfId="0" applyNumberFormat="1" applyFont="1" applyFill="1" applyBorder="1" applyAlignment="1">
      <alignment horizontal="right" vertical="center" indent="2"/>
    </xf>
    <xf numFmtId="0" fontId="26" fillId="55" borderId="20" xfId="0" applyFont="1" applyFill="1" applyBorder="1" applyAlignment="1">
      <alignment horizontal="left" vertical="center" indent="1"/>
    </xf>
    <xf numFmtId="0" fontId="26" fillId="55" borderId="22" xfId="0" applyFont="1" applyFill="1" applyBorder="1" applyAlignment="1">
      <alignment horizontal="left" vertical="center" indent="1"/>
    </xf>
    <xf numFmtId="0" fontId="22" fillId="56" borderId="41" xfId="0" applyFont="1" applyFill="1" applyBorder="1" applyAlignment="1" applyProtection="1">
      <alignment horizontal="right" vertical="center" indent="1"/>
      <protection/>
    </xf>
    <xf numFmtId="0" fontId="22" fillId="56" borderId="20" xfId="0" applyFont="1" applyFill="1" applyBorder="1" applyAlignment="1" applyProtection="1">
      <alignment horizontal="center" vertical="center"/>
      <protection/>
    </xf>
    <xf numFmtId="0" fontId="22" fillId="56" borderId="36" xfId="0" applyFont="1" applyFill="1" applyBorder="1" applyAlignment="1" applyProtection="1">
      <alignment horizontal="center" vertical="center"/>
      <protection/>
    </xf>
    <xf numFmtId="172" fontId="26" fillId="55" borderId="30" xfId="410" applyNumberFormat="1" applyFont="1" applyFill="1" applyBorder="1" applyAlignment="1">
      <alignment horizontal="right" vertical="center" wrapText="1"/>
      <protection/>
    </xf>
    <xf numFmtId="172" fontId="26" fillId="55" borderId="40" xfId="410" applyNumberFormat="1" applyFont="1" applyFill="1" applyBorder="1" applyAlignment="1">
      <alignment horizontal="right" vertical="center" wrapText="1"/>
      <protection/>
    </xf>
    <xf numFmtId="185" fontId="26" fillId="55" borderId="21" xfId="0" applyNumberFormat="1" applyFont="1" applyFill="1" applyBorder="1" applyAlignment="1">
      <alignment horizontal="right" vertical="center"/>
    </xf>
    <xf numFmtId="185" fontId="26" fillId="55" borderId="23" xfId="0" applyNumberFormat="1" applyFont="1" applyFill="1" applyBorder="1" applyAlignment="1">
      <alignment horizontal="right" vertical="center"/>
    </xf>
    <xf numFmtId="0" fontId="22" fillId="55" borderId="34" xfId="411" applyFont="1" applyFill="1" applyBorder="1" applyAlignment="1" applyProtection="1">
      <alignment horizontal="center" vertical="center"/>
      <protection/>
    </xf>
    <xf numFmtId="0" fontId="22" fillId="55" borderId="21" xfId="411" applyFont="1" applyFill="1" applyBorder="1" applyAlignment="1" applyProtection="1">
      <alignment horizontal="center" vertical="center"/>
      <protection/>
    </xf>
    <xf numFmtId="0" fontId="22" fillId="55" borderId="49" xfId="411" applyFont="1" applyFill="1" applyBorder="1" applyAlignment="1" applyProtection="1">
      <alignment horizontal="center" vertical="center"/>
      <protection/>
    </xf>
    <xf numFmtId="179" fontId="35" fillId="55" borderId="49" xfId="0" applyNumberFormat="1" applyFont="1" applyFill="1" applyBorder="1" applyAlignment="1">
      <alignment horizontal="right" vertical="center" indent="1"/>
    </xf>
    <xf numFmtId="179" fontId="35" fillId="55" borderId="28" xfId="0" applyNumberFormat="1" applyFont="1" applyFill="1" applyBorder="1" applyAlignment="1">
      <alignment horizontal="right" vertical="center" indent="1"/>
    </xf>
    <xf numFmtId="0" fontId="22" fillId="55" borderId="51" xfId="411" applyFont="1" applyFill="1" applyBorder="1" applyAlignment="1" applyProtection="1">
      <alignment horizontal="center" vertical="center"/>
      <protection/>
    </xf>
    <xf numFmtId="0" fontId="22" fillId="55" borderId="52" xfId="411" applyFont="1" applyFill="1" applyBorder="1" applyAlignment="1" applyProtection="1">
      <alignment horizontal="center" vertical="center"/>
      <protection/>
    </xf>
    <xf numFmtId="0" fontId="22" fillId="55" borderId="53" xfId="411" applyFont="1" applyFill="1" applyBorder="1" applyAlignment="1" applyProtection="1">
      <alignment horizontal="center" vertical="center"/>
      <protection/>
    </xf>
    <xf numFmtId="179" fontId="22" fillId="55" borderId="34" xfId="0" applyNumberFormat="1" applyFont="1" applyFill="1" applyBorder="1" applyAlignment="1">
      <alignment horizontal="right" vertical="center"/>
    </xf>
    <xf numFmtId="179" fontId="22" fillId="55" borderId="35" xfId="0" applyNumberFormat="1" applyFont="1" applyFill="1" applyBorder="1" applyAlignment="1">
      <alignment horizontal="right" vertical="center"/>
    </xf>
    <xf numFmtId="179" fontId="22" fillId="55" borderId="21" xfId="0" applyNumberFormat="1" applyFont="1" applyFill="1" applyBorder="1" applyAlignment="1">
      <alignment horizontal="right" vertical="center"/>
    </xf>
    <xf numFmtId="179" fontId="22" fillId="55" borderId="23" xfId="0" applyNumberFormat="1" applyFont="1" applyFill="1" applyBorder="1" applyAlignment="1">
      <alignment horizontal="right" vertical="center"/>
    </xf>
    <xf numFmtId="185" fontId="26" fillId="55" borderId="21" xfId="0" applyNumberFormat="1" applyFont="1" applyFill="1" applyBorder="1" applyAlignment="1">
      <alignment horizontal="right" vertical="center" indent="1"/>
    </xf>
    <xf numFmtId="185" fontId="26" fillId="55" borderId="23" xfId="0" applyNumberFormat="1" applyFont="1" applyFill="1" applyBorder="1" applyAlignment="1">
      <alignment horizontal="right" vertical="center" indent="1"/>
    </xf>
    <xf numFmtId="0" fontId="22" fillId="56" borderId="26" xfId="0" applyFont="1" applyFill="1" applyBorder="1" applyAlignment="1" applyProtection="1">
      <alignment horizontal="right" vertical="center"/>
      <protection/>
    </xf>
    <xf numFmtId="0" fontId="22" fillId="56" borderId="35" xfId="0" applyFont="1" applyFill="1" applyBorder="1" applyAlignment="1" applyProtection="1">
      <alignment horizontal="right" vertical="center"/>
      <protection/>
    </xf>
    <xf numFmtId="179" fontId="4" fillId="55" borderId="21" xfId="0" applyNumberFormat="1" applyFont="1" applyFill="1" applyBorder="1" applyAlignment="1">
      <alignment horizontal="right" vertical="center"/>
    </xf>
    <xf numFmtId="179" fontId="4" fillId="55" borderId="23" xfId="0" applyNumberFormat="1" applyFont="1" applyFill="1" applyBorder="1" applyAlignment="1">
      <alignment horizontal="right" vertical="center"/>
    </xf>
    <xf numFmtId="185" fontId="26" fillId="55" borderId="21" xfId="0" applyNumberFormat="1" applyFont="1" applyFill="1" applyBorder="1" applyAlignment="1">
      <alignment horizontal="right" vertical="center" indent="2"/>
    </xf>
    <xf numFmtId="185" fontId="26" fillId="55" borderId="23" xfId="0" applyNumberFormat="1" applyFont="1" applyFill="1" applyBorder="1" applyAlignment="1">
      <alignment horizontal="right" vertical="center" indent="2"/>
    </xf>
    <xf numFmtId="185" fontId="26" fillId="55" borderId="34" xfId="0" applyNumberFormat="1" applyFont="1" applyFill="1" applyBorder="1" applyAlignment="1">
      <alignment horizontal="right" vertical="center" indent="2"/>
    </xf>
    <xf numFmtId="185" fontId="26" fillId="55" borderId="35" xfId="0" applyNumberFormat="1" applyFont="1" applyFill="1" applyBorder="1" applyAlignment="1">
      <alignment horizontal="right" vertical="center" indent="2"/>
    </xf>
    <xf numFmtId="172" fontId="26" fillId="55" borderId="0" xfId="410" applyNumberFormat="1" applyFont="1" applyFill="1" applyBorder="1" applyAlignment="1">
      <alignment horizontal="right" vertical="center" wrapText="1"/>
      <protection/>
    </xf>
    <xf numFmtId="0" fontId="22" fillId="56" borderId="29" xfId="0" applyFont="1" applyFill="1" applyBorder="1" applyAlignment="1" applyProtection="1">
      <alignment horizontal="right" vertical="center" indent="1"/>
      <protection/>
    </xf>
    <xf numFmtId="188" fontId="26" fillId="55" borderId="32" xfId="410" applyNumberFormat="1" applyFont="1" applyFill="1" applyBorder="1" applyAlignment="1">
      <alignment horizontal="center" vertical="center" wrapText="1"/>
      <protection/>
    </xf>
    <xf numFmtId="188" fontId="26" fillId="55" borderId="33" xfId="410" applyNumberFormat="1" applyFont="1" applyFill="1" applyBorder="1" applyAlignment="1">
      <alignment horizontal="center" vertical="center" wrapText="1"/>
      <protection/>
    </xf>
    <xf numFmtId="188" fontId="26" fillId="55" borderId="50" xfId="410" applyNumberFormat="1" applyFont="1" applyFill="1" applyBorder="1" applyAlignment="1">
      <alignment horizontal="center" vertical="center" wrapText="1"/>
      <protection/>
    </xf>
    <xf numFmtId="172" fontId="26" fillId="57" borderId="20" xfId="410" applyNumberFormat="1" applyFont="1" applyFill="1" applyBorder="1" applyAlignment="1">
      <alignment horizontal="center" vertical="center" wrapText="1"/>
      <protection/>
    </xf>
    <xf numFmtId="172" fontId="26" fillId="57" borderId="19" xfId="410" applyNumberFormat="1" applyFont="1" applyFill="1" applyBorder="1" applyAlignment="1">
      <alignment horizontal="center" vertical="center" wrapText="1"/>
      <protection/>
    </xf>
    <xf numFmtId="172" fontId="26" fillId="57" borderId="22" xfId="410" applyNumberFormat="1" applyFont="1" applyFill="1" applyBorder="1" applyAlignment="1">
      <alignment horizontal="center" vertical="center" wrapText="1"/>
      <protection/>
    </xf>
    <xf numFmtId="172" fontId="26" fillId="55" borderId="26" xfId="410" applyNumberFormat="1" applyFont="1" applyFill="1" applyBorder="1" applyAlignment="1">
      <alignment horizontal="right" vertical="center" wrapText="1"/>
      <protection/>
    </xf>
    <xf numFmtId="172" fontId="26" fillId="55" borderId="54" xfId="410" applyNumberFormat="1" applyFont="1" applyFill="1" applyBorder="1" applyAlignment="1">
      <alignment horizontal="right" vertical="center" wrapText="1"/>
      <protection/>
    </xf>
    <xf numFmtId="172" fontId="26" fillId="55" borderId="34" xfId="410" applyNumberFormat="1" applyFont="1" applyFill="1" applyBorder="1" applyAlignment="1">
      <alignment horizontal="right" vertical="center" wrapText="1"/>
      <protection/>
    </xf>
    <xf numFmtId="185" fontId="26" fillId="55" borderId="34" xfId="0" applyNumberFormat="1" applyFont="1" applyFill="1" applyBorder="1" applyAlignment="1">
      <alignment vertical="center"/>
    </xf>
    <xf numFmtId="185" fontId="26" fillId="55" borderId="35" xfId="0" applyNumberFormat="1" applyFont="1" applyFill="1" applyBorder="1" applyAlignment="1">
      <alignment vertical="center"/>
    </xf>
    <xf numFmtId="185" fontId="26" fillId="55" borderId="49" xfId="0" applyNumberFormat="1" applyFont="1" applyFill="1" applyBorder="1" applyAlignment="1">
      <alignment horizontal="right" vertical="center" indent="1"/>
    </xf>
    <xf numFmtId="185" fontId="26" fillId="55" borderId="28" xfId="0" applyNumberFormat="1" applyFont="1" applyFill="1" applyBorder="1" applyAlignment="1">
      <alignment horizontal="right" vertical="center" indent="1"/>
    </xf>
    <xf numFmtId="179" fontId="22" fillId="55" borderId="40" xfId="0" applyNumberFormat="1" applyFont="1" applyFill="1" applyBorder="1" applyAlignment="1">
      <alignment horizontal="right" vertical="center" indent="1"/>
    </xf>
    <xf numFmtId="179" fontId="22" fillId="55" borderId="47" xfId="0" applyNumberFormat="1" applyFont="1" applyFill="1" applyBorder="1" applyAlignment="1">
      <alignment horizontal="right" vertical="center" indent="1"/>
    </xf>
    <xf numFmtId="179" fontId="22" fillId="55" borderId="41" xfId="0" applyNumberFormat="1" applyFont="1" applyFill="1" applyBorder="1" applyAlignment="1">
      <alignment horizontal="right" vertical="center" indent="1"/>
    </xf>
    <xf numFmtId="179" fontId="35" fillId="55" borderId="21" xfId="0" applyNumberFormat="1" applyFont="1" applyFill="1" applyBorder="1" applyAlignment="1">
      <alignment horizontal="right" vertical="center" indent="2"/>
    </xf>
    <xf numFmtId="179" fontId="35" fillId="55" borderId="23" xfId="0" applyNumberFormat="1" applyFont="1" applyFill="1" applyBorder="1" applyAlignment="1">
      <alignment horizontal="right" vertical="center" indent="2"/>
    </xf>
    <xf numFmtId="179" fontId="35" fillId="55" borderId="21" xfId="0" applyNumberFormat="1" applyFont="1" applyFill="1" applyBorder="1" applyAlignment="1">
      <alignment vertical="center"/>
    </xf>
    <xf numFmtId="179" fontId="35" fillId="55" borderId="23" xfId="0" applyNumberFormat="1" applyFont="1" applyFill="1" applyBorder="1" applyAlignment="1">
      <alignment vertical="center"/>
    </xf>
    <xf numFmtId="179" fontId="35" fillId="55" borderId="21" xfId="0" applyNumberFormat="1" applyFont="1" applyFill="1" applyBorder="1" applyAlignment="1">
      <alignment horizontal="right" vertical="center" indent="1"/>
    </xf>
    <xf numFmtId="179" fontId="35" fillId="55" borderId="23" xfId="0" applyNumberFormat="1" applyFont="1" applyFill="1" applyBorder="1" applyAlignment="1">
      <alignment horizontal="right" vertical="center" indent="1"/>
    </xf>
    <xf numFmtId="179" fontId="4" fillId="55" borderId="47" xfId="0" applyNumberFormat="1" applyFont="1" applyFill="1" applyBorder="1" applyAlignment="1">
      <alignment horizontal="right" vertical="center" indent="1"/>
    </xf>
    <xf numFmtId="179" fontId="4" fillId="55" borderId="46" xfId="0" applyNumberFormat="1" applyFont="1" applyFill="1" applyBorder="1" applyAlignment="1">
      <alignment horizontal="right" vertical="center" indent="1"/>
    </xf>
    <xf numFmtId="179" fontId="22" fillId="55" borderId="55" xfId="0" applyNumberFormat="1" applyFont="1" applyFill="1" applyBorder="1" applyAlignment="1">
      <alignment horizontal="right" vertical="center" indent="1"/>
    </xf>
    <xf numFmtId="179" fontId="22" fillId="55" borderId="39" xfId="0" applyNumberFormat="1" applyFont="1" applyFill="1" applyBorder="1" applyAlignment="1">
      <alignment horizontal="right" vertical="center" indent="1"/>
    </xf>
    <xf numFmtId="220" fontId="64" fillId="0" borderId="24" xfId="0" applyNumberFormat="1" applyFont="1" applyBorder="1" applyAlignment="1">
      <alignment horizontal="right" vertical="center"/>
    </xf>
    <xf numFmtId="220" fontId="64" fillId="0" borderId="41" xfId="0" applyNumberFormat="1" applyFont="1" applyBorder="1" applyAlignment="1">
      <alignment horizontal="right" vertical="center"/>
    </xf>
    <xf numFmtId="220" fontId="64" fillId="0" borderId="30" xfId="0" applyNumberFormat="1" applyFont="1" applyBorder="1" applyAlignment="1">
      <alignment horizontal="right" vertical="center"/>
    </xf>
    <xf numFmtId="220" fontId="64" fillId="0" borderId="40" xfId="0" applyNumberFormat="1" applyFont="1" applyBorder="1" applyAlignment="1">
      <alignment horizontal="right" vertical="center"/>
    </xf>
    <xf numFmtId="220" fontId="64" fillId="0" borderId="56" xfId="0" applyNumberFormat="1" applyFont="1" applyBorder="1" applyAlignment="1">
      <alignment horizontal="right" vertical="center"/>
    </xf>
    <xf numFmtId="220" fontId="64" fillId="0" borderId="39" xfId="0" applyNumberFormat="1" applyFont="1" applyBorder="1" applyAlignment="1">
      <alignment horizontal="right" vertical="center"/>
    </xf>
    <xf numFmtId="0" fontId="64" fillId="0" borderId="43" xfId="0" applyFont="1" applyBorder="1" applyAlignment="1">
      <alignment horizontal="center" vertical="center"/>
    </xf>
    <xf numFmtId="0" fontId="64" fillId="0" borderId="44" xfId="0" applyFont="1" applyBorder="1" applyAlignment="1">
      <alignment horizontal="center" vertical="center"/>
    </xf>
    <xf numFmtId="0" fontId="64" fillId="0" borderId="45" xfId="0" applyFont="1" applyBorder="1" applyAlignment="1">
      <alignment horizontal="center" vertical="center"/>
    </xf>
    <xf numFmtId="0" fontId="21" fillId="57" borderId="43" xfId="411" applyFont="1" applyFill="1" applyBorder="1" applyAlignment="1" applyProtection="1">
      <alignment horizontal="center" vertical="center"/>
      <protection/>
    </xf>
    <xf numFmtId="0" fontId="21" fillId="57" borderId="44" xfId="411" applyFont="1" applyFill="1" applyBorder="1" applyAlignment="1" applyProtection="1">
      <alignment horizontal="center" vertical="center"/>
      <protection/>
    </xf>
    <xf numFmtId="0" fontId="21" fillId="57" borderId="45" xfId="411" applyFont="1" applyFill="1" applyBorder="1" applyAlignment="1" applyProtection="1">
      <alignment horizontal="center" vertical="center"/>
      <protection/>
    </xf>
    <xf numFmtId="0" fontId="64" fillId="0" borderId="56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22" fillId="56" borderId="56" xfId="0" applyFont="1" applyFill="1" applyBorder="1" applyAlignment="1" applyProtection="1">
      <alignment horizontal="right" vertical="center" indent="1"/>
      <protection/>
    </xf>
    <xf numFmtId="0" fontId="22" fillId="56" borderId="39" xfId="0" applyFont="1" applyFill="1" applyBorder="1" applyAlignment="1" applyProtection="1">
      <alignment horizontal="right" vertical="center" indent="1"/>
      <protection/>
    </xf>
    <xf numFmtId="0" fontId="64" fillId="0" borderId="57" xfId="0" applyFont="1" applyBorder="1" applyAlignment="1">
      <alignment horizontal="center"/>
    </xf>
    <xf numFmtId="0" fontId="64" fillId="0" borderId="58" xfId="0" applyFont="1" applyBorder="1" applyAlignment="1">
      <alignment horizontal="center"/>
    </xf>
    <xf numFmtId="0" fontId="64" fillId="0" borderId="42" xfId="0" applyFont="1" applyBorder="1" applyAlignment="1">
      <alignment horizontal="center"/>
    </xf>
    <xf numFmtId="0" fontId="22" fillId="56" borderId="27" xfId="0" applyFont="1" applyFill="1" applyBorder="1" applyAlignment="1" applyProtection="1">
      <alignment horizontal="right" vertical="center" indent="1"/>
      <protection/>
    </xf>
  </cellXfs>
  <cellStyles count="514">
    <cellStyle name="Normal" xfId="0"/>
    <cellStyle name="20% - Énfasis1" xfId="15"/>
    <cellStyle name="20% - Énfasis1 10" xfId="16"/>
    <cellStyle name="20% - Énfasis1 2" xfId="17"/>
    <cellStyle name="20% - Énfasis1 2 2" xfId="18"/>
    <cellStyle name="20% - Énfasis1 2 3" xfId="19"/>
    <cellStyle name="20% - Énfasis1 3" xfId="20"/>
    <cellStyle name="20% - Énfasis1 4" xfId="21"/>
    <cellStyle name="20% - Énfasis1 5" xfId="22"/>
    <cellStyle name="20% - Énfasis1 6" xfId="23"/>
    <cellStyle name="20% - Énfasis1 7" xfId="24"/>
    <cellStyle name="20% - Énfasis1 8" xfId="25"/>
    <cellStyle name="20% - Énfasis1 9" xfId="26"/>
    <cellStyle name="20% - Énfasis2" xfId="27"/>
    <cellStyle name="20% - Énfasis2 10" xfId="28"/>
    <cellStyle name="20% - Énfasis2 2" xfId="29"/>
    <cellStyle name="20% - Énfasis2 2 2" xfId="30"/>
    <cellStyle name="20% - Énfasis2 2 3" xfId="31"/>
    <cellStyle name="20% - Énfasis2 3" xfId="32"/>
    <cellStyle name="20% - Énfasis2 4" xfId="33"/>
    <cellStyle name="20% - Énfasis2 5" xfId="34"/>
    <cellStyle name="20% - Énfasis2 6" xfId="35"/>
    <cellStyle name="20% - Énfasis2 7" xfId="36"/>
    <cellStyle name="20% - Énfasis2 8" xfId="37"/>
    <cellStyle name="20% - Énfasis2 9" xfId="38"/>
    <cellStyle name="20% - Énfasis3" xfId="39"/>
    <cellStyle name="20% - Énfasis3 10" xfId="40"/>
    <cellStyle name="20% - Énfasis3 2" xfId="41"/>
    <cellStyle name="20% - Énfasis3 2 2" xfId="42"/>
    <cellStyle name="20% - Énfasis3 2 3" xfId="43"/>
    <cellStyle name="20% - Énfasis3 3" xfId="44"/>
    <cellStyle name="20% - Énfasis3 4" xfId="45"/>
    <cellStyle name="20% - Énfasis3 5" xfId="46"/>
    <cellStyle name="20% - Énfasis3 6" xfId="47"/>
    <cellStyle name="20% - Énfasis3 7" xfId="48"/>
    <cellStyle name="20% - Énfasis3 8" xfId="49"/>
    <cellStyle name="20% - Énfasis3 9" xfId="50"/>
    <cellStyle name="20% - Énfasis4" xfId="51"/>
    <cellStyle name="20% - Énfasis4 10" xfId="52"/>
    <cellStyle name="20% - Énfasis4 2" xfId="53"/>
    <cellStyle name="20% - Énfasis4 2 2" xfId="54"/>
    <cellStyle name="20% - Énfasis4 2 3" xfId="55"/>
    <cellStyle name="20% - Énfasis4 3" xfId="56"/>
    <cellStyle name="20% - Énfasis4 4" xfId="57"/>
    <cellStyle name="20% - Énfasis4 5" xfId="58"/>
    <cellStyle name="20% - Énfasis4 6" xfId="59"/>
    <cellStyle name="20% - Énfasis4 7" xfId="60"/>
    <cellStyle name="20% - Énfasis4 8" xfId="61"/>
    <cellStyle name="20% - Énfasis4 9" xfId="62"/>
    <cellStyle name="20% - Énfasis5" xfId="63"/>
    <cellStyle name="20% - Énfasis5 10" xfId="64"/>
    <cellStyle name="20% - Énfasis5 2" xfId="65"/>
    <cellStyle name="20% - Énfasis5 2 2" xfId="66"/>
    <cellStyle name="20% - Énfasis5 2 3" xfId="67"/>
    <cellStyle name="20% - Énfasis5 3" xfId="68"/>
    <cellStyle name="20% - Énfasis5 4" xfId="69"/>
    <cellStyle name="20% - Énfasis5 5" xfId="70"/>
    <cellStyle name="20% - Énfasis5 6" xfId="71"/>
    <cellStyle name="20% - Énfasis5 7" xfId="72"/>
    <cellStyle name="20% - Énfasis5 8" xfId="73"/>
    <cellStyle name="20% - Énfasis5 9" xfId="74"/>
    <cellStyle name="20% - Énfasis6" xfId="75"/>
    <cellStyle name="20% - Énfasis6 10" xfId="76"/>
    <cellStyle name="20% - Énfasis6 2" xfId="77"/>
    <cellStyle name="20% - Énfasis6 2 2" xfId="78"/>
    <cellStyle name="20% - Énfasis6 2 3" xfId="79"/>
    <cellStyle name="20% - Énfasis6 3" xfId="80"/>
    <cellStyle name="20% - Énfasis6 4" xfId="81"/>
    <cellStyle name="20% - Énfasis6 5" xfId="82"/>
    <cellStyle name="20% - Énfasis6 6" xfId="83"/>
    <cellStyle name="20% - Énfasis6 7" xfId="84"/>
    <cellStyle name="20% - Énfasis6 8" xfId="85"/>
    <cellStyle name="20% - Énfasis6 9" xfId="86"/>
    <cellStyle name="40% - Énfasis1" xfId="87"/>
    <cellStyle name="40% - Énfasis1 10" xfId="88"/>
    <cellStyle name="40% - Énfasis1 2" xfId="89"/>
    <cellStyle name="40% - Énfasis1 2 2" xfId="90"/>
    <cellStyle name="40% - Énfasis1 2 3" xfId="91"/>
    <cellStyle name="40% - Énfasis1 3" xfId="92"/>
    <cellStyle name="40% - Énfasis1 4" xfId="93"/>
    <cellStyle name="40% - Énfasis1 5" xfId="94"/>
    <cellStyle name="40% - Énfasis1 6" xfId="95"/>
    <cellStyle name="40% - Énfasis1 7" xfId="96"/>
    <cellStyle name="40% - Énfasis1 8" xfId="97"/>
    <cellStyle name="40% - Énfasis1 9" xfId="98"/>
    <cellStyle name="40% - Énfasis2" xfId="99"/>
    <cellStyle name="40% - Énfasis2 10" xfId="100"/>
    <cellStyle name="40% - Énfasis2 2" xfId="101"/>
    <cellStyle name="40% - Énfasis2 2 2" xfId="102"/>
    <cellStyle name="40% - Énfasis2 2 3" xfId="103"/>
    <cellStyle name="40% - Énfasis2 3" xfId="104"/>
    <cellStyle name="40% - Énfasis2 4" xfId="105"/>
    <cellStyle name="40% - Énfasis2 5" xfId="106"/>
    <cellStyle name="40% - Énfasis2 6" xfId="107"/>
    <cellStyle name="40% - Énfasis2 7" xfId="108"/>
    <cellStyle name="40% - Énfasis2 8" xfId="109"/>
    <cellStyle name="40% - Énfasis2 9" xfId="110"/>
    <cellStyle name="40% - Énfasis3" xfId="111"/>
    <cellStyle name="40% - Énfasis3 10" xfId="112"/>
    <cellStyle name="40% - Énfasis3 2" xfId="113"/>
    <cellStyle name="40% - Énfasis3 2 2" xfId="114"/>
    <cellStyle name="40% - Énfasis3 2 3" xfId="115"/>
    <cellStyle name="40% - Énfasis3 3" xfId="116"/>
    <cellStyle name="40% - Énfasis3 4" xfId="117"/>
    <cellStyle name="40% - Énfasis3 5" xfId="118"/>
    <cellStyle name="40% - Énfasis3 6" xfId="119"/>
    <cellStyle name="40% - Énfasis3 7" xfId="120"/>
    <cellStyle name="40% - Énfasis3 8" xfId="121"/>
    <cellStyle name="40% - Énfasis3 9" xfId="122"/>
    <cellStyle name="40% - Énfasis4" xfId="123"/>
    <cellStyle name="40% - Énfasis4 10" xfId="124"/>
    <cellStyle name="40% - Énfasis4 2" xfId="125"/>
    <cellStyle name="40% - Énfasis4 2 2" xfId="126"/>
    <cellStyle name="40% - Énfasis4 2 3" xfId="127"/>
    <cellStyle name="40% - Énfasis4 3" xfId="128"/>
    <cellStyle name="40% - Énfasis4 4" xfId="129"/>
    <cellStyle name="40% - Énfasis4 5" xfId="130"/>
    <cellStyle name="40% - Énfasis4 6" xfId="131"/>
    <cellStyle name="40% - Énfasis4 7" xfId="132"/>
    <cellStyle name="40% - Énfasis4 8" xfId="133"/>
    <cellStyle name="40% - Énfasis4 9" xfId="134"/>
    <cellStyle name="40% - Énfasis5" xfId="135"/>
    <cellStyle name="40% - Énfasis5 10" xfId="136"/>
    <cellStyle name="40% - Énfasis5 2" xfId="137"/>
    <cellStyle name="40% - Énfasis5 2 2" xfId="138"/>
    <cellStyle name="40% - Énfasis5 2 3" xfId="139"/>
    <cellStyle name="40% - Énfasis5 3" xfId="140"/>
    <cellStyle name="40% - Énfasis5 4" xfId="141"/>
    <cellStyle name="40% - Énfasis5 5" xfId="142"/>
    <cellStyle name="40% - Énfasis5 6" xfId="143"/>
    <cellStyle name="40% - Énfasis5 7" xfId="144"/>
    <cellStyle name="40% - Énfasis5 8" xfId="145"/>
    <cellStyle name="40% - Énfasis5 9" xfId="146"/>
    <cellStyle name="40% - Énfasis6" xfId="147"/>
    <cellStyle name="40% - Énfasis6 10" xfId="148"/>
    <cellStyle name="40% - Énfasis6 2" xfId="149"/>
    <cellStyle name="40% - Énfasis6 2 2" xfId="150"/>
    <cellStyle name="40% - Énfasis6 2 3" xfId="151"/>
    <cellStyle name="40% - Énfasis6 3" xfId="152"/>
    <cellStyle name="40% - Énfasis6 4" xfId="153"/>
    <cellStyle name="40% - Énfasis6 5" xfId="154"/>
    <cellStyle name="40% - Énfasis6 6" xfId="155"/>
    <cellStyle name="40% - Énfasis6 7" xfId="156"/>
    <cellStyle name="40% - Énfasis6 8" xfId="157"/>
    <cellStyle name="40% - Énfasis6 9" xfId="158"/>
    <cellStyle name="60% - Énfasis1" xfId="159"/>
    <cellStyle name="60% - Énfasis1 10" xfId="160"/>
    <cellStyle name="60% - Énfasis1 2" xfId="161"/>
    <cellStyle name="60% - Énfasis1 2 2" xfId="162"/>
    <cellStyle name="60% - Énfasis1 2 3" xfId="163"/>
    <cellStyle name="60% - Énfasis1 3" xfId="164"/>
    <cellStyle name="60% - Énfasis1 4" xfId="165"/>
    <cellStyle name="60% - Énfasis1 5" xfId="166"/>
    <cellStyle name="60% - Énfasis1 6" xfId="167"/>
    <cellStyle name="60% - Énfasis1 7" xfId="168"/>
    <cellStyle name="60% - Énfasis1 8" xfId="169"/>
    <cellStyle name="60% - Énfasis1 9" xfId="170"/>
    <cellStyle name="60% - Énfasis2" xfId="171"/>
    <cellStyle name="60% - Énfasis2 10" xfId="172"/>
    <cellStyle name="60% - Énfasis2 2" xfId="173"/>
    <cellStyle name="60% - Énfasis2 2 2" xfId="174"/>
    <cellStyle name="60% - Énfasis2 2 3" xfId="175"/>
    <cellStyle name="60% - Énfasis2 3" xfId="176"/>
    <cellStyle name="60% - Énfasis2 4" xfId="177"/>
    <cellStyle name="60% - Énfasis2 5" xfId="178"/>
    <cellStyle name="60% - Énfasis2 6" xfId="179"/>
    <cellStyle name="60% - Énfasis2 7" xfId="180"/>
    <cellStyle name="60% - Énfasis2 8" xfId="181"/>
    <cellStyle name="60% - Énfasis2 9" xfId="182"/>
    <cellStyle name="60% - Énfasis3" xfId="183"/>
    <cellStyle name="60% - Énfasis3 10" xfId="184"/>
    <cellStyle name="60% - Énfasis3 2" xfId="185"/>
    <cellStyle name="60% - Énfasis3 2 2" xfId="186"/>
    <cellStyle name="60% - Énfasis3 2 3" xfId="187"/>
    <cellStyle name="60% - Énfasis3 3" xfId="188"/>
    <cellStyle name="60% - Énfasis3 4" xfId="189"/>
    <cellStyle name="60% - Énfasis3 5" xfId="190"/>
    <cellStyle name="60% - Énfasis3 6" xfId="191"/>
    <cellStyle name="60% - Énfasis3 7" xfId="192"/>
    <cellStyle name="60% - Énfasis3 8" xfId="193"/>
    <cellStyle name="60% - Énfasis3 9" xfId="194"/>
    <cellStyle name="60% - Énfasis4" xfId="195"/>
    <cellStyle name="60% - Énfasis4 10" xfId="196"/>
    <cellStyle name="60% - Énfasis4 2" xfId="197"/>
    <cellStyle name="60% - Énfasis4 2 2" xfId="198"/>
    <cellStyle name="60% - Énfasis4 2 3" xfId="199"/>
    <cellStyle name="60% - Énfasis4 3" xfId="200"/>
    <cellStyle name="60% - Énfasis4 4" xfId="201"/>
    <cellStyle name="60% - Énfasis4 5" xfId="202"/>
    <cellStyle name="60% - Énfasis4 6" xfId="203"/>
    <cellStyle name="60% - Énfasis4 7" xfId="204"/>
    <cellStyle name="60% - Énfasis4 8" xfId="205"/>
    <cellStyle name="60% - Énfasis4 9" xfId="206"/>
    <cellStyle name="60% - Énfasis5" xfId="207"/>
    <cellStyle name="60% - Énfasis5 10" xfId="208"/>
    <cellStyle name="60% - Énfasis5 2" xfId="209"/>
    <cellStyle name="60% - Énfasis5 2 2" xfId="210"/>
    <cellStyle name="60% - Énfasis5 2 3" xfId="211"/>
    <cellStyle name="60% - Énfasis5 3" xfId="212"/>
    <cellStyle name="60% - Énfasis5 4" xfId="213"/>
    <cellStyle name="60% - Énfasis5 5" xfId="214"/>
    <cellStyle name="60% - Énfasis5 6" xfId="215"/>
    <cellStyle name="60% - Énfasis5 7" xfId="216"/>
    <cellStyle name="60% - Énfasis5 8" xfId="217"/>
    <cellStyle name="60% - Énfasis5 9" xfId="218"/>
    <cellStyle name="60% - Énfasis6" xfId="219"/>
    <cellStyle name="60% - Énfasis6 10" xfId="220"/>
    <cellStyle name="60% - Énfasis6 2" xfId="221"/>
    <cellStyle name="60% - Énfasis6 2 2" xfId="222"/>
    <cellStyle name="60% - Énfasis6 2 3" xfId="223"/>
    <cellStyle name="60% - Énfasis6 3" xfId="224"/>
    <cellStyle name="60% - Énfasis6 4" xfId="225"/>
    <cellStyle name="60% - Énfasis6 5" xfId="226"/>
    <cellStyle name="60% - Énfasis6 6" xfId="227"/>
    <cellStyle name="60% - Énfasis6 7" xfId="228"/>
    <cellStyle name="60% - Énfasis6 8" xfId="229"/>
    <cellStyle name="60% - Énfasis6 9" xfId="230"/>
    <cellStyle name="Buena" xfId="231"/>
    <cellStyle name="Buena 10" xfId="232"/>
    <cellStyle name="Buena 2" xfId="233"/>
    <cellStyle name="Buena 2 2" xfId="234"/>
    <cellStyle name="Buena 2 3" xfId="235"/>
    <cellStyle name="Buena 3" xfId="236"/>
    <cellStyle name="Buena 4" xfId="237"/>
    <cellStyle name="Buena 5" xfId="238"/>
    <cellStyle name="Buena 6" xfId="239"/>
    <cellStyle name="Buena 7" xfId="240"/>
    <cellStyle name="Buena 8" xfId="241"/>
    <cellStyle name="Buena 9" xfId="242"/>
    <cellStyle name="Cálculo" xfId="243"/>
    <cellStyle name="Cálculo 10" xfId="244"/>
    <cellStyle name="Cálculo 2" xfId="245"/>
    <cellStyle name="Cálculo 2 2" xfId="246"/>
    <cellStyle name="Cálculo 2 3" xfId="247"/>
    <cellStyle name="Cálculo 3" xfId="248"/>
    <cellStyle name="Cálculo 4" xfId="249"/>
    <cellStyle name="Cálculo 5" xfId="250"/>
    <cellStyle name="Cálculo 6" xfId="251"/>
    <cellStyle name="Cálculo 7" xfId="252"/>
    <cellStyle name="Cálculo 8" xfId="253"/>
    <cellStyle name="Cálculo 9" xfId="254"/>
    <cellStyle name="Cancel" xfId="255"/>
    <cellStyle name="Cancel 2" xfId="256"/>
    <cellStyle name="Celda de comprobación" xfId="257"/>
    <cellStyle name="Celda de comprobación 10" xfId="258"/>
    <cellStyle name="Celda de comprobación 2" xfId="259"/>
    <cellStyle name="Celda de comprobación 2 2" xfId="260"/>
    <cellStyle name="Celda de comprobación 2 3" xfId="261"/>
    <cellStyle name="Celda de comprobación 3" xfId="262"/>
    <cellStyle name="Celda de comprobación 4" xfId="263"/>
    <cellStyle name="Celda de comprobación 5" xfId="264"/>
    <cellStyle name="Celda de comprobación 6" xfId="265"/>
    <cellStyle name="Celda de comprobación 7" xfId="266"/>
    <cellStyle name="Celda de comprobación 8" xfId="267"/>
    <cellStyle name="Celda de comprobación 9" xfId="268"/>
    <cellStyle name="Celda vinculada" xfId="269"/>
    <cellStyle name="Celda vinculada 10" xfId="270"/>
    <cellStyle name="Celda vinculada 2" xfId="271"/>
    <cellStyle name="Celda vinculada 2 2" xfId="272"/>
    <cellStyle name="Celda vinculada 2 3" xfId="273"/>
    <cellStyle name="Celda vinculada 3" xfId="274"/>
    <cellStyle name="Celda vinculada 4" xfId="275"/>
    <cellStyle name="Celda vinculada 5" xfId="276"/>
    <cellStyle name="Celda vinculada 6" xfId="277"/>
    <cellStyle name="Celda vinculada 7" xfId="278"/>
    <cellStyle name="Celda vinculada 8" xfId="279"/>
    <cellStyle name="Celda vinculada 9" xfId="280"/>
    <cellStyle name="Diseño" xfId="281"/>
    <cellStyle name="Encabezado 1" xfId="282"/>
    <cellStyle name="Encabezado 4" xfId="283"/>
    <cellStyle name="Encabezado 4 10" xfId="284"/>
    <cellStyle name="Encabezado 4 2" xfId="285"/>
    <cellStyle name="Encabezado 4 2 2" xfId="286"/>
    <cellStyle name="Encabezado 4 2 3" xfId="287"/>
    <cellStyle name="Encabezado 4 3" xfId="288"/>
    <cellStyle name="Encabezado 4 4" xfId="289"/>
    <cellStyle name="Encabezado 4 5" xfId="290"/>
    <cellStyle name="Encabezado 4 6" xfId="291"/>
    <cellStyle name="Encabezado 4 7" xfId="292"/>
    <cellStyle name="Encabezado 4 8" xfId="293"/>
    <cellStyle name="Encabezado 4 9" xfId="294"/>
    <cellStyle name="Énfasis1" xfId="295"/>
    <cellStyle name="Énfasis1 10" xfId="296"/>
    <cellStyle name="Énfasis1 2" xfId="297"/>
    <cellStyle name="Énfasis1 2 2" xfId="298"/>
    <cellStyle name="Énfasis1 2 3" xfId="299"/>
    <cellStyle name="Énfasis1 3" xfId="300"/>
    <cellStyle name="Énfasis1 4" xfId="301"/>
    <cellStyle name="Énfasis1 5" xfId="302"/>
    <cellStyle name="Énfasis1 6" xfId="303"/>
    <cellStyle name="Énfasis1 7" xfId="304"/>
    <cellStyle name="Énfasis1 8" xfId="305"/>
    <cellStyle name="Énfasis1 9" xfId="306"/>
    <cellStyle name="Énfasis2" xfId="307"/>
    <cellStyle name="Énfasis2 10" xfId="308"/>
    <cellStyle name="Énfasis2 2" xfId="309"/>
    <cellStyle name="Énfasis2 2 2" xfId="310"/>
    <cellStyle name="Énfasis2 2 3" xfId="311"/>
    <cellStyle name="Énfasis2 3" xfId="312"/>
    <cellStyle name="Énfasis2 4" xfId="313"/>
    <cellStyle name="Énfasis2 5" xfId="314"/>
    <cellStyle name="Énfasis2 6" xfId="315"/>
    <cellStyle name="Énfasis2 7" xfId="316"/>
    <cellStyle name="Énfasis2 8" xfId="317"/>
    <cellStyle name="Énfasis2 9" xfId="318"/>
    <cellStyle name="Énfasis3" xfId="319"/>
    <cellStyle name="Énfasis3 10" xfId="320"/>
    <cellStyle name="Énfasis3 2" xfId="321"/>
    <cellStyle name="Énfasis3 2 2" xfId="322"/>
    <cellStyle name="Énfasis3 2 3" xfId="323"/>
    <cellStyle name="Énfasis3 3" xfId="324"/>
    <cellStyle name="Énfasis3 4" xfId="325"/>
    <cellStyle name="Énfasis3 5" xfId="326"/>
    <cellStyle name="Énfasis3 6" xfId="327"/>
    <cellStyle name="Énfasis3 7" xfId="328"/>
    <cellStyle name="Énfasis3 8" xfId="329"/>
    <cellStyle name="Énfasis3 9" xfId="330"/>
    <cellStyle name="Énfasis4" xfId="331"/>
    <cellStyle name="Énfasis4 10" xfId="332"/>
    <cellStyle name="Énfasis4 2" xfId="333"/>
    <cellStyle name="Énfasis4 2 2" xfId="334"/>
    <cellStyle name="Énfasis4 2 3" xfId="335"/>
    <cellStyle name="Énfasis4 3" xfId="336"/>
    <cellStyle name="Énfasis4 4" xfId="337"/>
    <cellStyle name="Énfasis4 5" xfId="338"/>
    <cellStyle name="Énfasis4 6" xfId="339"/>
    <cellStyle name="Énfasis4 7" xfId="340"/>
    <cellStyle name="Énfasis4 8" xfId="341"/>
    <cellStyle name="Énfasis4 9" xfId="342"/>
    <cellStyle name="Énfasis5" xfId="343"/>
    <cellStyle name="Énfasis5 10" xfId="344"/>
    <cellStyle name="Énfasis5 2" xfId="345"/>
    <cellStyle name="Énfasis5 2 2" xfId="346"/>
    <cellStyle name="Énfasis5 2 3" xfId="347"/>
    <cellStyle name="Énfasis5 3" xfId="348"/>
    <cellStyle name="Énfasis5 4" xfId="349"/>
    <cellStyle name="Énfasis5 5" xfId="350"/>
    <cellStyle name="Énfasis5 6" xfId="351"/>
    <cellStyle name="Énfasis5 7" xfId="352"/>
    <cellStyle name="Énfasis5 8" xfId="353"/>
    <cellStyle name="Énfasis5 9" xfId="354"/>
    <cellStyle name="Énfasis6" xfId="355"/>
    <cellStyle name="Énfasis6 10" xfId="356"/>
    <cellStyle name="Énfasis6 2" xfId="357"/>
    <cellStyle name="Énfasis6 2 2" xfId="358"/>
    <cellStyle name="Énfasis6 2 3" xfId="359"/>
    <cellStyle name="Énfasis6 3" xfId="360"/>
    <cellStyle name="Énfasis6 4" xfId="361"/>
    <cellStyle name="Énfasis6 5" xfId="362"/>
    <cellStyle name="Énfasis6 6" xfId="363"/>
    <cellStyle name="Énfasis6 7" xfId="364"/>
    <cellStyle name="Énfasis6 8" xfId="365"/>
    <cellStyle name="Énfasis6 9" xfId="366"/>
    <cellStyle name="Entrada" xfId="367"/>
    <cellStyle name="Entrada 10" xfId="368"/>
    <cellStyle name="Entrada 2" xfId="369"/>
    <cellStyle name="Entrada 2 2" xfId="370"/>
    <cellStyle name="Entrada 2 3" xfId="371"/>
    <cellStyle name="Entrada 3" xfId="372"/>
    <cellStyle name="Entrada 4" xfId="373"/>
    <cellStyle name="Entrada 5" xfId="374"/>
    <cellStyle name="Entrada 6" xfId="375"/>
    <cellStyle name="Entrada 7" xfId="376"/>
    <cellStyle name="Entrada 8" xfId="377"/>
    <cellStyle name="Entrada 9" xfId="378"/>
    <cellStyle name="Hyperlink" xfId="379"/>
    <cellStyle name="Followed Hyperlink" xfId="380"/>
    <cellStyle name="Incorrecto" xfId="381"/>
    <cellStyle name="Incorrecto 10" xfId="382"/>
    <cellStyle name="Incorrecto 2" xfId="383"/>
    <cellStyle name="Incorrecto 2 2" xfId="384"/>
    <cellStyle name="Incorrecto 2 3" xfId="385"/>
    <cellStyle name="Incorrecto 3" xfId="386"/>
    <cellStyle name="Incorrecto 4" xfId="387"/>
    <cellStyle name="Incorrecto 5" xfId="388"/>
    <cellStyle name="Incorrecto 6" xfId="389"/>
    <cellStyle name="Incorrecto 7" xfId="390"/>
    <cellStyle name="Incorrecto 8" xfId="391"/>
    <cellStyle name="Incorrecto 9" xfId="392"/>
    <cellStyle name="Comma" xfId="393"/>
    <cellStyle name="Comma [0]" xfId="394"/>
    <cellStyle name="Currency" xfId="395"/>
    <cellStyle name="Currency [0]" xfId="396"/>
    <cellStyle name="Neutral" xfId="397"/>
    <cellStyle name="Neutral 10" xfId="398"/>
    <cellStyle name="Neutral 2" xfId="399"/>
    <cellStyle name="Neutral 2 2" xfId="400"/>
    <cellStyle name="Neutral 2 3" xfId="401"/>
    <cellStyle name="Neutral 3" xfId="402"/>
    <cellStyle name="Neutral 4" xfId="403"/>
    <cellStyle name="Neutral 5" xfId="404"/>
    <cellStyle name="Neutral 6" xfId="405"/>
    <cellStyle name="Neutral 7" xfId="406"/>
    <cellStyle name="Neutral 8" xfId="407"/>
    <cellStyle name="Neutral 9" xfId="408"/>
    <cellStyle name="Normal 10" xfId="409"/>
    <cellStyle name="Normal 2" xfId="410"/>
    <cellStyle name="Normal 2 2" xfId="411"/>
    <cellStyle name="Normal 2 3" xfId="412"/>
    <cellStyle name="Normal 3" xfId="413"/>
    <cellStyle name="Normal 4" xfId="414"/>
    <cellStyle name="Normal 5" xfId="415"/>
    <cellStyle name="Normal 6" xfId="416"/>
    <cellStyle name="Normal 7" xfId="417"/>
    <cellStyle name="Normal 8" xfId="418"/>
    <cellStyle name="Normal 9" xfId="419"/>
    <cellStyle name="Notas" xfId="420"/>
    <cellStyle name="Notas 10" xfId="421"/>
    <cellStyle name="Notas 2" xfId="422"/>
    <cellStyle name="Notas 2 2" xfId="423"/>
    <cellStyle name="Notas 2 3" xfId="424"/>
    <cellStyle name="Notas 3" xfId="425"/>
    <cellStyle name="Notas 4" xfId="426"/>
    <cellStyle name="Notas 5" xfId="427"/>
    <cellStyle name="Notas 6" xfId="428"/>
    <cellStyle name="Notas 7" xfId="429"/>
    <cellStyle name="Notas 8" xfId="430"/>
    <cellStyle name="Notas 9" xfId="431"/>
    <cellStyle name="Percent" xfId="432"/>
    <cellStyle name="Salida" xfId="433"/>
    <cellStyle name="Salida 10" xfId="434"/>
    <cellStyle name="Salida 2" xfId="435"/>
    <cellStyle name="Salida 2 2" xfId="436"/>
    <cellStyle name="Salida 2 3" xfId="437"/>
    <cellStyle name="Salida 3" xfId="438"/>
    <cellStyle name="Salida 4" xfId="439"/>
    <cellStyle name="Salida 5" xfId="440"/>
    <cellStyle name="Salida 6" xfId="441"/>
    <cellStyle name="Salida 7" xfId="442"/>
    <cellStyle name="Salida 8" xfId="443"/>
    <cellStyle name="Salida 9" xfId="444"/>
    <cellStyle name="Texto de advertencia" xfId="445"/>
    <cellStyle name="Texto de advertencia 10" xfId="446"/>
    <cellStyle name="Texto de advertencia 2" xfId="447"/>
    <cellStyle name="Texto de advertencia 2 2" xfId="448"/>
    <cellStyle name="Texto de advertencia 2 3" xfId="449"/>
    <cellStyle name="Texto de advertencia 3" xfId="450"/>
    <cellStyle name="Texto de advertencia 4" xfId="451"/>
    <cellStyle name="Texto de advertencia 5" xfId="452"/>
    <cellStyle name="Texto de advertencia 6" xfId="453"/>
    <cellStyle name="Texto de advertencia 7" xfId="454"/>
    <cellStyle name="Texto de advertencia 8" xfId="455"/>
    <cellStyle name="Texto de advertencia 9" xfId="456"/>
    <cellStyle name="Texto explicativo" xfId="457"/>
    <cellStyle name="Texto explicativo 10" xfId="458"/>
    <cellStyle name="Texto explicativo 2" xfId="459"/>
    <cellStyle name="Texto explicativo 2 2" xfId="460"/>
    <cellStyle name="Texto explicativo 2 3" xfId="461"/>
    <cellStyle name="Texto explicativo 3" xfId="462"/>
    <cellStyle name="Texto explicativo 4" xfId="463"/>
    <cellStyle name="Texto explicativo 5" xfId="464"/>
    <cellStyle name="Texto explicativo 6" xfId="465"/>
    <cellStyle name="Texto explicativo 7" xfId="466"/>
    <cellStyle name="Texto explicativo 8" xfId="467"/>
    <cellStyle name="Texto explicativo 9" xfId="468"/>
    <cellStyle name="Título" xfId="469"/>
    <cellStyle name="Título 1 10" xfId="470"/>
    <cellStyle name="Título 1 2" xfId="471"/>
    <cellStyle name="Título 1 2 2" xfId="472"/>
    <cellStyle name="Título 1 2 3" xfId="473"/>
    <cellStyle name="Título 1 3" xfId="474"/>
    <cellStyle name="Título 1 4" xfId="475"/>
    <cellStyle name="Título 1 5" xfId="476"/>
    <cellStyle name="Título 1 6" xfId="477"/>
    <cellStyle name="Título 1 7" xfId="478"/>
    <cellStyle name="Título 1 8" xfId="479"/>
    <cellStyle name="Título 1 9" xfId="480"/>
    <cellStyle name="Título 10" xfId="481"/>
    <cellStyle name="Título 11" xfId="482"/>
    <cellStyle name="Título 12" xfId="483"/>
    <cellStyle name="Título 2" xfId="484"/>
    <cellStyle name="Título 2 10" xfId="485"/>
    <cellStyle name="Título 2 2" xfId="486"/>
    <cellStyle name="Título 2 2 2" xfId="487"/>
    <cellStyle name="Título 2 2 3" xfId="488"/>
    <cellStyle name="Título 2 3" xfId="489"/>
    <cellStyle name="Título 2 4" xfId="490"/>
    <cellStyle name="Título 2 5" xfId="491"/>
    <cellStyle name="Título 2 6" xfId="492"/>
    <cellStyle name="Título 2 7" xfId="493"/>
    <cellStyle name="Título 2 8" xfId="494"/>
    <cellStyle name="Título 2 9" xfId="495"/>
    <cellStyle name="Título 3" xfId="496"/>
    <cellStyle name="Título 3 10" xfId="497"/>
    <cellStyle name="Título 3 2" xfId="498"/>
    <cellStyle name="Título 3 2 2" xfId="499"/>
    <cellStyle name="Título 3 2 3" xfId="500"/>
    <cellStyle name="Título 3 3" xfId="501"/>
    <cellStyle name="Título 3 4" xfId="502"/>
    <cellStyle name="Título 3 5" xfId="503"/>
    <cellStyle name="Título 3 6" xfId="504"/>
    <cellStyle name="Título 3 7" xfId="505"/>
    <cellStyle name="Título 3 8" xfId="506"/>
    <cellStyle name="Título 3 9" xfId="507"/>
    <cellStyle name="Título 4" xfId="508"/>
    <cellStyle name="Título 4 2" xfId="509"/>
    <cellStyle name="Título 4 3" xfId="510"/>
    <cellStyle name="Título 5" xfId="511"/>
    <cellStyle name="Título 6" xfId="512"/>
    <cellStyle name="Título 7" xfId="513"/>
    <cellStyle name="Título 8" xfId="514"/>
    <cellStyle name="Título 9" xfId="515"/>
    <cellStyle name="Total" xfId="516"/>
    <cellStyle name="Total 10" xfId="517"/>
    <cellStyle name="Total 2" xfId="518"/>
    <cellStyle name="Total 2 2" xfId="519"/>
    <cellStyle name="Total 2 3" xfId="520"/>
    <cellStyle name="Total 3" xfId="521"/>
    <cellStyle name="Total 4" xfId="522"/>
    <cellStyle name="Total 5" xfId="523"/>
    <cellStyle name="Total 6" xfId="524"/>
    <cellStyle name="Total 7" xfId="525"/>
    <cellStyle name="Total 8" xfId="526"/>
    <cellStyle name="Total 9" xfId="5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47625</xdr:rowOff>
    </xdr:from>
    <xdr:to>
      <xdr:col>1</xdr:col>
      <xdr:colOff>6105525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6067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28</xdr:col>
      <xdr:colOff>295275</xdr:colOff>
      <xdr:row>3</xdr:row>
      <xdr:rowOff>28575</xdr:rowOff>
    </xdr:from>
    <xdr:ext cx="180975" cy="257175"/>
    <xdr:sp fLocksText="0">
      <xdr:nvSpPr>
        <xdr:cNvPr id="2" name="CuadroTexto 1"/>
        <xdr:cNvSpPr txBox="1">
          <a:spLocks noChangeArrowheads="1"/>
        </xdr:cNvSpPr>
      </xdr:nvSpPr>
      <xdr:spPr>
        <a:xfrm>
          <a:off x="21926550" y="5905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47625</xdr:rowOff>
    </xdr:from>
    <xdr:to>
      <xdr:col>1</xdr:col>
      <xdr:colOff>6105525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6067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38</xdr:col>
      <xdr:colOff>0</xdr:colOff>
      <xdr:row>2</xdr:row>
      <xdr:rowOff>28575</xdr:rowOff>
    </xdr:from>
    <xdr:ext cx="180975" cy="438150"/>
    <xdr:sp>
      <xdr:nvSpPr>
        <xdr:cNvPr id="2" name="CuadroTexto 2"/>
        <xdr:cNvSpPr txBox="1">
          <a:spLocks noChangeArrowheads="1"/>
        </xdr:cNvSpPr>
      </xdr:nvSpPr>
      <xdr:spPr>
        <a:xfrm>
          <a:off x="17697450" y="400050"/>
          <a:ext cx="180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41</xdr:col>
      <xdr:colOff>0</xdr:colOff>
      <xdr:row>2</xdr:row>
      <xdr:rowOff>28575</xdr:rowOff>
    </xdr:from>
    <xdr:ext cx="180975" cy="438150"/>
    <xdr:sp>
      <xdr:nvSpPr>
        <xdr:cNvPr id="3" name="CuadroTexto 3"/>
        <xdr:cNvSpPr txBox="1">
          <a:spLocks noChangeArrowheads="1"/>
        </xdr:cNvSpPr>
      </xdr:nvSpPr>
      <xdr:spPr>
        <a:xfrm>
          <a:off x="18611850" y="400050"/>
          <a:ext cx="180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47625</xdr:rowOff>
    </xdr:from>
    <xdr:to>
      <xdr:col>1</xdr:col>
      <xdr:colOff>6105525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6067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38</xdr:col>
      <xdr:colOff>0</xdr:colOff>
      <xdr:row>2</xdr:row>
      <xdr:rowOff>28575</xdr:rowOff>
    </xdr:from>
    <xdr:ext cx="180975" cy="438150"/>
    <xdr:sp>
      <xdr:nvSpPr>
        <xdr:cNvPr id="2" name="CuadroTexto 2"/>
        <xdr:cNvSpPr txBox="1">
          <a:spLocks noChangeArrowheads="1"/>
        </xdr:cNvSpPr>
      </xdr:nvSpPr>
      <xdr:spPr>
        <a:xfrm>
          <a:off x="17754600" y="400050"/>
          <a:ext cx="180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41</xdr:col>
      <xdr:colOff>0</xdr:colOff>
      <xdr:row>2</xdr:row>
      <xdr:rowOff>28575</xdr:rowOff>
    </xdr:from>
    <xdr:ext cx="180975" cy="438150"/>
    <xdr:sp>
      <xdr:nvSpPr>
        <xdr:cNvPr id="3" name="CuadroTexto 3"/>
        <xdr:cNvSpPr txBox="1">
          <a:spLocks noChangeArrowheads="1"/>
        </xdr:cNvSpPr>
      </xdr:nvSpPr>
      <xdr:spPr>
        <a:xfrm>
          <a:off x="18669000" y="400050"/>
          <a:ext cx="180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8"/>
  <sheetViews>
    <sheetView showGridLines="0" zoomScale="75" zoomScaleNormal="75" zoomScalePageLayoutView="0" workbookViewId="0" topLeftCell="A22">
      <selection activeCell="A22" sqref="A1:IV16384"/>
    </sheetView>
  </sheetViews>
  <sheetFormatPr defaultColWidth="11.421875" defaultRowHeight="15"/>
  <cols>
    <col min="1" max="1" width="3.28125" style="4" customWidth="1"/>
    <col min="2" max="2" width="50.140625" style="4" customWidth="1"/>
    <col min="3" max="4" width="19.7109375" style="4" customWidth="1"/>
    <col min="5" max="5" width="9.7109375" style="4" customWidth="1"/>
    <col min="6" max="6" width="18.00390625" style="0" customWidth="1"/>
    <col min="7" max="7" width="14.7109375" style="0" customWidth="1"/>
    <col min="8" max="16384" width="11.421875" style="4" customWidth="1"/>
  </cols>
  <sheetData>
    <row r="2" ht="20.25" customHeight="1">
      <c r="B2" s="29"/>
    </row>
    <row r="3" spans="2:7" ht="18">
      <c r="B3" s="43" t="s">
        <v>28</v>
      </c>
      <c r="C3" s="10"/>
      <c r="E3" s="3"/>
      <c r="F3" s="4"/>
      <c r="G3" s="4"/>
    </row>
    <row r="4" spans="2:7" ht="18">
      <c r="B4" s="44" t="s">
        <v>30</v>
      </c>
      <c r="C4" s="11"/>
      <c r="E4" s="3"/>
      <c r="F4" s="33">
        <v>0.386548125242</v>
      </c>
      <c r="G4" s="4"/>
    </row>
    <row r="5" spans="2:7" ht="16.5">
      <c r="B5" s="45" t="s">
        <v>19</v>
      </c>
      <c r="C5" s="2"/>
      <c r="E5" s="3"/>
      <c r="F5" s="4"/>
      <c r="G5" s="4"/>
    </row>
    <row r="6" spans="2:7" ht="15">
      <c r="B6" s="12" t="s">
        <v>13</v>
      </c>
      <c r="C6" s="12"/>
      <c r="E6" s="8"/>
      <c r="F6" s="7"/>
      <c r="G6" s="4"/>
    </row>
    <row r="7" spans="2:7" ht="9.75" customHeight="1">
      <c r="B7" s="1"/>
      <c r="C7" s="1"/>
      <c r="D7" s="6"/>
      <c r="E7" s="8"/>
      <c r="F7" s="7"/>
      <c r="G7" s="4"/>
    </row>
    <row r="8" spans="2:7" ht="18" customHeight="1">
      <c r="B8" s="610" t="s">
        <v>29</v>
      </c>
      <c r="C8" s="613" t="s">
        <v>14</v>
      </c>
      <c r="D8" s="616" t="s">
        <v>15</v>
      </c>
      <c r="E8" s="6"/>
      <c r="F8" s="6"/>
      <c r="G8" s="4"/>
    </row>
    <row r="9" spans="2:7" ht="18" customHeight="1">
      <c r="B9" s="611"/>
      <c r="C9" s="614"/>
      <c r="D9" s="617"/>
      <c r="E9" s="7"/>
      <c r="F9" s="6"/>
      <c r="G9" s="17"/>
    </row>
    <row r="10" spans="2:7" ht="18" customHeight="1">
      <c r="B10" s="612"/>
      <c r="C10" s="615"/>
      <c r="D10" s="618"/>
      <c r="E10" s="7"/>
      <c r="F10" s="7"/>
      <c r="G10" s="18">
        <v>0.387897595035</v>
      </c>
    </row>
    <row r="11" spans="2:7" ht="6.75" customHeight="1">
      <c r="B11" s="13"/>
      <c r="C11" s="20"/>
      <c r="D11" s="13"/>
      <c r="E11" s="7"/>
      <c r="F11" s="5"/>
      <c r="G11" s="19"/>
    </row>
    <row r="12" spans="2:4" ht="16.5">
      <c r="B12" s="22" t="s">
        <v>10</v>
      </c>
      <c r="C12" s="24">
        <f>+C13+C14</f>
        <v>37354.949783820004</v>
      </c>
      <c r="D12" s="14">
        <f>+D13+D14</f>
        <v>96637.25509064048</v>
      </c>
    </row>
    <row r="13" spans="2:4" ht="15.75">
      <c r="B13" s="23" t="s">
        <v>11</v>
      </c>
      <c r="C13" s="25">
        <v>16730.30712637</v>
      </c>
      <c r="D13" s="16">
        <f>+C13/$F$4</f>
        <v>43281.304535873576</v>
      </c>
    </row>
    <row r="14" spans="2:4" ht="15.75">
      <c r="B14" s="23" t="s">
        <v>12</v>
      </c>
      <c r="C14" s="25">
        <v>20624.64265745</v>
      </c>
      <c r="D14" s="16">
        <f>+C14/$F$4</f>
        <v>53355.95055476691</v>
      </c>
    </row>
    <row r="15" spans="2:4" ht="15.75">
      <c r="B15" s="23"/>
      <c r="C15" s="25"/>
      <c r="D15" s="16"/>
    </row>
    <row r="16" spans="2:4" ht="16.5">
      <c r="B16" s="22" t="s">
        <v>2</v>
      </c>
      <c r="C16" s="24">
        <f>+C18+C17</f>
        <v>37354.949783820004</v>
      </c>
      <c r="D16" s="14">
        <f>+D18+D17</f>
        <v>96637.2550906405</v>
      </c>
    </row>
    <row r="17" spans="2:4" ht="15.75">
      <c r="B17" s="23" t="s">
        <v>1</v>
      </c>
      <c r="C17" s="25">
        <v>10844.51316926</v>
      </c>
      <c r="D17" s="16">
        <f>+C17/$F$4</f>
        <v>28054.755568846052</v>
      </c>
    </row>
    <row r="18" spans="2:4" ht="15.75">
      <c r="B18" s="23" t="s">
        <v>0</v>
      </c>
      <c r="C18" s="25">
        <v>26510.43661456</v>
      </c>
      <c r="D18" s="16">
        <f>+C18/$F$4</f>
        <v>68582.49952179444</v>
      </c>
    </row>
    <row r="19" spans="2:4" ht="15">
      <c r="B19" s="9"/>
      <c r="C19" s="26"/>
      <c r="D19" s="15"/>
    </row>
    <row r="20" spans="2:4" ht="16.5">
      <c r="B20" s="22" t="s">
        <v>20</v>
      </c>
      <c r="C20" s="24">
        <f>+C21+C22</f>
        <v>37354.949783820004</v>
      </c>
      <c r="D20" s="14">
        <f>+D21+D22</f>
        <v>96637.2550906405</v>
      </c>
    </row>
    <row r="21" spans="2:4" ht="15.75">
      <c r="B21" s="23" t="s">
        <v>21</v>
      </c>
      <c r="C21" s="35">
        <v>0</v>
      </c>
      <c r="D21" s="34">
        <f>+C21/$F$4</f>
        <v>0</v>
      </c>
    </row>
    <row r="22" spans="2:4" ht="15.75">
      <c r="B22" s="23" t="s">
        <v>3</v>
      </c>
      <c r="C22" s="25">
        <v>37354.949783820004</v>
      </c>
      <c r="D22" s="16">
        <f>+C22/$F$4</f>
        <v>96637.2550906405</v>
      </c>
    </row>
    <row r="23" spans="2:4" ht="15.75">
      <c r="B23" s="23"/>
      <c r="C23" s="26"/>
      <c r="D23" s="15"/>
    </row>
    <row r="24" spans="2:4" ht="16.5">
      <c r="B24" s="22" t="s">
        <v>4</v>
      </c>
      <c r="C24" s="24">
        <f>+C25+C26</f>
        <v>37354.94978382</v>
      </c>
      <c r="D24" s="14">
        <f>+D25+D26</f>
        <v>96637.25509064048</v>
      </c>
    </row>
    <row r="25" spans="2:4" ht="15.75">
      <c r="B25" s="23" t="s">
        <v>5</v>
      </c>
      <c r="C25" s="25">
        <v>16872.994352899997</v>
      </c>
      <c r="D25" s="16">
        <f>+C25/$F$4</f>
        <v>43650.43639090629</v>
      </c>
    </row>
    <row r="26" spans="2:4" ht="15.75">
      <c r="B26" s="23" t="s">
        <v>6</v>
      </c>
      <c r="C26" s="25">
        <v>20481.95543092</v>
      </c>
      <c r="D26" s="16">
        <f>+C26/$F$4</f>
        <v>52986.81869973419</v>
      </c>
    </row>
    <row r="27" spans="2:4" ht="15">
      <c r="B27" s="9"/>
      <c r="C27" s="26"/>
      <c r="D27" s="15"/>
    </row>
    <row r="28" spans="2:4" ht="16.5">
      <c r="B28" s="22" t="s">
        <v>7</v>
      </c>
      <c r="C28" s="24">
        <f>+C29+C30</f>
        <v>37354.94978382</v>
      </c>
      <c r="D28" s="14">
        <f>+D29+D30</f>
        <v>96637.2550906405</v>
      </c>
    </row>
    <row r="29" spans="2:4" ht="15.75">
      <c r="B29" s="23" t="s">
        <v>8</v>
      </c>
      <c r="C29" s="25">
        <v>31991.4206962</v>
      </c>
      <c r="D29" s="16">
        <f>+C29/$F$4</f>
        <v>82761.80534098217</v>
      </c>
    </row>
    <row r="30" spans="2:4" ht="15.75">
      <c r="B30" s="23" t="s">
        <v>9</v>
      </c>
      <c r="C30" s="25">
        <v>5363.529087620001</v>
      </c>
      <c r="D30" s="16">
        <f>+C30/$F$4</f>
        <v>13875.449749658317</v>
      </c>
    </row>
    <row r="31" spans="2:4" ht="9.75" customHeight="1">
      <c r="B31" s="23"/>
      <c r="C31" s="25"/>
      <c r="D31" s="16"/>
    </row>
    <row r="32" spans="2:4" ht="9" customHeight="1">
      <c r="B32" s="30"/>
      <c r="C32" s="31"/>
      <c r="D32" s="32"/>
    </row>
    <row r="33" spans="2:4" ht="16.5">
      <c r="B33" s="22" t="s">
        <v>16</v>
      </c>
      <c r="C33" s="39">
        <f>+C34+C35</f>
        <v>63.64928117000001</v>
      </c>
      <c r="D33" s="41">
        <f>+D34+D35</f>
        <v>164.66069038661647</v>
      </c>
    </row>
    <row r="34" spans="2:4" ht="15.75">
      <c r="B34" s="23" t="s">
        <v>17</v>
      </c>
      <c r="C34" s="36">
        <v>62.071004650000006</v>
      </c>
      <c r="D34" s="38">
        <f>+C34/$F$4</f>
        <v>160.57768902938076</v>
      </c>
    </row>
    <row r="35" spans="2:4" ht="15.75">
      <c r="B35" s="23" t="s">
        <v>23</v>
      </c>
      <c r="C35" s="36">
        <v>1.57827652</v>
      </c>
      <c r="D35" s="38">
        <f>+C35/$F$4</f>
        <v>4.0830013572356965</v>
      </c>
    </row>
    <row r="36" spans="2:4" ht="15.75">
      <c r="B36" s="23" t="s">
        <v>18</v>
      </c>
      <c r="C36" s="36">
        <v>2468.44097579</v>
      </c>
      <c r="D36" s="38">
        <f>+C36/$F$4</f>
        <v>6385.856804361999</v>
      </c>
    </row>
    <row r="37" spans="2:4" ht="9" customHeight="1">
      <c r="B37" s="23"/>
      <c r="C37" s="36"/>
      <c r="D37" s="38"/>
    </row>
    <row r="38" spans="2:4" ht="16.5">
      <c r="B38" s="22" t="s">
        <v>25</v>
      </c>
      <c r="C38" s="39">
        <f>SUM(C39:C42)</f>
        <v>1349.8489876800002</v>
      </c>
      <c r="D38" s="41">
        <f>SUM(D39:D42)</f>
        <v>3492.0593311244793</v>
      </c>
    </row>
    <row r="39" spans="2:4" ht="15.75">
      <c r="B39" s="23" t="s">
        <v>22</v>
      </c>
      <c r="C39" s="36">
        <f>187.08152591+70.11669145</f>
        <v>257.19821736</v>
      </c>
      <c r="D39" s="38">
        <f>+C39/$F$4</f>
        <v>665.3717883096188</v>
      </c>
    </row>
    <row r="40" spans="2:4" ht="15.75">
      <c r="B40" s="23" t="s">
        <v>17</v>
      </c>
      <c r="C40" s="37">
        <v>0.43328296</v>
      </c>
      <c r="D40" s="38">
        <f>+C40/$F$4</f>
        <v>1.1209030175188186</v>
      </c>
    </row>
    <row r="41" spans="2:4" ht="15.75">
      <c r="B41" s="23" t="s">
        <v>23</v>
      </c>
      <c r="C41" s="36">
        <v>885.01545959</v>
      </c>
      <c r="D41" s="38">
        <f>+C41/$F$4</f>
        <v>2289.534993956917</v>
      </c>
    </row>
    <row r="42" spans="2:4" ht="15.75">
      <c r="B42" s="23" t="s">
        <v>24</v>
      </c>
      <c r="C42" s="36">
        <v>207.20202777</v>
      </c>
      <c r="D42" s="38">
        <f>+C42/$F$4</f>
        <v>536.0316458404251</v>
      </c>
    </row>
    <row r="43" spans="2:4" ht="8.25" customHeight="1">
      <c r="B43" s="21"/>
      <c r="C43" s="40"/>
      <c r="D43" s="27"/>
    </row>
    <row r="44" ht="6.75" customHeight="1"/>
    <row r="45" ht="15">
      <c r="B45" s="28" t="s">
        <v>31</v>
      </c>
    </row>
    <row r="46" ht="15">
      <c r="B46" s="4" t="s">
        <v>32</v>
      </c>
    </row>
    <row r="47" ht="15">
      <c r="B47" s="28" t="s">
        <v>27</v>
      </c>
    </row>
    <row r="48" ht="15">
      <c r="B48" s="42" t="s">
        <v>26</v>
      </c>
    </row>
  </sheetData>
  <sheetProtection/>
  <mergeCells count="3">
    <mergeCell ref="B8:B10"/>
    <mergeCell ref="C8:C10"/>
    <mergeCell ref="D8:D10"/>
  </mergeCells>
  <printOptions/>
  <pageMargins left="0.97" right="0.7086614173228347" top="0.8661417322834646" bottom="0.7480314960629921" header="0.31496062992125984" footer="0.31496062992125984"/>
  <pageSetup horizontalDpi="600" verticalDpi="600" orientation="portrait" paperSize="9" scale="80" r:id="rId1"/>
  <headerFooter>
    <oddFooter>&amp;C&amp;"Tahoma,Normal"&amp;12 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R147"/>
  <sheetViews>
    <sheetView showGridLines="0" zoomScale="75" zoomScaleNormal="7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:IV16384"/>
    </sheetView>
  </sheetViews>
  <sheetFormatPr defaultColWidth="11.421875" defaultRowHeight="15"/>
  <cols>
    <col min="1" max="1" width="3.28125" style="4" customWidth="1"/>
    <col min="2" max="2" width="93.7109375" style="4" customWidth="1"/>
    <col min="3" max="10" width="14.7109375" style="4" customWidth="1"/>
    <col min="11" max="14" width="13.7109375" style="4" customWidth="1"/>
    <col min="15" max="16" width="13.7109375" style="4" hidden="1" customWidth="1"/>
    <col min="17" max="17" width="13.7109375" style="4" customWidth="1"/>
    <col min="18" max="19" width="13.7109375" style="0" hidden="1" customWidth="1"/>
    <col min="20" max="20" width="13.7109375" style="0" customWidth="1"/>
    <col min="21" max="22" width="13.7109375" style="0" hidden="1" customWidth="1"/>
    <col min="23" max="23" width="13.7109375" style="0" customWidth="1"/>
    <col min="24" max="25" width="13.7109375" style="0" hidden="1" customWidth="1"/>
    <col min="26" max="26" width="13.7109375" style="0" customWidth="1"/>
    <col min="27" max="28" width="13.7109375" style="0" hidden="1" customWidth="1"/>
    <col min="29" max="29" width="13.7109375" style="0" customWidth="1"/>
    <col min="30" max="31" width="13.7109375" style="0" hidden="1" customWidth="1"/>
    <col min="32" max="33" width="13.7109375" style="0" customWidth="1"/>
    <col min="34" max="16384" width="11.421875" style="4" customWidth="1"/>
  </cols>
  <sheetData>
    <row r="1" ht="14.25" customHeight="1"/>
    <row r="2" spans="2:12" ht="1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1" ht="15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2:18" ht="20.25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R4" s="4"/>
    </row>
    <row r="5" spans="2:31" ht="18">
      <c r="B5" s="44" t="s">
        <v>84</v>
      </c>
      <c r="K5" s="89"/>
      <c r="L5" s="89"/>
      <c r="M5" s="11"/>
      <c r="N5" s="11"/>
      <c r="O5" s="11"/>
      <c r="P5" s="29"/>
      <c r="Q5" s="46"/>
      <c r="R5" s="33"/>
      <c r="S5" s="4"/>
      <c r="T5" s="4"/>
      <c r="U5" s="4"/>
      <c r="V5" s="4"/>
      <c r="W5" s="4"/>
      <c r="X5" s="4"/>
      <c r="Y5" s="4"/>
      <c r="Z5" s="4"/>
      <c r="AA5" s="4"/>
      <c r="AB5" s="4"/>
      <c r="AC5" s="89" t="s">
        <v>73</v>
      </c>
      <c r="AD5" s="4"/>
      <c r="AE5" s="4"/>
    </row>
    <row r="6" spans="2:33" ht="18">
      <c r="B6" s="220" t="s">
        <v>88</v>
      </c>
      <c r="M6" s="11"/>
      <c r="N6" s="11"/>
      <c r="O6" s="11"/>
      <c r="Q6" s="46"/>
      <c r="R6" s="3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33" ht="16.5">
      <c r="B7" s="54" t="s">
        <v>95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2"/>
      <c r="N7" s="2"/>
      <c r="O7" s="2"/>
      <c r="P7" s="29"/>
      <c r="Q7" s="46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2:33" ht="15">
      <c r="B8" s="55" t="s">
        <v>39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12"/>
      <c r="N8" s="12"/>
      <c r="O8" s="12"/>
      <c r="P8" s="29"/>
      <c r="Q8" s="47"/>
      <c r="R8" s="7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2:33" ht="6.75" customHeight="1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12"/>
      <c r="N9" s="12"/>
      <c r="O9" s="12"/>
      <c r="P9" s="29"/>
      <c r="Q9" s="47"/>
      <c r="R9" s="7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2:33" ht="19.5" customHeight="1">
      <c r="B10" s="649" t="s">
        <v>87</v>
      </c>
      <c r="C10" s="691">
        <v>2010</v>
      </c>
      <c r="D10" s="692"/>
      <c r="E10" s="692"/>
      <c r="F10" s="693"/>
      <c r="G10" s="667">
        <v>2011</v>
      </c>
      <c r="H10" s="668"/>
      <c r="I10" s="668"/>
      <c r="J10" s="669"/>
      <c r="K10" s="672">
        <v>2012</v>
      </c>
      <c r="L10" s="673"/>
      <c r="M10" s="673"/>
      <c r="N10" s="674"/>
      <c r="O10" s="625">
        <v>2013</v>
      </c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7"/>
      <c r="AA10" s="277">
        <v>2014</v>
      </c>
      <c r="AB10" s="278"/>
      <c r="AC10" s="625">
        <v>2014</v>
      </c>
      <c r="AD10" s="626"/>
      <c r="AE10" s="626"/>
      <c r="AF10" s="626"/>
      <c r="AG10" s="627"/>
    </row>
    <row r="11" spans="2:33" ht="13.5" customHeight="1">
      <c r="B11" s="650"/>
      <c r="C11" s="689" t="s">
        <v>35</v>
      </c>
      <c r="D11" s="689" t="s">
        <v>74</v>
      </c>
      <c r="E11" s="639" t="s">
        <v>77</v>
      </c>
      <c r="F11" s="690" t="s">
        <v>80</v>
      </c>
      <c r="G11" s="663" t="s">
        <v>35</v>
      </c>
      <c r="H11" s="663" t="s">
        <v>74</v>
      </c>
      <c r="I11" s="641" t="s">
        <v>77</v>
      </c>
      <c r="J11" s="638" t="s">
        <v>80</v>
      </c>
      <c r="K11" s="663" t="s">
        <v>35</v>
      </c>
      <c r="L11" s="663" t="s">
        <v>74</v>
      </c>
      <c r="M11" s="641" t="s">
        <v>77</v>
      </c>
      <c r="N11" s="638" t="s">
        <v>80</v>
      </c>
      <c r="O11" s="639" t="s">
        <v>33</v>
      </c>
      <c r="P11" s="639" t="s">
        <v>34</v>
      </c>
      <c r="Q11" s="639" t="s">
        <v>35</v>
      </c>
      <c r="R11" s="639" t="s">
        <v>36</v>
      </c>
      <c r="S11" s="637" t="s">
        <v>37</v>
      </c>
      <c r="T11" s="637" t="s">
        <v>74</v>
      </c>
      <c r="U11" s="637" t="s">
        <v>75</v>
      </c>
      <c r="V11" s="637" t="s">
        <v>76</v>
      </c>
      <c r="W11" s="637" t="s">
        <v>77</v>
      </c>
      <c r="X11" s="637" t="s">
        <v>78</v>
      </c>
      <c r="Y11" s="637" t="s">
        <v>79</v>
      </c>
      <c r="Z11" s="638" t="s">
        <v>80</v>
      </c>
      <c r="AA11" s="637" t="s">
        <v>33</v>
      </c>
      <c r="AB11" s="637" t="s">
        <v>34</v>
      </c>
      <c r="AC11" s="637" t="s">
        <v>35</v>
      </c>
      <c r="AD11" s="637" t="s">
        <v>36</v>
      </c>
      <c r="AE11" s="637" t="s">
        <v>37</v>
      </c>
      <c r="AF11" s="631" t="s">
        <v>74</v>
      </c>
      <c r="AG11" s="619" t="s">
        <v>75</v>
      </c>
    </row>
    <row r="12" spans="2:33" ht="11.25" customHeight="1">
      <c r="B12" s="651"/>
      <c r="C12" s="664"/>
      <c r="D12" s="664"/>
      <c r="E12" s="640"/>
      <c r="F12" s="660"/>
      <c r="G12" s="664"/>
      <c r="H12" s="664"/>
      <c r="I12" s="640"/>
      <c r="J12" s="660"/>
      <c r="K12" s="664"/>
      <c r="L12" s="664"/>
      <c r="M12" s="640"/>
      <c r="N12" s="660"/>
      <c r="O12" s="640"/>
      <c r="P12" s="640"/>
      <c r="Q12" s="640"/>
      <c r="R12" s="640"/>
      <c r="S12" s="632"/>
      <c r="T12" s="632"/>
      <c r="U12" s="632"/>
      <c r="V12" s="632"/>
      <c r="W12" s="632"/>
      <c r="X12" s="632"/>
      <c r="Y12" s="632"/>
      <c r="Z12" s="620"/>
      <c r="AA12" s="632"/>
      <c r="AB12" s="632"/>
      <c r="AC12" s="632"/>
      <c r="AD12" s="632"/>
      <c r="AE12" s="632"/>
      <c r="AF12" s="632"/>
      <c r="AG12" s="620"/>
    </row>
    <row r="13" spans="2:33" ht="7.5" customHeight="1">
      <c r="B13" s="59"/>
      <c r="C13" s="312"/>
      <c r="D13" s="344"/>
      <c r="E13" s="344"/>
      <c r="F13" s="90"/>
      <c r="G13" s="312"/>
      <c r="H13" s="344"/>
      <c r="I13" s="90"/>
      <c r="J13" s="325"/>
      <c r="K13" s="90"/>
      <c r="L13" s="90"/>
      <c r="M13" s="1"/>
      <c r="N13" s="91"/>
      <c r="O13" s="90"/>
      <c r="P13" s="48"/>
      <c r="Q13" s="60"/>
      <c r="R13" s="61"/>
      <c r="S13" s="184"/>
      <c r="T13" s="184"/>
      <c r="U13" s="184"/>
      <c r="V13" s="184"/>
      <c r="W13" s="184"/>
      <c r="X13" s="219"/>
      <c r="Y13" s="219"/>
      <c r="Z13" s="222"/>
      <c r="AA13" s="219"/>
      <c r="AB13" s="219"/>
      <c r="AC13" s="219"/>
      <c r="AD13" s="219"/>
      <c r="AE13" s="219"/>
      <c r="AF13" s="219"/>
      <c r="AG13" s="256"/>
    </row>
    <row r="14" spans="2:33" s="29" customFormat="1" ht="16.5">
      <c r="B14" s="221" t="s">
        <v>89</v>
      </c>
      <c r="C14" s="313"/>
      <c r="D14" s="345"/>
      <c r="E14" s="345">
        <f>+E16+E22+E25+E51</f>
        <v>1216.6192837999997</v>
      </c>
      <c r="F14" s="345">
        <f>+F16+F22+F25+F51</f>
        <v>1302.0421937899998</v>
      </c>
      <c r="G14" s="365">
        <f>+G16+G22+G25+G51</f>
        <v>1260.9571044200004</v>
      </c>
      <c r="H14" s="345">
        <f>+H16+H22+H25+H51</f>
        <v>1250.96245804</v>
      </c>
      <c r="I14" s="345">
        <f>+I16+I22+I25+I51</f>
        <v>0</v>
      </c>
      <c r="J14" s="326">
        <f aca="true" t="shared" si="0" ref="J14:W14">+J16+J22+J25+J51</f>
        <v>1301.1473698700001</v>
      </c>
      <c r="K14" s="98">
        <f t="shared" si="0"/>
        <v>1246.90351418</v>
      </c>
      <c r="L14" s="98">
        <f t="shared" si="0"/>
        <v>1418.7912238600002</v>
      </c>
      <c r="M14" s="98">
        <f t="shared" si="0"/>
        <v>1425.0626253500002</v>
      </c>
      <c r="N14" s="104">
        <f>+N16+N22+N25+N51</f>
        <v>1366.36434636</v>
      </c>
      <c r="O14" s="76">
        <f t="shared" si="0"/>
        <v>1295.9869215600002</v>
      </c>
      <c r="P14" s="76">
        <f t="shared" si="0"/>
        <v>1279.73229623</v>
      </c>
      <c r="Q14" s="76">
        <f t="shared" si="0"/>
        <v>1262.19999572</v>
      </c>
      <c r="R14" s="76">
        <f t="shared" si="0"/>
        <v>1244.41258378</v>
      </c>
      <c r="S14" s="77">
        <f t="shared" si="0"/>
        <v>1219.84158325</v>
      </c>
      <c r="T14" s="77">
        <f t="shared" si="0"/>
        <v>1233.5412196</v>
      </c>
      <c r="U14" s="77">
        <f t="shared" si="0"/>
        <v>1231.05326199</v>
      </c>
      <c r="V14" s="77">
        <f t="shared" si="0"/>
        <v>1214.3043837600003</v>
      </c>
      <c r="W14" s="77">
        <f t="shared" si="0"/>
        <v>1207.8517973</v>
      </c>
      <c r="X14" s="77">
        <f aca="true" t="shared" si="1" ref="X14:AD14">+X16+X22+X25+X51</f>
        <v>1212.57709613</v>
      </c>
      <c r="Y14" s="77">
        <f t="shared" si="1"/>
        <v>1199.2899502799999</v>
      </c>
      <c r="Z14" s="119">
        <f t="shared" si="1"/>
        <v>1143.1605487199997</v>
      </c>
      <c r="AA14" s="77">
        <f t="shared" si="1"/>
        <v>1166.7696859600003</v>
      </c>
      <c r="AB14" s="77">
        <f t="shared" si="1"/>
        <v>1158.2379791199999</v>
      </c>
      <c r="AC14" s="77">
        <f t="shared" si="1"/>
        <v>1159.92186838</v>
      </c>
      <c r="AD14" s="77">
        <f t="shared" si="1"/>
        <v>1161.2426080399998</v>
      </c>
      <c r="AE14" s="77">
        <f>+AE16+AE22+AE25+AE51</f>
        <v>1168.7722140000003</v>
      </c>
      <c r="AF14" s="77">
        <f>+AF16+AF22+AF25+AF51</f>
        <v>1156.65857895</v>
      </c>
      <c r="AG14" s="119">
        <f>+AG16+AG22+AG25+AG51</f>
        <v>1132.14198313</v>
      </c>
    </row>
    <row r="15" spans="2:33" s="29" customFormat="1" ht="10.5" customHeight="1">
      <c r="B15" s="50"/>
      <c r="C15" s="313"/>
      <c r="D15" s="345"/>
      <c r="E15" s="345"/>
      <c r="F15" s="345"/>
      <c r="G15" s="365"/>
      <c r="H15" s="345"/>
      <c r="I15" s="345"/>
      <c r="J15" s="326"/>
      <c r="K15" s="98"/>
      <c r="L15" s="98"/>
      <c r="M15" s="76"/>
      <c r="N15" s="104"/>
      <c r="O15" s="76"/>
      <c r="P15" s="76"/>
      <c r="Q15" s="76"/>
      <c r="R15" s="76"/>
      <c r="S15" s="77"/>
      <c r="T15" s="77"/>
      <c r="U15" s="77"/>
      <c r="V15" s="77"/>
      <c r="W15" s="77"/>
      <c r="X15" s="77"/>
      <c r="Y15" s="77"/>
      <c r="Z15" s="119"/>
      <c r="AA15" s="77"/>
      <c r="AB15" s="77"/>
      <c r="AC15" s="77"/>
      <c r="AD15" s="77"/>
      <c r="AE15" s="77"/>
      <c r="AF15" s="77"/>
      <c r="AG15" s="119"/>
    </row>
    <row r="16" spans="2:33" s="29" customFormat="1" ht="15.75">
      <c r="B16" s="85" t="s">
        <v>66</v>
      </c>
      <c r="C16" s="346">
        <f aca="true" t="shared" si="2" ref="C16:H16">SUM(C17:C20)</f>
        <v>0</v>
      </c>
      <c r="D16" s="346">
        <f t="shared" si="2"/>
        <v>0</v>
      </c>
      <c r="E16" s="346">
        <f t="shared" si="2"/>
        <v>62.142155849999995</v>
      </c>
      <c r="F16" s="346">
        <f t="shared" si="2"/>
        <v>81.6992614</v>
      </c>
      <c r="G16" s="366">
        <f t="shared" si="2"/>
        <v>109.11614598000001</v>
      </c>
      <c r="H16" s="346">
        <f t="shared" si="2"/>
        <v>124.0667145</v>
      </c>
      <c r="I16" s="346"/>
      <c r="J16" s="327">
        <f>+J17+J18+J20+J19</f>
        <v>170.07109050000003</v>
      </c>
      <c r="K16" s="99">
        <f>+K17+K18+K20+K19</f>
        <v>172.69590245999999</v>
      </c>
      <c r="L16" s="99">
        <f>+L17+L18+L20+L19</f>
        <v>187.29101649</v>
      </c>
      <c r="M16" s="99">
        <f>+M17+M18+M20+M19</f>
        <v>198.91226417</v>
      </c>
      <c r="N16" s="105">
        <f>+N17+N18+N20+N19</f>
        <v>199.92709663</v>
      </c>
      <c r="O16" s="87">
        <f aca="true" t="shared" si="3" ref="O16:W16">SUM(O17:O20)</f>
        <v>185.42492001000002</v>
      </c>
      <c r="P16" s="87">
        <f t="shared" si="3"/>
        <v>187.08152591</v>
      </c>
      <c r="Q16" s="87">
        <f>SUM(Q17:Q20)</f>
        <v>182.72828151</v>
      </c>
      <c r="R16" s="87">
        <f t="shared" si="3"/>
        <v>179.67583767000002</v>
      </c>
      <c r="S16" s="121">
        <f t="shared" si="3"/>
        <v>174.41976395</v>
      </c>
      <c r="T16" s="121">
        <f t="shared" si="3"/>
        <v>177.66330198000003</v>
      </c>
      <c r="U16" s="121">
        <f t="shared" si="3"/>
        <v>177.00648772</v>
      </c>
      <c r="V16" s="121">
        <f t="shared" si="3"/>
        <v>176.0736113</v>
      </c>
      <c r="W16" s="121">
        <f t="shared" si="3"/>
        <v>180.37205709</v>
      </c>
      <c r="X16" s="121">
        <f aca="true" t="shared" si="4" ref="X16:AD16">SUM(X17:X20)</f>
        <v>181.18226026000002</v>
      </c>
      <c r="Y16" s="121">
        <f t="shared" si="4"/>
        <v>179.30891393</v>
      </c>
      <c r="Z16" s="185">
        <f t="shared" si="4"/>
        <v>165.23778424000002</v>
      </c>
      <c r="AA16" s="121">
        <f t="shared" si="4"/>
        <v>168.98935580999998</v>
      </c>
      <c r="AB16" s="121">
        <f t="shared" si="4"/>
        <v>170.23944472</v>
      </c>
      <c r="AC16" s="121">
        <f t="shared" si="4"/>
        <v>165.87196677999998</v>
      </c>
      <c r="AD16" s="121">
        <f t="shared" si="4"/>
        <v>166.55388754999998</v>
      </c>
      <c r="AE16" s="121">
        <f>SUM(AE17:AE20)</f>
        <v>168.97079629</v>
      </c>
      <c r="AF16" s="121">
        <f>SUM(AF17:AF20)</f>
        <v>164.52791181</v>
      </c>
      <c r="AG16" s="185">
        <f>SUM(AG17:AG20)</f>
        <v>158.85510644000001</v>
      </c>
    </row>
    <row r="17" spans="2:33" s="29" customFormat="1" ht="14.25">
      <c r="B17" s="74" t="s">
        <v>61</v>
      </c>
      <c r="C17" s="315"/>
      <c r="D17" s="347"/>
      <c r="E17" s="347">
        <v>22.72345621</v>
      </c>
      <c r="F17" s="347">
        <v>33.78968262</v>
      </c>
      <c r="G17" s="367">
        <v>45.79799104</v>
      </c>
      <c r="H17" s="347">
        <v>54.96729802</v>
      </c>
      <c r="I17" s="347"/>
      <c r="J17" s="328">
        <v>83.87508684000001</v>
      </c>
      <c r="K17" s="140">
        <v>86.25411892</v>
      </c>
      <c r="L17" s="75">
        <v>95.33152910000001</v>
      </c>
      <c r="M17" s="79">
        <v>102.88129933</v>
      </c>
      <c r="N17" s="106">
        <v>103.57233937</v>
      </c>
      <c r="O17" s="71">
        <v>95.88712446000001</v>
      </c>
      <c r="P17" s="71">
        <v>95.55353956</v>
      </c>
      <c r="Q17" s="71">
        <v>93.99377033</v>
      </c>
      <c r="R17" s="71">
        <v>92.65562870000001</v>
      </c>
      <c r="S17" s="125">
        <v>89.79760838</v>
      </c>
      <c r="T17" s="125">
        <v>91.41787062</v>
      </c>
      <c r="U17" s="125">
        <v>91.05795772999998</v>
      </c>
      <c r="V17" s="125">
        <v>90.60396508</v>
      </c>
      <c r="W17" s="125">
        <v>91.4507311</v>
      </c>
      <c r="X17" s="125">
        <v>91.84690755000001</v>
      </c>
      <c r="Y17" s="125">
        <v>90.81063058</v>
      </c>
      <c r="Z17" s="126">
        <v>84.72926159000002</v>
      </c>
      <c r="AA17" s="125">
        <v>87.05783172999999</v>
      </c>
      <c r="AB17" s="125">
        <v>87.71053236</v>
      </c>
      <c r="AC17" s="125">
        <v>83.10992815</v>
      </c>
      <c r="AD17" s="125">
        <v>83.61738426</v>
      </c>
      <c r="AE17" s="125">
        <v>84.88660368</v>
      </c>
      <c r="AF17" s="125">
        <v>84.00616322</v>
      </c>
      <c r="AG17" s="126">
        <v>80.97698139</v>
      </c>
    </row>
    <row r="18" spans="2:33" s="29" customFormat="1" ht="14.25">
      <c r="B18" s="74" t="s">
        <v>62</v>
      </c>
      <c r="C18" s="315"/>
      <c r="D18" s="347"/>
      <c r="E18" s="347">
        <v>38.24642188</v>
      </c>
      <c r="F18" s="347">
        <v>46.75601729</v>
      </c>
      <c r="G18" s="367">
        <v>61.73764467</v>
      </c>
      <c r="H18" s="347">
        <v>66.57568746</v>
      </c>
      <c r="I18" s="347"/>
      <c r="J18" s="328">
        <v>83.26125879000001</v>
      </c>
      <c r="K18" s="140">
        <v>83.48210291</v>
      </c>
      <c r="L18" s="75">
        <v>88.77008379</v>
      </c>
      <c r="M18" s="79">
        <v>92.68106406999999</v>
      </c>
      <c r="N18" s="106">
        <v>89.58939975999999</v>
      </c>
      <c r="O18" s="71">
        <v>82.94752428000001</v>
      </c>
      <c r="P18" s="71">
        <v>83.02959498</v>
      </c>
      <c r="Q18" s="71">
        <v>80.18350427999998</v>
      </c>
      <c r="R18" s="71">
        <v>78.45619524</v>
      </c>
      <c r="S18" s="125">
        <v>75.93090439</v>
      </c>
      <c r="T18" s="125">
        <v>77.25806793</v>
      </c>
      <c r="U18" s="125">
        <v>76.95390230000001</v>
      </c>
      <c r="V18" s="125">
        <v>76.57022901</v>
      </c>
      <c r="W18" s="125">
        <v>77.28583861999999</v>
      </c>
      <c r="X18" s="125">
        <v>77.62065091</v>
      </c>
      <c r="Y18" s="125">
        <v>76.73419094</v>
      </c>
      <c r="Z18" s="126">
        <v>68.54137339</v>
      </c>
      <c r="AA18" s="125">
        <v>70.42506024999999</v>
      </c>
      <c r="AB18" s="125">
        <v>70.95305961</v>
      </c>
      <c r="AC18" s="125">
        <v>70.39233890999999</v>
      </c>
      <c r="AD18" s="125">
        <v>70.39233891</v>
      </c>
      <c r="AE18" s="125">
        <v>71.46081677000001</v>
      </c>
      <c r="AF18" s="125">
        <v>67.54367097</v>
      </c>
      <c r="AG18" s="126">
        <v>65.10811083</v>
      </c>
    </row>
    <row r="19" spans="2:33" s="29" customFormat="1" ht="14.25">
      <c r="B19" s="74" t="s">
        <v>64</v>
      </c>
      <c r="C19" s="180"/>
      <c r="D19" s="348"/>
      <c r="E19" s="348">
        <v>0</v>
      </c>
      <c r="F19" s="355">
        <v>0</v>
      </c>
      <c r="G19" s="180">
        <v>0</v>
      </c>
      <c r="H19" s="348">
        <v>0</v>
      </c>
      <c r="I19" s="348"/>
      <c r="J19" s="329">
        <v>0</v>
      </c>
      <c r="K19" s="176">
        <v>0</v>
      </c>
      <c r="L19" s="177">
        <v>0</v>
      </c>
      <c r="M19" s="177">
        <v>0</v>
      </c>
      <c r="N19" s="107">
        <v>3.2080859</v>
      </c>
      <c r="O19" s="71">
        <v>3.2072135299999998</v>
      </c>
      <c r="P19" s="71">
        <v>3.1244888399999997</v>
      </c>
      <c r="Q19" s="71">
        <v>3.0903927700000002</v>
      </c>
      <c r="R19" s="71">
        <v>3.09644804</v>
      </c>
      <c r="S19" s="125">
        <v>3.23280705</v>
      </c>
      <c r="T19" s="125">
        <v>3.45116744</v>
      </c>
      <c r="U19" s="125">
        <v>3.47701878</v>
      </c>
      <c r="V19" s="125">
        <v>3.43139248</v>
      </c>
      <c r="W19" s="125">
        <v>5.93361286</v>
      </c>
      <c r="X19" s="125">
        <v>5.98110714</v>
      </c>
      <c r="Y19" s="125">
        <v>5.99896145</v>
      </c>
      <c r="Z19" s="126">
        <v>6.08121987</v>
      </c>
      <c r="AA19" s="125">
        <v>5.94880735</v>
      </c>
      <c r="AB19" s="125">
        <v>5.9903292</v>
      </c>
      <c r="AC19" s="125">
        <v>6.07456268</v>
      </c>
      <c r="AD19" s="125">
        <v>6.09758401</v>
      </c>
      <c r="AE19" s="125">
        <v>6.20996854</v>
      </c>
      <c r="AF19" s="125">
        <v>6.54459756</v>
      </c>
      <c r="AG19" s="126">
        <v>6.51592081</v>
      </c>
    </row>
    <row r="20" spans="2:33" s="29" customFormat="1" ht="14.25">
      <c r="B20" s="74" t="s">
        <v>63</v>
      </c>
      <c r="C20" s="315"/>
      <c r="D20" s="347"/>
      <c r="E20" s="347">
        <v>1.17227776</v>
      </c>
      <c r="F20" s="347">
        <v>1.15356149</v>
      </c>
      <c r="G20" s="315">
        <v>1.58051027</v>
      </c>
      <c r="H20" s="347">
        <v>2.52372902</v>
      </c>
      <c r="I20" s="347"/>
      <c r="J20" s="328">
        <v>2.9347448700000003</v>
      </c>
      <c r="K20" s="140">
        <v>2.95968063</v>
      </c>
      <c r="L20" s="75">
        <v>3.1894035999999995</v>
      </c>
      <c r="M20" s="79">
        <v>3.34990077</v>
      </c>
      <c r="N20" s="106">
        <v>3.5572715999999995</v>
      </c>
      <c r="O20" s="71">
        <v>3.3830577400000004</v>
      </c>
      <c r="P20" s="71">
        <v>5.37390253</v>
      </c>
      <c r="Q20" s="71">
        <v>5.46061413</v>
      </c>
      <c r="R20" s="71">
        <v>5.46756569</v>
      </c>
      <c r="S20" s="125">
        <v>5.45844413</v>
      </c>
      <c r="T20" s="125">
        <v>5.53619599</v>
      </c>
      <c r="U20" s="125">
        <v>5.51760891</v>
      </c>
      <c r="V20" s="125">
        <v>5.468024730000001</v>
      </c>
      <c r="W20" s="125">
        <v>5.70187451</v>
      </c>
      <c r="X20" s="125">
        <v>5.7335946600000005</v>
      </c>
      <c r="Y20" s="125">
        <v>5.76513096</v>
      </c>
      <c r="Z20" s="126">
        <v>5.88592939</v>
      </c>
      <c r="AA20" s="125">
        <v>5.5576564799999995</v>
      </c>
      <c r="AB20" s="125">
        <v>5.58552355</v>
      </c>
      <c r="AC20" s="125">
        <v>6.29513704</v>
      </c>
      <c r="AD20" s="125">
        <v>6.44658037</v>
      </c>
      <c r="AE20" s="125">
        <v>6.4134073</v>
      </c>
      <c r="AF20" s="125">
        <v>6.43348006</v>
      </c>
      <c r="AG20" s="126">
        <v>6.25409341</v>
      </c>
    </row>
    <row r="21" spans="2:33" s="29" customFormat="1" ht="12" customHeight="1">
      <c r="B21" s="49"/>
      <c r="C21" s="316"/>
      <c r="D21" s="349"/>
      <c r="E21" s="349"/>
      <c r="F21" s="349"/>
      <c r="G21" s="316"/>
      <c r="H21" s="349"/>
      <c r="I21" s="349"/>
      <c r="J21" s="330"/>
      <c r="K21" s="62"/>
      <c r="L21" s="62"/>
      <c r="M21" s="78"/>
      <c r="N21" s="108"/>
      <c r="O21" s="69"/>
      <c r="P21" s="69"/>
      <c r="Q21" s="69"/>
      <c r="R21" s="69"/>
      <c r="S21" s="170"/>
      <c r="T21" s="170"/>
      <c r="U21" s="170"/>
      <c r="V21" s="170"/>
      <c r="W21" s="170"/>
      <c r="X21" s="170"/>
      <c r="Y21" s="170"/>
      <c r="Z21" s="123"/>
      <c r="AA21" s="170"/>
      <c r="AB21" s="170"/>
      <c r="AC21" s="170"/>
      <c r="AD21" s="170"/>
      <c r="AE21" s="170"/>
      <c r="AF21" s="170"/>
      <c r="AG21" s="123"/>
    </row>
    <row r="22" spans="2:33" s="29" customFormat="1" ht="15.75">
      <c r="B22" s="85" t="s">
        <v>67</v>
      </c>
      <c r="C22" s="168"/>
      <c r="D22" s="350">
        <f>+D23</f>
        <v>1.05983</v>
      </c>
      <c r="E22" s="350">
        <f>+E23</f>
        <v>1.05983</v>
      </c>
      <c r="F22" s="350">
        <f>+F23</f>
        <v>0.94329</v>
      </c>
      <c r="G22" s="168">
        <f>+G23</f>
        <v>0.943291</v>
      </c>
      <c r="H22" s="350">
        <f>+H23</f>
        <v>0.82254168</v>
      </c>
      <c r="I22" s="350"/>
      <c r="J22" s="331">
        <f>+J23</f>
        <v>0.6973990400000001</v>
      </c>
      <c r="K22" s="92">
        <f>+K23</f>
        <v>0.697399</v>
      </c>
      <c r="L22" s="92">
        <f>+L23</f>
        <v>0.56767821</v>
      </c>
      <c r="M22" s="92">
        <f>+M23</f>
        <v>0.56767821</v>
      </c>
      <c r="N22" s="109">
        <f>+N23</f>
        <v>0.43328295999999994</v>
      </c>
      <c r="O22" s="92">
        <f aca="true" t="shared" si="5" ref="O22:U22">+O23</f>
        <v>0.43328295999999994</v>
      </c>
      <c r="P22" s="92">
        <f t="shared" si="5"/>
        <v>0.43328296</v>
      </c>
      <c r="Q22" s="92">
        <f t="shared" si="5"/>
        <v>0.43328295999999994</v>
      </c>
      <c r="R22" s="92">
        <f t="shared" si="5"/>
        <v>0.43328296</v>
      </c>
      <c r="S22" s="159">
        <f t="shared" si="5"/>
        <v>0.43328295999999994</v>
      </c>
      <c r="T22" s="159">
        <f t="shared" si="5"/>
        <v>0.29402889</v>
      </c>
      <c r="U22" s="159">
        <f t="shared" si="5"/>
        <v>0.29402889</v>
      </c>
      <c r="V22" s="159">
        <f aca="true" t="shared" si="6" ref="V22:AB22">+V23</f>
        <v>0.29402889</v>
      </c>
      <c r="W22" s="159">
        <f t="shared" si="6"/>
        <v>0.29402889</v>
      </c>
      <c r="X22" s="159">
        <f t="shared" si="6"/>
        <v>0.29402889</v>
      </c>
      <c r="Y22" s="159">
        <f t="shared" si="6"/>
        <v>0.29402889</v>
      </c>
      <c r="Z22" s="109">
        <f t="shared" si="6"/>
        <v>0.1496354</v>
      </c>
      <c r="AA22" s="159">
        <f t="shared" si="6"/>
        <v>0.1496354</v>
      </c>
      <c r="AB22" s="159">
        <f t="shared" si="6"/>
        <v>0.1496354</v>
      </c>
      <c r="AC22" s="159">
        <f>+AC23</f>
        <v>0.1496354</v>
      </c>
      <c r="AD22" s="159">
        <f>+AD23</f>
        <v>0.1496354</v>
      </c>
      <c r="AE22" s="159">
        <f>+AE23</f>
        <v>0.1496354</v>
      </c>
      <c r="AF22" s="203">
        <f>+AF23</f>
        <v>0</v>
      </c>
      <c r="AG22" s="196">
        <f>+AG23</f>
        <v>0</v>
      </c>
    </row>
    <row r="23" spans="2:33" s="29" customFormat="1" ht="14.25">
      <c r="B23" s="74" t="s">
        <v>83</v>
      </c>
      <c r="C23" s="163"/>
      <c r="D23" s="351">
        <v>1.05983</v>
      </c>
      <c r="E23" s="351">
        <v>1.05983</v>
      </c>
      <c r="F23" s="351">
        <v>0.94329</v>
      </c>
      <c r="G23" s="163">
        <v>0.943291</v>
      </c>
      <c r="H23" s="351">
        <v>0.82254168</v>
      </c>
      <c r="I23" s="351"/>
      <c r="J23" s="332">
        <v>0.6973990400000001</v>
      </c>
      <c r="K23" s="70">
        <v>0.697399</v>
      </c>
      <c r="L23" s="70">
        <v>0.56767821</v>
      </c>
      <c r="M23" s="75">
        <v>0.56767821</v>
      </c>
      <c r="N23" s="107">
        <v>0.43328295999999994</v>
      </c>
      <c r="O23" s="70">
        <v>0.43328295999999994</v>
      </c>
      <c r="P23" s="70">
        <v>0.43328296</v>
      </c>
      <c r="Q23" s="244">
        <v>0.43328295999999994</v>
      </c>
      <c r="R23" s="70">
        <v>0.43328296</v>
      </c>
      <c r="S23" s="129">
        <v>0.43328295999999994</v>
      </c>
      <c r="T23" s="129">
        <v>0.29402889</v>
      </c>
      <c r="U23" s="129">
        <v>0.29402889</v>
      </c>
      <c r="V23" s="129">
        <v>0.29402889</v>
      </c>
      <c r="W23" s="129">
        <v>0.29402889</v>
      </c>
      <c r="X23" s="129">
        <v>0.29402889</v>
      </c>
      <c r="Y23" s="129">
        <v>0.29402889</v>
      </c>
      <c r="Z23" s="107">
        <v>0.1496354</v>
      </c>
      <c r="AA23" s="129">
        <v>0.1496354</v>
      </c>
      <c r="AB23" s="129">
        <v>0.1496354</v>
      </c>
      <c r="AC23" s="129">
        <v>0.1496354</v>
      </c>
      <c r="AD23" s="129">
        <v>0.1496354</v>
      </c>
      <c r="AE23" s="129">
        <v>0.1496354</v>
      </c>
      <c r="AF23" s="203">
        <v>0</v>
      </c>
      <c r="AG23" s="196">
        <v>0</v>
      </c>
    </row>
    <row r="24" spans="2:33" s="29" customFormat="1" ht="11.25" customHeight="1">
      <c r="B24" s="49"/>
      <c r="C24" s="317"/>
      <c r="D24" s="352"/>
      <c r="E24" s="352"/>
      <c r="F24" s="352"/>
      <c r="G24" s="317"/>
      <c r="H24" s="352"/>
      <c r="I24" s="352"/>
      <c r="J24" s="333"/>
      <c r="K24" s="139"/>
      <c r="L24" s="139"/>
      <c r="M24" s="78"/>
      <c r="N24" s="110"/>
      <c r="O24" s="69"/>
      <c r="P24" s="69"/>
      <c r="Q24" s="245"/>
      <c r="R24" s="69"/>
      <c r="S24" s="170"/>
      <c r="T24" s="170"/>
      <c r="U24" s="170"/>
      <c r="V24" s="170"/>
      <c r="W24" s="170"/>
      <c r="X24" s="170"/>
      <c r="Y24" s="170"/>
      <c r="Z24" s="123"/>
      <c r="AA24" s="170"/>
      <c r="AB24" s="170"/>
      <c r="AC24" s="170"/>
      <c r="AD24" s="170"/>
      <c r="AE24" s="170"/>
      <c r="AF24" s="170"/>
      <c r="AG24" s="123"/>
    </row>
    <row r="25" spans="2:33" s="29" customFormat="1" ht="15.75">
      <c r="B25" s="85" t="s">
        <v>68</v>
      </c>
      <c r="C25" s="318"/>
      <c r="D25" s="353"/>
      <c r="E25" s="353">
        <f>SUM(E26:E49)</f>
        <v>860.1170751299998</v>
      </c>
      <c r="F25" s="353">
        <f>SUM(F26:F49)</f>
        <v>924.9894451999999</v>
      </c>
      <c r="G25" s="318">
        <f>SUM(G26:G49)</f>
        <v>872.6764284400003</v>
      </c>
      <c r="H25" s="353">
        <f>SUM(H26:H49)</f>
        <v>845.0401275700001</v>
      </c>
      <c r="I25" s="353"/>
      <c r="J25" s="334">
        <f>SUM(J26:J49)</f>
        <v>862.9210094700002</v>
      </c>
      <c r="K25" s="138">
        <f>SUM(K26:K49)</f>
        <v>827.63708672</v>
      </c>
      <c r="L25" s="138">
        <f>SUM(L26:L49)</f>
        <v>981.3201253899999</v>
      </c>
      <c r="M25" s="99">
        <f>SUM(M26:M49)</f>
        <v>987.4279598400001</v>
      </c>
      <c r="N25" s="111">
        <f aca="true" t="shared" si="7" ref="N25:W25">SUM(N26:N49)</f>
        <v>937.06457296</v>
      </c>
      <c r="O25" s="87">
        <f t="shared" si="7"/>
        <v>888.71077844</v>
      </c>
      <c r="P25" s="87">
        <f t="shared" si="7"/>
        <v>885.01545959</v>
      </c>
      <c r="Q25" s="246">
        <f t="shared" si="7"/>
        <v>845.3107444</v>
      </c>
      <c r="R25" s="87">
        <f t="shared" si="7"/>
        <v>833.82987034</v>
      </c>
      <c r="S25" s="121">
        <f t="shared" si="7"/>
        <v>818.4572435499999</v>
      </c>
      <c r="T25" s="121">
        <f t="shared" si="7"/>
        <v>827.6277556499999</v>
      </c>
      <c r="U25" s="121">
        <f t="shared" si="7"/>
        <v>826.13039453</v>
      </c>
      <c r="V25" s="121">
        <f t="shared" si="7"/>
        <v>824.0115483400002</v>
      </c>
      <c r="W25" s="121">
        <f t="shared" si="7"/>
        <v>811.9673705300002</v>
      </c>
      <c r="X25" s="121">
        <f aca="true" t="shared" si="8" ref="X25:AD25">SUM(X26:X49)</f>
        <v>816.18603725</v>
      </c>
      <c r="Y25" s="121">
        <f t="shared" si="8"/>
        <v>806.2616740999998</v>
      </c>
      <c r="Z25" s="185">
        <f t="shared" si="8"/>
        <v>771.6790471799998</v>
      </c>
      <c r="AA25" s="121">
        <f t="shared" si="8"/>
        <v>789.2210966400004</v>
      </c>
      <c r="AB25" s="121">
        <f t="shared" si="8"/>
        <v>791.4015369999998</v>
      </c>
      <c r="AC25" s="121">
        <f t="shared" si="8"/>
        <v>779.47730949</v>
      </c>
      <c r="AD25" s="121">
        <f t="shared" si="8"/>
        <v>780.9154613799998</v>
      </c>
      <c r="AE25" s="121">
        <f>SUM(AE26:AE49)</f>
        <v>784.8157068200002</v>
      </c>
      <c r="AF25" s="121">
        <f>SUM(AF26:AF49)</f>
        <v>779.1152945199999</v>
      </c>
      <c r="AG25" s="185">
        <f>SUM(AG26:AG49)</f>
        <v>764.6008744100001</v>
      </c>
    </row>
    <row r="26" spans="2:33" s="29" customFormat="1" ht="14.25">
      <c r="B26" s="117" t="s">
        <v>42</v>
      </c>
      <c r="C26" s="319"/>
      <c r="D26" s="354"/>
      <c r="E26" s="354">
        <v>593.4094498899999</v>
      </c>
      <c r="F26" s="354">
        <v>659.35496325</v>
      </c>
      <c r="G26" s="319">
        <v>673.77417385</v>
      </c>
      <c r="H26" s="354">
        <v>688.53169489</v>
      </c>
      <c r="I26" s="354"/>
      <c r="J26" s="335">
        <v>702.7015391</v>
      </c>
      <c r="K26" s="140">
        <v>664.2303673099999</v>
      </c>
      <c r="L26" s="140">
        <v>684.0870628399999</v>
      </c>
      <c r="M26" s="79">
        <v>692.75140997</v>
      </c>
      <c r="N26" s="112">
        <v>656.7565285100001</v>
      </c>
      <c r="O26" s="71">
        <v>626.1327585399998</v>
      </c>
      <c r="P26" s="71">
        <v>624.28515148</v>
      </c>
      <c r="Q26" s="198">
        <v>603.50547913</v>
      </c>
      <c r="R26" s="71">
        <v>596.29344769</v>
      </c>
      <c r="S26" s="125">
        <v>587.3379860900001</v>
      </c>
      <c r="T26" s="125">
        <v>592.18578887</v>
      </c>
      <c r="U26" s="125">
        <v>591.03778371</v>
      </c>
      <c r="V26" s="125">
        <f>590.42804947-13.44820285</f>
        <v>576.97984662</v>
      </c>
      <c r="W26" s="125">
        <v>563.3728531200001</v>
      </c>
      <c r="X26" s="125">
        <v>566.27918849</v>
      </c>
      <c r="Y26" s="125">
        <v>557.8467006699999</v>
      </c>
      <c r="Z26" s="126">
        <v>535.1436143</v>
      </c>
      <c r="AA26" s="125">
        <v>549.41756574</v>
      </c>
      <c r="AB26" s="125">
        <v>549.73006879</v>
      </c>
      <c r="AC26" s="125">
        <v>547.3391039999999</v>
      </c>
      <c r="AD26" s="125">
        <v>549.72767642</v>
      </c>
      <c r="AE26" s="125">
        <v>551.53272984</v>
      </c>
      <c r="AF26" s="125">
        <v>549.3061857399999</v>
      </c>
      <c r="AG26" s="126">
        <v>542.6393492000001</v>
      </c>
    </row>
    <row r="27" spans="2:33" s="29" customFormat="1" ht="14.25">
      <c r="B27" s="117" t="s">
        <v>43</v>
      </c>
      <c r="C27" s="319"/>
      <c r="D27" s="354"/>
      <c r="E27" s="354">
        <v>137.10261509999998</v>
      </c>
      <c r="F27" s="354">
        <v>140.43234809999998</v>
      </c>
      <c r="G27" s="319">
        <v>72.0426882</v>
      </c>
      <c r="H27" s="354">
        <v>74.45230317000001</v>
      </c>
      <c r="I27" s="354"/>
      <c r="J27" s="335">
        <v>73.5671792</v>
      </c>
      <c r="K27" s="140">
        <v>65.45806318</v>
      </c>
      <c r="L27" s="140">
        <v>194.82547359999998</v>
      </c>
      <c r="M27" s="79">
        <v>189.75769052999996</v>
      </c>
      <c r="N27" s="112">
        <v>176.20200706</v>
      </c>
      <c r="O27" s="71">
        <v>163.10778898</v>
      </c>
      <c r="P27" s="71">
        <v>162.54034789</v>
      </c>
      <c r="Q27" s="198">
        <v>148.10237157</v>
      </c>
      <c r="R27" s="71">
        <v>144.91195766999996</v>
      </c>
      <c r="S27" s="125">
        <v>140.24763715999998</v>
      </c>
      <c r="T27" s="125">
        <v>142.69896515</v>
      </c>
      <c r="U27" s="125">
        <v>142.13715819</v>
      </c>
      <c r="V27" s="125">
        <v>141.42849716</v>
      </c>
      <c r="W27" s="125">
        <v>134.35318475999998</v>
      </c>
      <c r="X27" s="125">
        <v>134.93522021</v>
      </c>
      <c r="Y27" s="125">
        <v>133.39420413</v>
      </c>
      <c r="Z27" s="126">
        <v>124.46111588999999</v>
      </c>
      <c r="AA27" s="125">
        <v>127.88161588</v>
      </c>
      <c r="AB27" s="125">
        <v>128.84038557</v>
      </c>
      <c r="AC27" s="125">
        <v>120.44385901999999</v>
      </c>
      <c r="AD27" s="125">
        <v>120.44385901999999</v>
      </c>
      <c r="AE27" s="125">
        <v>122.27206360000001</v>
      </c>
      <c r="AF27" s="125">
        <v>121.00386266000001</v>
      </c>
      <c r="AG27" s="126">
        <v>116.64057919999999</v>
      </c>
    </row>
    <row r="28" spans="2:33" s="29" customFormat="1" ht="14.25">
      <c r="B28" s="117" t="s">
        <v>44</v>
      </c>
      <c r="C28" s="319"/>
      <c r="D28" s="354"/>
      <c r="E28" s="354">
        <v>33.310332360000004</v>
      </c>
      <c r="F28" s="354">
        <v>34.55664283</v>
      </c>
      <c r="G28" s="319">
        <v>33.98320865</v>
      </c>
      <c r="H28" s="354">
        <v>36.26410141</v>
      </c>
      <c r="I28" s="354"/>
      <c r="J28" s="335">
        <v>44.144750789999996</v>
      </c>
      <c r="K28" s="140">
        <v>42.613081539999996</v>
      </c>
      <c r="L28" s="140">
        <v>45.642099210000005</v>
      </c>
      <c r="M28" s="79">
        <v>46.83580343</v>
      </c>
      <c r="N28" s="112">
        <v>45.085313330000005</v>
      </c>
      <c r="O28" s="71">
        <v>41.734858169999995</v>
      </c>
      <c r="P28" s="71">
        <v>41.58966538000001</v>
      </c>
      <c r="Q28" s="198">
        <v>38.71642951</v>
      </c>
      <c r="R28" s="71">
        <v>37.88240211000001</v>
      </c>
      <c r="S28" s="125">
        <v>36.66307096</v>
      </c>
      <c r="T28" s="125">
        <v>37.30388896</v>
      </c>
      <c r="U28" s="125">
        <v>37.15702327</v>
      </c>
      <c r="V28" s="125">
        <v>36.971767449999994</v>
      </c>
      <c r="W28" s="125">
        <v>35.96072969</v>
      </c>
      <c r="X28" s="125">
        <v>36.11651625000001</v>
      </c>
      <c r="Y28" s="125">
        <v>35.70405068</v>
      </c>
      <c r="Z28" s="126">
        <v>33.31303649</v>
      </c>
      <c r="AA28" s="125">
        <v>34.228561299999996</v>
      </c>
      <c r="AB28" s="125">
        <v>34.48518386</v>
      </c>
      <c r="AC28" s="125">
        <v>33.089770030000004</v>
      </c>
      <c r="AD28" s="125">
        <v>33.089770030000004</v>
      </c>
      <c r="AE28" s="125">
        <v>33.59203614</v>
      </c>
      <c r="AF28" s="125">
        <v>33.243620889999995</v>
      </c>
      <c r="AG28" s="126">
        <v>32.04488774</v>
      </c>
    </row>
    <row r="29" spans="2:33" ht="14.25">
      <c r="B29" s="117" t="s">
        <v>45</v>
      </c>
      <c r="C29" s="319"/>
      <c r="D29" s="354"/>
      <c r="E29" s="354">
        <v>4.35422749</v>
      </c>
      <c r="F29" s="354">
        <v>4.693445710000001</v>
      </c>
      <c r="G29" s="319">
        <v>4.6810776800000005</v>
      </c>
      <c r="H29" s="354">
        <v>4.641298740000001</v>
      </c>
      <c r="I29" s="354"/>
      <c r="J29" s="335">
        <v>4.07306885</v>
      </c>
      <c r="K29" s="140">
        <v>15.18353139</v>
      </c>
      <c r="L29" s="140">
        <v>15.69431996</v>
      </c>
      <c r="M29" s="81">
        <v>16.097874140000002</v>
      </c>
      <c r="N29" s="112">
        <v>17.709469629999997</v>
      </c>
      <c r="O29" s="186">
        <v>16.52880934</v>
      </c>
      <c r="P29" s="71">
        <v>16.43051294</v>
      </c>
      <c r="Q29" s="247">
        <v>15.491154049999999</v>
      </c>
      <c r="R29" s="186">
        <v>15.1952894</v>
      </c>
      <c r="S29" s="187">
        <v>14.75398815</v>
      </c>
      <c r="T29" s="187">
        <v>14.86268957</v>
      </c>
      <c r="U29" s="187">
        <v>14.8211828</v>
      </c>
      <c r="V29" s="187">
        <v>14.73508774</v>
      </c>
      <c r="W29" s="187">
        <v>14.49911889</v>
      </c>
      <c r="X29" s="187">
        <v>14.566936779999999</v>
      </c>
      <c r="Y29" s="187">
        <v>14.42037087</v>
      </c>
      <c r="Z29" s="215">
        <v>13.402115929999999</v>
      </c>
      <c r="AA29" s="187">
        <v>13.70968915</v>
      </c>
      <c r="AB29" s="187">
        <v>13.81185079</v>
      </c>
      <c r="AC29" s="187">
        <v>13.3988658</v>
      </c>
      <c r="AD29" s="187">
        <v>13.40292243</v>
      </c>
      <c r="AE29" s="187">
        <v>13.582752860000001</v>
      </c>
      <c r="AF29" s="187">
        <v>13.2936102</v>
      </c>
      <c r="AG29" s="215">
        <v>12.820665260000002</v>
      </c>
    </row>
    <row r="30" spans="2:33" ht="14.25">
      <c r="B30" s="117" t="s">
        <v>85</v>
      </c>
      <c r="C30" s="320"/>
      <c r="D30" s="355"/>
      <c r="E30" s="355">
        <v>0</v>
      </c>
      <c r="F30" s="355">
        <v>0</v>
      </c>
      <c r="G30" s="320">
        <v>0</v>
      </c>
      <c r="H30" s="355">
        <v>0</v>
      </c>
      <c r="I30" s="355"/>
      <c r="J30" s="336">
        <v>0</v>
      </c>
      <c r="K30" s="194">
        <v>0</v>
      </c>
      <c r="L30" s="194">
        <v>0</v>
      </c>
      <c r="M30" s="195">
        <v>0</v>
      </c>
      <c r="N30" s="196">
        <v>0</v>
      </c>
      <c r="O30" s="179">
        <v>0</v>
      </c>
      <c r="P30" s="176">
        <v>0</v>
      </c>
      <c r="Q30" s="227">
        <v>0</v>
      </c>
      <c r="R30" s="179">
        <v>0</v>
      </c>
      <c r="S30" s="189">
        <v>0</v>
      </c>
      <c r="T30" s="189">
        <v>0</v>
      </c>
      <c r="U30" s="189">
        <v>0</v>
      </c>
      <c r="V30" s="187">
        <v>13.44820285</v>
      </c>
      <c r="W30" s="187">
        <v>13.82298225</v>
      </c>
      <c r="X30" s="187">
        <v>13.93362523</v>
      </c>
      <c r="Y30" s="187">
        <v>13.97521873</v>
      </c>
      <c r="Z30" s="215">
        <v>14.379351199999999</v>
      </c>
      <c r="AA30" s="187">
        <v>14.06625512</v>
      </c>
      <c r="AB30" s="187">
        <v>14.164435619999999</v>
      </c>
      <c r="AC30" s="187">
        <v>14.36360994</v>
      </c>
      <c r="AD30" s="187">
        <v>13.587389949999999</v>
      </c>
      <c r="AE30" s="187">
        <v>13.49505302</v>
      </c>
      <c r="AF30" s="187">
        <v>12.93500223</v>
      </c>
      <c r="AG30" s="215">
        <v>12.55990789</v>
      </c>
    </row>
    <row r="31" spans="2:33" s="133" customFormat="1" ht="14.25">
      <c r="B31" s="117" t="s">
        <v>51</v>
      </c>
      <c r="C31" s="319"/>
      <c r="D31" s="354"/>
      <c r="E31" s="354">
        <v>1.94278388</v>
      </c>
      <c r="F31" s="354">
        <v>1.9088446200000002</v>
      </c>
      <c r="G31" s="319">
        <v>1.9641703799999999</v>
      </c>
      <c r="H31" s="354">
        <v>2.03186968</v>
      </c>
      <c r="I31" s="354"/>
      <c r="J31" s="335">
        <v>1.7018069</v>
      </c>
      <c r="K31" s="140">
        <v>1.75184074</v>
      </c>
      <c r="L31" s="140">
        <v>1.66898174</v>
      </c>
      <c r="M31" s="135">
        <v>1.68149136</v>
      </c>
      <c r="N31" s="173">
        <v>1.69634261</v>
      </c>
      <c r="O31" s="174">
        <v>1.69588133</v>
      </c>
      <c r="P31" s="136">
        <v>1.65213891</v>
      </c>
      <c r="Q31" s="174">
        <v>1.6341099</v>
      </c>
      <c r="R31" s="136">
        <v>1.63731175</v>
      </c>
      <c r="S31" s="188">
        <v>1.63311041</v>
      </c>
      <c r="T31" s="188">
        <v>1.61909282</v>
      </c>
      <c r="U31" s="188">
        <v>1.63122081</v>
      </c>
      <c r="V31" s="188">
        <v>1.60981553</v>
      </c>
      <c r="W31" s="188">
        <v>10.272378830000001</v>
      </c>
      <c r="X31" s="188">
        <f>8.68667882+1.66792296</f>
        <v>10.35460178</v>
      </c>
      <c r="Y31" s="188">
        <v>10.38551149</v>
      </c>
      <c r="Z31" s="223">
        <v>10.55131468</v>
      </c>
      <c r="AA31" s="188">
        <f>8.71370988+1.60786039</f>
        <v>10.321570269999999</v>
      </c>
      <c r="AB31" s="188">
        <v>10.393613400000001</v>
      </c>
      <c r="AC31" s="188">
        <v>10.53976401</v>
      </c>
      <c r="AD31" s="188">
        <v>10.212482150000001</v>
      </c>
      <c r="AE31" s="188">
        <f>8.50620813+1.63687223</f>
        <v>10.143080359999999</v>
      </c>
      <c r="AF31" s="188">
        <f>8.25077335+1.59145752</f>
        <v>9.84223087</v>
      </c>
      <c r="AG31" s="223">
        <f>8.01151415+1.5453078</f>
        <v>9.55682195</v>
      </c>
    </row>
    <row r="32" spans="2:33" s="133" customFormat="1" ht="14.25">
      <c r="B32" s="117" t="s">
        <v>46</v>
      </c>
      <c r="C32" s="319"/>
      <c r="D32" s="354"/>
      <c r="E32" s="354">
        <v>10.345618060000001</v>
      </c>
      <c r="F32" s="354">
        <v>9.73382208</v>
      </c>
      <c r="G32" s="319">
        <v>10.38592214</v>
      </c>
      <c r="H32" s="354">
        <v>10.27642123</v>
      </c>
      <c r="I32" s="354"/>
      <c r="J32" s="335">
        <v>8.86034109</v>
      </c>
      <c r="K32" s="140">
        <v>9.12083887</v>
      </c>
      <c r="L32" s="140">
        <v>8.690214460000002</v>
      </c>
      <c r="M32" s="135">
        <v>8.75535074</v>
      </c>
      <c r="N32" s="112">
        <v>8.800613519999999</v>
      </c>
      <c r="O32" s="136">
        <v>8.798220390000001</v>
      </c>
      <c r="P32" s="136">
        <v>8.571285060000001</v>
      </c>
      <c r="Q32" s="174">
        <v>8.47775066</v>
      </c>
      <c r="R32" s="136">
        <v>8.49436184</v>
      </c>
      <c r="S32" s="188">
        <v>8.472565300000001</v>
      </c>
      <c r="T32" s="188">
        <v>8.32301907</v>
      </c>
      <c r="U32" s="188">
        <v>8.38536355</v>
      </c>
      <c r="V32" s="188">
        <v>8.27532874</v>
      </c>
      <c r="W32" s="188">
        <v>8.505948609999999</v>
      </c>
      <c r="X32" s="188">
        <v>8.57403257</v>
      </c>
      <c r="Y32" s="188">
        <v>8.59962707</v>
      </c>
      <c r="Z32" s="223">
        <v>8.43743312</v>
      </c>
      <c r="AA32" s="188">
        <v>8.2537164</v>
      </c>
      <c r="AB32" s="188">
        <v>8.31132619</v>
      </c>
      <c r="AC32" s="188">
        <v>8.428196550000001</v>
      </c>
      <c r="AD32" s="188">
        <v>8.46013767</v>
      </c>
      <c r="AE32" s="188">
        <v>8.40264443</v>
      </c>
      <c r="AF32" s="188">
        <v>8.12477001</v>
      </c>
      <c r="AG32" s="223">
        <v>7.8891647</v>
      </c>
    </row>
    <row r="33" spans="2:33" s="133" customFormat="1" ht="14.25">
      <c r="B33" s="117" t="s">
        <v>47</v>
      </c>
      <c r="C33" s="319"/>
      <c r="D33" s="354"/>
      <c r="E33" s="354">
        <v>6.7630072000000006</v>
      </c>
      <c r="F33" s="354">
        <v>6.57907082</v>
      </c>
      <c r="G33" s="319">
        <v>7.01982404</v>
      </c>
      <c r="H33" s="354">
        <v>5.15674711</v>
      </c>
      <c r="I33" s="354"/>
      <c r="J33" s="335">
        <v>7.03048098</v>
      </c>
      <c r="K33" s="140">
        <v>7.047480480000001</v>
      </c>
      <c r="L33" s="140">
        <v>6.78920021</v>
      </c>
      <c r="M33" s="135">
        <v>6.65272745</v>
      </c>
      <c r="N33" s="112">
        <v>6.786680639999999</v>
      </c>
      <c r="O33" s="136">
        <v>6.784835149999999</v>
      </c>
      <c r="P33" s="136">
        <v>6.609831699999998</v>
      </c>
      <c r="Q33" s="174">
        <v>6.3501845</v>
      </c>
      <c r="R33" s="136">
        <v>6.36262694</v>
      </c>
      <c r="S33" s="188">
        <v>6.34630045</v>
      </c>
      <c r="T33" s="188">
        <v>6.36229816</v>
      </c>
      <c r="U33" s="188">
        <v>6.409955630000001</v>
      </c>
      <c r="V33" s="188">
        <v>6.325842630000001</v>
      </c>
      <c r="W33" s="188">
        <v>6.306412269999998</v>
      </c>
      <c r="X33" s="188">
        <v>6.356890540000001</v>
      </c>
      <c r="Y33" s="188">
        <v>6.375866609999999</v>
      </c>
      <c r="Z33" s="223">
        <v>6.33428592</v>
      </c>
      <c r="AA33" s="188">
        <v>6.196363130000001</v>
      </c>
      <c r="AB33" s="188">
        <v>6.239612909999999</v>
      </c>
      <c r="AC33" s="188">
        <v>6.12698121</v>
      </c>
      <c r="AD33" s="188">
        <v>6.15020119</v>
      </c>
      <c r="AE33" s="188">
        <v>6.10840578</v>
      </c>
      <c r="AF33" s="188">
        <v>6.004688580000001</v>
      </c>
      <c r="AG33" s="223">
        <v>5.83056223</v>
      </c>
    </row>
    <row r="34" spans="2:33" s="133" customFormat="1" ht="14.25">
      <c r="B34" s="117" t="s">
        <v>48</v>
      </c>
      <c r="C34" s="199"/>
      <c r="D34" s="356"/>
      <c r="E34" s="356">
        <v>6.11980112</v>
      </c>
      <c r="F34" s="356">
        <v>5.95335832</v>
      </c>
      <c r="G34" s="199">
        <v>6.42045622</v>
      </c>
      <c r="H34" s="356">
        <v>5.42519264</v>
      </c>
      <c r="I34" s="356"/>
      <c r="J34" s="337">
        <v>4.847956969999999</v>
      </c>
      <c r="K34" s="134">
        <v>4.99048892</v>
      </c>
      <c r="L34" s="134">
        <v>5.930045219999999</v>
      </c>
      <c r="M34" s="137">
        <v>5.9744930400000005</v>
      </c>
      <c r="N34" s="113">
        <v>6.05253635</v>
      </c>
      <c r="O34" s="136">
        <v>6.0508904900000005</v>
      </c>
      <c r="P34" s="136">
        <v>5.894817929999999</v>
      </c>
      <c r="Q34" s="174">
        <v>5.830490559999999</v>
      </c>
      <c r="R34" s="136">
        <v>5.84191474</v>
      </c>
      <c r="S34" s="188">
        <v>5.8269243799999995</v>
      </c>
      <c r="T34" s="188">
        <v>5.8025191</v>
      </c>
      <c r="U34" s="188">
        <v>5.8459835</v>
      </c>
      <c r="V34" s="188">
        <v>5.7692710599999995</v>
      </c>
      <c r="W34" s="188">
        <v>5.93005121</v>
      </c>
      <c r="X34" s="188">
        <v>5.977516980000001</v>
      </c>
      <c r="Y34" s="188">
        <v>5.99536057</v>
      </c>
      <c r="Z34" s="223">
        <v>5.91817333</v>
      </c>
      <c r="AA34" s="188">
        <v>5.789310990000001</v>
      </c>
      <c r="AB34" s="188">
        <v>5.82971957</v>
      </c>
      <c r="AC34" s="188">
        <v>5.9116946299999995</v>
      </c>
      <c r="AD34" s="188">
        <v>5.9340987300000005</v>
      </c>
      <c r="AE34" s="188">
        <v>5.89377189</v>
      </c>
      <c r="AF34" s="188">
        <v>5.75877705</v>
      </c>
      <c r="AG34" s="223">
        <v>5.59178174</v>
      </c>
    </row>
    <row r="35" spans="2:33" s="133" customFormat="1" ht="14.25">
      <c r="B35" s="117" t="s">
        <v>96</v>
      </c>
      <c r="C35" s="199"/>
      <c r="D35" s="356"/>
      <c r="E35" s="356">
        <v>4.1459392</v>
      </c>
      <c r="F35" s="356">
        <v>4.05290934</v>
      </c>
      <c r="G35" s="199">
        <v>4.3907964900000005</v>
      </c>
      <c r="H35" s="356">
        <v>4.497162980000001</v>
      </c>
      <c r="I35" s="356"/>
      <c r="J35" s="337"/>
      <c r="K35" s="134"/>
      <c r="L35" s="134"/>
      <c r="M35" s="137"/>
      <c r="N35" s="172"/>
      <c r="O35" s="136"/>
      <c r="P35" s="136"/>
      <c r="Q35" s="174"/>
      <c r="R35" s="136"/>
      <c r="S35" s="188"/>
      <c r="T35" s="188"/>
      <c r="U35" s="188"/>
      <c r="V35" s="188"/>
      <c r="W35" s="188"/>
      <c r="X35" s="188"/>
      <c r="Y35" s="188"/>
      <c r="Z35" s="223"/>
      <c r="AA35" s="188"/>
      <c r="AB35" s="188"/>
      <c r="AC35" s="188"/>
      <c r="AD35" s="188"/>
      <c r="AE35" s="188"/>
      <c r="AF35" s="188"/>
      <c r="AG35" s="223"/>
    </row>
    <row r="36" spans="2:33" s="133" customFormat="1" ht="14.25">
      <c r="B36" s="117" t="s">
        <v>70</v>
      </c>
      <c r="C36" s="319"/>
      <c r="D36" s="354"/>
      <c r="E36" s="355">
        <v>0</v>
      </c>
      <c r="F36" s="355">
        <v>0</v>
      </c>
      <c r="G36" s="320">
        <v>0</v>
      </c>
      <c r="H36" s="355">
        <v>0</v>
      </c>
      <c r="I36" s="354"/>
      <c r="J36" s="335">
        <v>4.1448405699999995</v>
      </c>
      <c r="K36" s="140">
        <v>4.2667005300000005</v>
      </c>
      <c r="L36" s="140">
        <v>4.182741610000001</v>
      </c>
      <c r="M36" s="137">
        <v>4.21409277</v>
      </c>
      <c r="N36" s="172">
        <v>5.04445483</v>
      </c>
      <c r="O36" s="174">
        <v>5.0430831</v>
      </c>
      <c r="P36" s="136">
        <v>4.9130052300000004</v>
      </c>
      <c r="Q36" s="174">
        <v>4.85939192</v>
      </c>
      <c r="R36" s="136">
        <v>4.86891335</v>
      </c>
      <c r="S36" s="188">
        <v>4.89765445</v>
      </c>
      <c r="T36" s="188">
        <v>5.1632885</v>
      </c>
      <c r="U36" s="188">
        <v>5.31099141</v>
      </c>
      <c r="V36" s="188">
        <v>5.24129926</v>
      </c>
      <c r="W36" s="188">
        <v>5.3873657</v>
      </c>
      <c r="X36" s="188">
        <v>5.43048767</v>
      </c>
      <c r="Y36" s="188">
        <v>5.44669831</v>
      </c>
      <c r="Z36" s="223">
        <v>5.76870692</v>
      </c>
      <c r="AA36" s="188">
        <v>5.643099050000001</v>
      </c>
      <c r="AB36" s="188">
        <v>5.78575929</v>
      </c>
      <c r="AC36" s="188">
        <v>5.867116189999999</v>
      </c>
      <c r="AD36" s="188">
        <v>5.88935134</v>
      </c>
      <c r="AE36" s="188">
        <v>5.8493286</v>
      </c>
      <c r="AF36" s="188">
        <v>5.87354605</v>
      </c>
      <c r="AG36" s="223">
        <v>5.70322262</v>
      </c>
    </row>
    <row r="37" spans="2:33" s="133" customFormat="1" ht="14.25">
      <c r="B37" s="117" t="s">
        <v>49</v>
      </c>
      <c r="C37" s="319"/>
      <c r="D37" s="354"/>
      <c r="E37" s="354">
        <v>4.9712719299999995</v>
      </c>
      <c r="F37" s="354">
        <v>4.92341942</v>
      </c>
      <c r="G37" s="319">
        <v>5.25325513</v>
      </c>
      <c r="H37" s="354">
        <v>3.9791550499999997</v>
      </c>
      <c r="I37" s="354"/>
      <c r="J37" s="335">
        <v>3.89982681</v>
      </c>
      <c r="K37" s="140">
        <v>4.01448335</v>
      </c>
      <c r="L37" s="140">
        <v>4.85091235</v>
      </c>
      <c r="M37" s="137">
        <v>4.88727169</v>
      </c>
      <c r="N37" s="173">
        <v>4.940759519999999</v>
      </c>
      <c r="O37" s="174">
        <v>4.9394159900000005</v>
      </c>
      <c r="P37" s="136">
        <v>4.81201204</v>
      </c>
      <c r="Q37" s="174">
        <v>4.75950082</v>
      </c>
      <c r="R37" s="136">
        <v>4.768826519999999</v>
      </c>
      <c r="S37" s="188">
        <v>4.75658971</v>
      </c>
      <c r="T37" s="188">
        <v>4.72622104</v>
      </c>
      <c r="U37" s="188">
        <v>4.761623309999999</v>
      </c>
      <c r="V37" s="188">
        <v>4.69914011</v>
      </c>
      <c r="W37" s="188">
        <v>4.83009746</v>
      </c>
      <c r="X37" s="188">
        <v>4.8687589000000004</v>
      </c>
      <c r="Y37" s="188">
        <v>4.88329271</v>
      </c>
      <c r="Z37" s="223">
        <v>4.80919431</v>
      </c>
      <c r="AA37" s="188">
        <v>4.70447888</v>
      </c>
      <c r="AB37" s="188">
        <v>4.73731549</v>
      </c>
      <c r="AC37" s="188">
        <v>4.80392962</v>
      </c>
      <c r="AD37" s="188">
        <v>4.82213551</v>
      </c>
      <c r="AE37" s="188">
        <v>4.78936534</v>
      </c>
      <c r="AF37" s="188">
        <v>4.66813565</v>
      </c>
      <c r="AG37" s="223">
        <v>4.5327672</v>
      </c>
    </row>
    <row r="38" spans="2:33" s="133" customFormat="1" ht="14.25">
      <c r="B38" s="117" t="s">
        <v>50</v>
      </c>
      <c r="C38" s="319"/>
      <c r="D38" s="354"/>
      <c r="E38" s="354">
        <v>4.38082143</v>
      </c>
      <c r="F38" s="354">
        <v>4.09205331</v>
      </c>
      <c r="G38" s="319">
        <v>4.36619313</v>
      </c>
      <c r="H38" s="354">
        <v>4.35159701</v>
      </c>
      <c r="I38" s="354"/>
      <c r="J38" s="335">
        <v>3.78103123</v>
      </c>
      <c r="K38" s="140">
        <v>3.8921951299999997</v>
      </c>
      <c r="L38" s="140">
        <v>3.70706231</v>
      </c>
      <c r="M38" s="137">
        <v>3.73484808</v>
      </c>
      <c r="N38" s="173">
        <v>3.76671609</v>
      </c>
      <c r="O38" s="174">
        <v>3.76569182</v>
      </c>
      <c r="P38" s="136">
        <v>3.66856211</v>
      </c>
      <c r="Q38" s="174">
        <v>3.62852882</v>
      </c>
      <c r="R38" s="136">
        <v>3.6356385099999997</v>
      </c>
      <c r="S38" s="188">
        <v>3.62630946</v>
      </c>
      <c r="T38" s="188">
        <v>3.5940498599999997</v>
      </c>
      <c r="U38" s="188">
        <v>3.62097148</v>
      </c>
      <c r="V38" s="188">
        <v>3.5734562000000003</v>
      </c>
      <c r="W38" s="188">
        <v>3.67304257</v>
      </c>
      <c r="X38" s="188">
        <v>3.7024426200000002</v>
      </c>
      <c r="Y38" s="188">
        <v>3.71349485</v>
      </c>
      <c r="Z38" s="223">
        <v>3.64733602</v>
      </c>
      <c r="AA38" s="188">
        <v>3.5679189</v>
      </c>
      <c r="AB38" s="188">
        <v>3.59282247</v>
      </c>
      <c r="AC38" s="188">
        <v>3.64334323</v>
      </c>
      <c r="AD38" s="188">
        <v>3.65715074</v>
      </c>
      <c r="AE38" s="188">
        <v>3.6322975499999997</v>
      </c>
      <c r="AF38" s="188">
        <v>3.53025733</v>
      </c>
      <c r="AG38" s="223">
        <v>3.42788552</v>
      </c>
    </row>
    <row r="39" spans="2:33" s="133" customFormat="1" ht="14.25">
      <c r="B39" s="117" t="s">
        <v>54</v>
      </c>
      <c r="C39" s="199"/>
      <c r="D39" s="356"/>
      <c r="E39" s="356">
        <v>0.33862828</v>
      </c>
      <c r="F39" s="356">
        <v>0.32941846</v>
      </c>
      <c r="G39" s="199">
        <v>0.35148726</v>
      </c>
      <c r="H39" s="356">
        <v>0.360002</v>
      </c>
      <c r="I39" s="356"/>
      <c r="J39" s="337">
        <v>0.14610365</v>
      </c>
      <c r="K39" s="134">
        <v>0.21486070999999998</v>
      </c>
      <c r="L39" s="134">
        <v>0.21063273999999998</v>
      </c>
      <c r="M39" s="210">
        <v>0.21221151000000002</v>
      </c>
      <c r="N39" s="172">
        <v>0.6995840799999999</v>
      </c>
      <c r="O39" s="200">
        <v>0.6993938399999999</v>
      </c>
      <c r="P39" s="134">
        <v>0.68135415</v>
      </c>
      <c r="Q39" s="200">
        <v>0.6739188500000001</v>
      </c>
      <c r="R39" s="134">
        <v>0.6752393199999999</v>
      </c>
      <c r="S39" s="172">
        <v>0.67350666</v>
      </c>
      <c r="T39" s="172">
        <v>1.6983369099999999</v>
      </c>
      <c r="U39" s="172">
        <v>1.71105849</v>
      </c>
      <c r="V39" s="172">
        <v>1.68860556</v>
      </c>
      <c r="W39" s="172">
        <v>1.73566423</v>
      </c>
      <c r="X39" s="172">
        <v>1.74955697</v>
      </c>
      <c r="Y39" s="172">
        <v>2.1026561200000002</v>
      </c>
      <c r="Z39" s="113">
        <v>2.1314879700000002</v>
      </c>
      <c r="AA39" s="172">
        <v>2.08507693</v>
      </c>
      <c r="AB39" s="172">
        <v>2.09963048</v>
      </c>
      <c r="AC39" s="172">
        <v>2.1291546</v>
      </c>
      <c r="AD39" s="172">
        <v>2.1372236499999997</v>
      </c>
      <c r="AE39" s="172">
        <v>2.1226995499999997</v>
      </c>
      <c r="AF39" s="172">
        <v>2.1314879700000002</v>
      </c>
      <c r="AG39" s="113">
        <v>2.06967823</v>
      </c>
    </row>
    <row r="40" spans="2:33" s="133" customFormat="1" ht="14.25">
      <c r="B40" s="117" t="s">
        <v>52</v>
      </c>
      <c r="C40" s="199"/>
      <c r="D40" s="356"/>
      <c r="E40" s="356">
        <v>0.74007185</v>
      </c>
      <c r="F40" s="356">
        <v>0.7582626</v>
      </c>
      <c r="G40" s="199">
        <v>0.73454609</v>
      </c>
      <c r="H40" s="356">
        <v>0.75911448</v>
      </c>
      <c r="I40" s="356"/>
      <c r="J40" s="337">
        <v>0.8023475600000001</v>
      </c>
      <c r="K40" s="134">
        <v>0.7421266999999999</v>
      </c>
      <c r="L40" s="134">
        <v>0.9540280800000001</v>
      </c>
      <c r="M40" s="135">
        <v>1.12822981</v>
      </c>
      <c r="N40" s="172">
        <v>1.26222511</v>
      </c>
      <c r="O40" s="174">
        <v>1.16842453</v>
      </c>
      <c r="P40" s="136">
        <v>1.1643596600000001</v>
      </c>
      <c r="Q40" s="174">
        <v>1.1030529199999999</v>
      </c>
      <c r="R40" s="136">
        <v>1.07929101</v>
      </c>
      <c r="S40" s="188">
        <v>1.04455157</v>
      </c>
      <c r="T40" s="188">
        <v>1.0628088399999998</v>
      </c>
      <c r="U40" s="188">
        <v>1.05862455</v>
      </c>
      <c r="V40" s="188">
        <v>1.05334651</v>
      </c>
      <c r="W40" s="188">
        <v>1.04385407</v>
      </c>
      <c r="X40" s="188">
        <v>1.04837618</v>
      </c>
      <c r="Y40" s="188">
        <v>1.03640328</v>
      </c>
      <c r="Z40" s="223">
        <v>0.96699786</v>
      </c>
      <c r="AA40" s="188">
        <v>0.9935733499999999</v>
      </c>
      <c r="AB40" s="188">
        <v>1.00102249</v>
      </c>
      <c r="AC40" s="188">
        <v>0.9796810300000001</v>
      </c>
      <c r="AD40" s="188">
        <v>0.9796810300000001</v>
      </c>
      <c r="AE40" s="188">
        <v>0.9945514999999999</v>
      </c>
      <c r="AF40" s="188">
        <v>0.98423605</v>
      </c>
      <c r="AG40" s="113">
        <v>0.94874544</v>
      </c>
    </row>
    <row r="41" spans="2:33" s="133" customFormat="1" ht="14.25">
      <c r="B41" s="117" t="s">
        <v>53</v>
      </c>
      <c r="C41" s="199"/>
      <c r="D41" s="356"/>
      <c r="E41" s="356">
        <v>0.13298474</v>
      </c>
      <c r="F41" s="356">
        <v>0.1293679</v>
      </c>
      <c r="G41" s="199">
        <v>0.13803468</v>
      </c>
      <c r="H41" s="356">
        <v>0.14137855</v>
      </c>
      <c r="I41" s="356"/>
      <c r="J41" s="337">
        <v>0.0822754</v>
      </c>
      <c r="K41" s="134">
        <v>0.36998422</v>
      </c>
      <c r="L41" s="134">
        <v>0.36270377000000004</v>
      </c>
      <c r="M41" s="210">
        <v>0.76068795</v>
      </c>
      <c r="N41" s="172">
        <v>0.79031925</v>
      </c>
      <c r="O41" s="200">
        <v>0.79010434</v>
      </c>
      <c r="P41" s="134">
        <v>0.7697249300000001</v>
      </c>
      <c r="Q41" s="200">
        <v>0.76132528</v>
      </c>
      <c r="R41" s="134">
        <v>0.76281701</v>
      </c>
      <c r="S41" s="172">
        <v>0.76085962</v>
      </c>
      <c r="T41" s="172">
        <v>0.77754434</v>
      </c>
      <c r="U41" s="172">
        <v>0.78336862</v>
      </c>
      <c r="V41" s="172">
        <v>0.7730890600000001</v>
      </c>
      <c r="W41" s="172">
        <v>0.79463379</v>
      </c>
      <c r="X41" s="172">
        <v>0.80099426</v>
      </c>
      <c r="Y41" s="172">
        <v>0.80338532</v>
      </c>
      <c r="Z41" s="113">
        <v>0.8144014300000001</v>
      </c>
      <c r="AA41" s="172">
        <v>0.79666864</v>
      </c>
      <c r="AB41" s="172">
        <v>0.80222928</v>
      </c>
      <c r="AC41" s="172">
        <v>0.8135098900000001</v>
      </c>
      <c r="AD41" s="172">
        <v>0.81659292</v>
      </c>
      <c r="AE41" s="172">
        <v>0.81104354</v>
      </c>
      <c r="AF41" s="172">
        <v>0.8144014300000001</v>
      </c>
      <c r="AG41" s="113">
        <v>0.79078509</v>
      </c>
    </row>
    <row r="42" spans="2:33" s="133" customFormat="1" ht="14.25">
      <c r="B42" s="117" t="s">
        <v>55</v>
      </c>
      <c r="C42" s="199"/>
      <c r="D42" s="356"/>
      <c r="E42" s="356">
        <v>0.22368512</v>
      </c>
      <c r="F42" s="356">
        <v>0.21760146</v>
      </c>
      <c r="G42" s="199">
        <v>0.23217928</v>
      </c>
      <c r="H42" s="356">
        <v>0.23780379999999998</v>
      </c>
      <c r="I42" s="356"/>
      <c r="J42" s="337">
        <v>0.048311150000000004</v>
      </c>
      <c r="K42" s="134">
        <v>0.18458515</v>
      </c>
      <c r="L42" s="134">
        <v>0.18095294</v>
      </c>
      <c r="M42" s="210">
        <v>0.57757483</v>
      </c>
      <c r="N42" s="172">
        <v>0.60007327</v>
      </c>
      <c r="O42" s="200">
        <v>0.5999101</v>
      </c>
      <c r="P42" s="134">
        <v>0.58443642</v>
      </c>
      <c r="Q42" s="200">
        <v>0.5780587399999999</v>
      </c>
      <c r="R42" s="134">
        <v>0.57919138</v>
      </c>
      <c r="S42" s="172">
        <v>0.57770518</v>
      </c>
      <c r="T42" s="172">
        <v>0.5903735400000001</v>
      </c>
      <c r="U42" s="172">
        <v>0.5947958000000001</v>
      </c>
      <c r="V42" s="172">
        <v>0.58699074</v>
      </c>
      <c r="W42" s="172">
        <v>0.60334921</v>
      </c>
      <c r="X42" s="172">
        <v>0.6081785799999999</v>
      </c>
      <c r="Y42" s="172">
        <v>0.6099940699999999</v>
      </c>
      <c r="Z42" s="113">
        <v>0.61835838</v>
      </c>
      <c r="AA42" s="172">
        <v>0.60489424</v>
      </c>
      <c r="AB42" s="172">
        <v>0.6091163100000001</v>
      </c>
      <c r="AC42" s="172">
        <v>0.61768145</v>
      </c>
      <c r="AD42" s="172">
        <v>0.62002233</v>
      </c>
      <c r="AE42" s="172">
        <v>0.6158088</v>
      </c>
      <c r="AF42" s="172">
        <v>0.61835838</v>
      </c>
      <c r="AG42" s="113">
        <v>0.60042697</v>
      </c>
    </row>
    <row r="43" spans="2:33" s="133" customFormat="1" ht="14.25">
      <c r="B43" s="117" t="s">
        <v>56</v>
      </c>
      <c r="C43" s="199"/>
      <c r="D43" s="356"/>
      <c r="E43" s="356">
        <v>0.52125126</v>
      </c>
      <c r="F43" s="356">
        <v>0.50707457</v>
      </c>
      <c r="G43" s="199">
        <v>0.54104512</v>
      </c>
      <c r="H43" s="356">
        <v>0.55415187</v>
      </c>
      <c r="I43" s="356"/>
      <c r="J43" s="337">
        <v>0.0014527000000000001</v>
      </c>
      <c r="K43" s="134">
        <v>0.46574209000000005</v>
      </c>
      <c r="L43" s="134">
        <v>0.45657734</v>
      </c>
      <c r="M43" s="210">
        <v>0.45999955</v>
      </c>
      <c r="N43" s="172">
        <v>0.47791805</v>
      </c>
      <c r="O43" s="200">
        <v>0.47778809</v>
      </c>
      <c r="P43" s="134">
        <v>0.46546434999999997</v>
      </c>
      <c r="Q43" s="200">
        <v>0.46038495</v>
      </c>
      <c r="R43" s="134">
        <v>0.46128703000000004</v>
      </c>
      <c r="S43" s="172">
        <v>0.46010335999999996</v>
      </c>
      <c r="T43" s="172">
        <v>0.47019286</v>
      </c>
      <c r="U43" s="172">
        <v>0.47371489</v>
      </c>
      <c r="V43" s="172">
        <v>0.46749869</v>
      </c>
      <c r="W43" s="172">
        <v>0.48052711</v>
      </c>
      <c r="X43" s="172">
        <v>0.48437338</v>
      </c>
      <c r="Y43" s="172">
        <v>0.4858193</v>
      </c>
      <c r="Z43" s="113">
        <v>0.4924809</v>
      </c>
      <c r="AA43" s="172">
        <v>0.48175762</v>
      </c>
      <c r="AB43" s="172">
        <v>0.48512022</v>
      </c>
      <c r="AC43" s="172">
        <v>0.49194178000000005</v>
      </c>
      <c r="AD43" s="172">
        <v>0.49380614</v>
      </c>
      <c r="AE43" s="172">
        <v>0.49045034000000004</v>
      </c>
      <c r="AF43" s="172">
        <v>0.4924809</v>
      </c>
      <c r="AG43" s="113">
        <v>0.47819975</v>
      </c>
    </row>
    <row r="44" spans="2:33" s="133" customFormat="1" ht="14.25">
      <c r="B44" s="117" t="s">
        <v>57</v>
      </c>
      <c r="C44" s="199"/>
      <c r="D44" s="356"/>
      <c r="E44" s="356">
        <v>0.5151319</v>
      </c>
      <c r="F44" s="356">
        <v>0.50112165</v>
      </c>
      <c r="G44" s="199">
        <v>0.53469341</v>
      </c>
      <c r="H44" s="356">
        <v>0.54764628</v>
      </c>
      <c r="I44" s="356"/>
      <c r="J44" s="337">
        <v>0.02648172</v>
      </c>
      <c r="K44" s="134">
        <v>0.08881505</v>
      </c>
      <c r="L44" s="134">
        <v>0.08706736999999999</v>
      </c>
      <c r="M44" s="210">
        <v>0.08771997</v>
      </c>
      <c r="N44" s="113">
        <v>0.15958070000000002</v>
      </c>
      <c r="O44" s="134">
        <v>0.15953731</v>
      </c>
      <c r="P44" s="134">
        <v>0.15542231</v>
      </c>
      <c r="Q44" s="200">
        <v>0.15372626</v>
      </c>
      <c r="R44" s="134">
        <v>0.15402747</v>
      </c>
      <c r="S44" s="172">
        <v>0.15363224</v>
      </c>
      <c r="T44" s="172">
        <v>0.1570012</v>
      </c>
      <c r="U44" s="172">
        <v>0.15817724</v>
      </c>
      <c r="V44" s="172">
        <v>0.1561016</v>
      </c>
      <c r="W44" s="172">
        <v>0.16045189</v>
      </c>
      <c r="X44" s="172">
        <v>0.16173619</v>
      </c>
      <c r="Y44" s="172">
        <v>0.24570936</v>
      </c>
      <c r="Z44" s="113">
        <v>0.24907854999999998</v>
      </c>
      <c r="AA44" s="172">
        <v>0.24365510999999998</v>
      </c>
      <c r="AB44" s="172">
        <v>0.24535579000000002</v>
      </c>
      <c r="AC44" s="172">
        <v>0.24880588</v>
      </c>
      <c r="AD44" s="172">
        <v>0.24974881</v>
      </c>
      <c r="AE44" s="172">
        <v>0.24805157</v>
      </c>
      <c r="AF44" s="172">
        <v>0.24907854999999998</v>
      </c>
      <c r="AG44" s="113">
        <v>0.24185567000000002</v>
      </c>
    </row>
    <row r="45" spans="2:33" s="133" customFormat="1" ht="14.25">
      <c r="B45" s="117" t="s">
        <v>58</v>
      </c>
      <c r="C45" s="320"/>
      <c r="D45" s="355"/>
      <c r="E45" s="355">
        <v>0</v>
      </c>
      <c r="F45" s="355">
        <v>0</v>
      </c>
      <c r="G45" s="320">
        <v>0</v>
      </c>
      <c r="H45" s="355">
        <v>0</v>
      </c>
      <c r="I45" s="355"/>
      <c r="J45" s="336">
        <v>0</v>
      </c>
      <c r="K45" s="134">
        <v>0.034917199999999995</v>
      </c>
      <c r="L45" s="134">
        <v>0.03423011</v>
      </c>
      <c r="M45" s="210">
        <v>0.03448667</v>
      </c>
      <c r="N45" s="113">
        <v>0.10427378999999999</v>
      </c>
      <c r="O45" s="134">
        <v>0.10424542999999999</v>
      </c>
      <c r="P45" s="134">
        <v>0.1015566</v>
      </c>
      <c r="Q45" s="200">
        <v>0.10044836</v>
      </c>
      <c r="R45" s="134">
        <v>0.10064518</v>
      </c>
      <c r="S45" s="172">
        <v>0.10038692</v>
      </c>
      <c r="T45" s="172">
        <v>0.10258828</v>
      </c>
      <c r="U45" s="172">
        <v>0.10335673</v>
      </c>
      <c r="V45" s="172">
        <v>0.10200046</v>
      </c>
      <c r="W45" s="172">
        <v>0.10484304</v>
      </c>
      <c r="X45" s="172">
        <v>0.10568224000000001</v>
      </c>
      <c r="Y45" s="172">
        <v>0.10599771000000001</v>
      </c>
      <c r="Z45" s="113">
        <v>0.10745116</v>
      </c>
      <c r="AA45" s="172">
        <v>0.10511152</v>
      </c>
      <c r="AB45" s="172">
        <v>0.10584518</v>
      </c>
      <c r="AC45" s="172">
        <v>0.10733353</v>
      </c>
      <c r="AD45" s="172">
        <v>0.10774030999999999</v>
      </c>
      <c r="AE45" s="172">
        <v>0.10700813</v>
      </c>
      <c r="AF45" s="172">
        <v>0.10745116</v>
      </c>
      <c r="AG45" s="113">
        <v>0.10433525</v>
      </c>
    </row>
    <row r="46" spans="2:33" s="133" customFormat="1" ht="14.25">
      <c r="B46" s="117" t="s">
        <v>59</v>
      </c>
      <c r="C46" s="199"/>
      <c r="D46" s="356"/>
      <c r="E46" s="356">
        <v>0.02314196</v>
      </c>
      <c r="F46" s="356">
        <v>0.02251256</v>
      </c>
      <c r="G46" s="199">
        <v>0.024020740000000002</v>
      </c>
      <c r="H46" s="356">
        <v>0.02460264</v>
      </c>
      <c r="I46" s="356"/>
      <c r="J46" s="337">
        <v>0.00153482</v>
      </c>
      <c r="K46" s="134">
        <v>0.02548073</v>
      </c>
      <c r="L46" s="134">
        <v>0.02497933</v>
      </c>
      <c r="M46" s="210">
        <v>0.02516656</v>
      </c>
      <c r="N46" s="113">
        <v>0.09459063000000001</v>
      </c>
      <c r="O46" s="134">
        <v>0.09456491</v>
      </c>
      <c r="P46" s="134">
        <v>0.09212576</v>
      </c>
      <c r="Q46" s="200">
        <v>0.09112044</v>
      </c>
      <c r="R46" s="134">
        <v>0.09129898</v>
      </c>
      <c r="S46" s="172">
        <v>0.0910647</v>
      </c>
      <c r="T46" s="172">
        <v>0.09306164</v>
      </c>
      <c r="U46" s="172">
        <v>0.09375873</v>
      </c>
      <c r="V46" s="172">
        <v>0.0925284</v>
      </c>
      <c r="W46" s="172">
        <v>0.09510702</v>
      </c>
      <c r="X46" s="172">
        <v>0.09586828</v>
      </c>
      <c r="Y46" s="172">
        <v>0.09615446000000001</v>
      </c>
      <c r="Z46" s="113">
        <v>0.09747294000000001</v>
      </c>
      <c r="AA46" s="172">
        <v>0.09535056</v>
      </c>
      <c r="AB46" s="172">
        <v>0.09601610000000001</v>
      </c>
      <c r="AC46" s="172">
        <v>0.09736624</v>
      </c>
      <c r="AD46" s="172">
        <v>0.09773522999999999</v>
      </c>
      <c r="AE46" s="172">
        <v>0.09707105</v>
      </c>
      <c r="AF46" s="172">
        <v>0.09747294000000001</v>
      </c>
      <c r="AG46" s="113">
        <v>0.09464638</v>
      </c>
    </row>
    <row r="47" spans="2:33" s="133" customFormat="1" ht="14.25">
      <c r="B47" s="117" t="s">
        <v>60</v>
      </c>
      <c r="C47" s="199"/>
      <c r="D47" s="356"/>
      <c r="E47" s="356">
        <v>0.06007906</v>
      </c>
      <c r="F47" s="356">
        <v>0.05844506</v>
      </c>
      <c r="G47" s="199">
        <v>0.06236048</v>
      </c>
      <c r="H47" s="356">
        <v>0.06387116000000001</v>
      </c>
      <c r="I47" s="356"/>
      <c r="J47" s="337">
        <v>0.02545536</v>
      </c>
      <c r="K47" s="134">
        <v>0.03370484</v>
      </c>
      <c r="L47" s="134">
        <v>0.03304161</v>
      </c>
      <c r="M47" s="210">
        <v>0.033289269999999996</v>
      </c>
      <c r="N47" s="113">
        <v>0.03458599</v>
      </c>
      <c r="O47" s="134">
        <v>0.03457659</v>
      </c>
      <c r="P47" s="134">
        <v>0.03368474</v>
      </c>
      <c r="Q47" s="200">
        <v>0.03331716</v>
      </c>
      <c r="R47" s="134">
        <v>0.03338244</v>
      </c>
      <c r="S47" s="172">
        <v>0.03329678</v>
      </c>
      <c r="T47" s="172">
        <v>0.034026940000000006</v>
      </c>
      <c r="U47" s="172">
        <v>0.03428182</v>
      </c>
      <c r="V47" s="172">
        <v>0.03383197</v>
      </c>
      <c r="W47" s="172">
        <v>0.034774809999999996</v>
      </c>
      <c r="X47" s="172">
        <v>0.03505315</v>
      </c>
      <c r="Y47" s="172">
        <v>0.03515779</v>
      </c>
      <c r="Z47" s="216">
        <v>0.03563988</v>
      </c>
      <c r="AA47" s="172">
        <v>0.03486386</v>
      </c>
      <c r="AB47" s="172">
        <v>0.0351072</v>
      </c>
      <c r="AC47" s="172">
        <v>0.03560086</v>
      </c>
      <c r="AD47" s="172">
        <v>0.03573578</v>
      </c>
      <c r="AE47" s="172">
        <v>0.03549293</v>
      </c>
      <c r="AF47" s="172">
        <v>0.03563988</v>
      </c>
      <c r="AG47" s="113">
        <v>0.03460638</v>
      </c>
    </row>
    <row r="48" spans="2:33" s="133" customFormat="1" ht="14.25">
      <c r="B48" s="117" t="s">
        <v>97</v>
      </c>
      <c r="C48" s="199"/>
      <c r="D48" s="356"/>
      <c r="E48" s="356">
        <v>49.5234033</v>
      </c>
      <c r="F48" s="356">
        <v>44.38499768</v>
      </c>
      <c r="G48" s="199">
        <v>43.46641303</v>
      </c>
      <c r="H48" s="356">
        <v>0</v>
      </c>
      <c r="I48" s="356"/>
      <c r="J48" s="337"/>
      <c r="K48" s="134"/>
      <c r="L48" s="134"/>
      <c r="M48" s="210"/>
      <c r="N48" s="172"/>
      <c r="O48" s="134"/>
      <c r="P48" s="134"/>
      <c r="Q48" s="200"/>
      <c r="R48" s="134"/>
      <c r="S48" s="172"/>
      <c r="T48" s="172"/>
      <c r="U48" s="172"/>
      <c r="V48" s="172"/>
      <c r="W48" s="172"/>
      <c r="X48" s="172"/>
      <c r="Y48" s="172"/>
      <c r="Z48" s="216"/>
      <c r="AA48" s="172"/>
      <c r="AB48" s="172"/>
      <c r="AC48" s="172"/>
      <c r="AD48" s="172"/>
      <c r="AE48" s="172"/>
      <c r="AF48" s="172"/>
      <c r="AG48" s="113"/>
    </row>
    <row r="49" spans="2:33" s="133" customFormat="1" ht="14.25">
      <c r="B49" s="117" t="s">
        <v>81</v>
      </c>
      <c r="C49" s="319"/>
      <c r="D49" s="354"/>
      <c r="E49" s="354">
        <v>1.19283</v>
      </c>
      <c r="F49" s="354">
        <v>1.79976546</v>
      </c>
      <c r="G49" s="319">
        <v>2.30988244</v>
      </c>
      <c r="H49" s="354">
        <v>2.74401288</v>
      </c>
      <c r="I49" s="354"/>
      <c r="J49" s="335">
        <v>3.0342246200000003</v>
      </c>
      <c r="K49" s="140">
        <v>2.90779859</v>
      </c>
      <c r="L49" s="140">
        <v>2.90779859</v>
      </c>
      <c r="M49" s="135">
        <v>2.76554052</v>
      </c>
      <c r="N49" s="201">
        <v>0</v>
      </c>
      <c r="O49" s="202">
        <v>0</v>
      </c>
      <c r="P49" s="203">
        <v>0</v>
      </c>
      <c r="Q49" s="202">
        <v>0</v>
      </c>
      <c r="R49" s="203">
        <v>0</v>
      </c>
      <c r="S49" s="203">
        <v>0</v>
      </c>
      <c r="T49" s="203">
        <v>0</v>
      </c>
      <c r="U49" s="203">
        <v>0</v>
      </c>
      <c r="V49" s="203">
        <v>0</v>
      </c>
      <c r="W49" s="203">
        <v>0</v>
      </c>
      <c r="X49" s="203">
        <v>0</v>
      </c>
      <c r="Y49" s="203">
        <v>0</v>
      </c>
      <c r="Z49" s="217">
        <v>0</v>
      </c>
      <c r="AA49" s="203">
        <v>0</v>
      </c>
      <c r="AB49" s="203">
        <v>0</v>
      </c>
      <c r="AC49" s="203">
        <v>0</v>
      </c>
      <c r="AD49" s="203">
        <v>0</v>
      </c>
      <c r="AE49" s="203">
        <v>0</v>
      </c>
      <c r="AF49" s="203">
        <v>0</v>
      </c>
      <c r="AG49" s="196">
        <v>0</v>
      </c>
    </row>
    <row r="50" spans="2:33" ht="9.75" customHeight="1">
      <c r="B50" s="49"/>
      <c r="C50" s="317"/>
      <c r="D50" s="352"/>
      <c r="E50" s="352"/>
      <c r="F50" s="352"/>
      <c r="G50" s="317"/>
      <c r="H50" s="352"/>
      <c r="I50" s="352"/>
      <c r="J50" s="333"/>
      <c r="K50" s="139"/>
      <c r="L50" s="139"/>
      <c r="M50" s="82"/>
      <c r="N50" s="110"/>
      <c r="O50" s="190"/>
      <c r="P50" s="69"/>
      <c r="Q50" s="248"/>
      <c r="R50" s="190"/>
      <c r="S50" s="191"/>
      <c r="T50" s="191"/>
      <c r="U50" s="191"/>
      <c r="V50" s="191"/>
      <c r="W50" s="191"/>
      <c r="X50" s="191"/>
      <c r="Y50" s="191"/>
      <c r="Z50" s="218"/>
      <c r="AA50" s="191"/>
      <c r="AB50" s="191"/>
      <c r="AC50" s="191"/>
      <c r="AD50" s="191"/>
      <c r="AE50" s="191"/>
      <c r="AF50" s="191"/>
      <c r="AG50" s="218"/>
    </row>
    <row r="51" spans="2:33" s="29" customFormat="1" ht="15.75">
      <c r="B51" s="85" t="s">
        <v>69</v>
      </c>
      <c r="C51" s="314">
        <f aca="true" t="shared" si="9" ref="C51:H51">+C52</f>
        <v>294.363471</v>
      </c>
      <c r="D51" s="346">
        <f t="shared" si="9"/>
        <v>298.39582299999995</v>
      </c>
      <c r="E51" s="346">
        <f t="shared" si="9"/>
        <v>293.30022282</v>
      </c>
      <c r="F51" s="346">
        <f t="shared" si="9"/>
        <v>294.41019719</v>
      </c>
      <c r="G51" s="314">
        <f t="shared" si="9"/>
        <v>278.221239</v>
      </c>
      <c r="H51" s="346">
        <f t="shared" si="9"/>
        <v>281.03307429</v>
      </c>
      <c r="I51" s="346"/>
      <c r="J51" s="327">
        <f>+J52</f>
        <v>267.45787085999996</v>
      </c>
      <c r="K51" s="99">
        <f>+K52</f>
        <v>245.873126</v>
      </c>
      <c r="L51" s="99">
        <f>+L52</f>
        <v>249.61240377000001</v>
      </c>
      <c r="M51" s="99">
        <f>+M52</f>
        <v>238.15472313</v>
      </c>
      <c r="N51" s="105">
        <f>+N52</f>
        <v>228.93939381</v>
      </c>
      <c r="O51" s="87">
        <f aca="true" t="shared" si="10" ref="O51:U51">+O52</f>
        <v>221.41794015</v>
      </c>
      <c r="P51" s="87">
        <f t="shared" si="10"/>
        <v>207.20202776999997</v>
      </c>
      <c r="Q51" s="246">
        <f t="shared" si="10"/>
        <v>233.72768685000003</v>
      </c>
      <c r="R51" s="87">
        <f t="shared" si="10"/>
        <v>230.47359281</v>
      </c>
      <c r="S51" s="121">
        <f t="shared" si="10"/>
        <v>226.53129278999998</v>
      </c>
      <c r="T51" s="121">
        <f t="shared" si="10"/>
        <v>227.95613308</v>
      </c>
      <c r="U51" s="121">
        <f t="shared" si="10"/>
        <v>227.62235085000003</v>
      </c>
      <c r="V51" s="121">
        <f aca="true" t="shared" si="11" ref="V51:AB51">+V52</f>
        <v>213.92519522999999</v>
      </c>
      <c r="W51" s="121">
        <f t="shared" si="11"/>
        <v>215.21834078999998</v>
      </c>
      <c r="X51" s="121">
        <f t="shared" si="11"/>
        <v>214.91476973000002</v>
      </c>
      <c r="Y51" s="121">
        <f t="shared" si="11"/>
        <v>213.42533336000002</v>
      </c>
      <c r="Z51" s="214">
        <f t="shared" si="11"/>
        <v>206.09408189999996</v>
      </c>
      <c r="AA51" s="121">
        <f t="shared" si="11"/>
        <v>208.40959811</v>
      </c>
      <c r="AB51" s="121">
        <f t="shared" si="11"/>
        <v>196.44736199999997</v>
      </c>
      <c r="AC51" s="121">
        <f>+AC52</f>
        <v>214.42295671000005</v>
      </c>
      <c r="AD51" s="121">
        <f>+AD52</f>
        <v>213.62362371000003</v>
      </c>
      <c r="AE51" s="121">
        <f>+AE52</f>
        <v>214.83607549</v>
      </c>
      <c r="AF51" s="121">
        <f>+AF52</f>
        <v>213.01537262</v>
      </c>
      <c r="AG51" s="185">
        <f>+AG52</f>
        <v>208.68600228000003</v>
      </c>
    </row>
    <row r="52" spans="2:33" ht="14.25">
      <c r="B52" s="73" t="s">
        <v>41</v>
      </c>
      <c r="C52" s="321">
        <v>294.363471</v>
      </c>
      <c r="D52" s="357">
        <v>298.39582299999995</v>
      </c>
      <c r="E52" s="357">
        <v>293.30022282</v>
      </c>
      <c r="F52" s="357">
        <v>294.41019719</v>
      </c>
      <c r="G52" s="321">
        <v>278.221239</v>
      </c>
      <c r="H52" s="357">
        <v>281.03307429</v>
      </c>
      <c r="I52" s="357"/>
      <c r="J52" s="338">
        <v>267.45787085999996</v>
      </c>
      <c r="K52" s="141">
        <v>245.873126</v>
      </c>
      <c r="L52" s="141">
        <v>249.61240377000001</v>
      </c>
      <c r="M52" s="81">
        <v>238.15472313</v>
      </c>
      <c r="N52" s="114">
        <v>228.93939381</v>
      </c>
      <c r="O52" s="186">
        <v>221.41794015</v>
      </c>
      <c r="P52" s="71">
        <v>207.20202776999997</v>
      </c>
      <c r="Q52" s="247">
        <v>233.72768685000003</v>
      </c>
      <c r="R52" s="186">
        <v>230.47359281</v>
      </c>
      <c r="S52" s="187">
        <v>226.53129278999998</v>
      </c>
      <c r="T52" s="187">
        <v>227.95613308</v>
      </c>
      <c r="U52" s="187">
        <v>227.62235085000003</v>
      </c>
      <c r="V52" s="187">
        <v>213.92519522999999</v>
      </c>
      <c r="W52" s="187">
        <v>215.21834078999998</v>
      </c>
      <c r="X52" s="187">
        <v>214.91476973000002</v>
      </c>
      <c r="Y52" s="187">
        <v>213.42533336000002</v>
      </c>
      <c r="Z52" s="215">
        <v>206.09408189999996</v>
      </c>
      <c r="AA52" s="187">
        <v>208.40959811</v>
      </c>
      <c r="AB52" s="187">
        <v>196.44736199999997</v>
      </c>
      <c r="AC52" s="187">
        <v>214.42295671000005</v>
      </c>
      <c r="AD52" s="187">
        <v>213.62362371000003</v>
      </c>
      <c r="AE52" s="187">
        <v>214.83607549</v>
      </c>
      <c r="AF52" s="187">
        <v>213.01537262</v>
      </c>
      <c r="AG52" s="215">
        <v>208.68600228000003</v>
      </c>
    </row>
    <row r="53" spans="2:33" ht="15">
      <c r="B53" s="68"/>
      <c r="C53" s="321"/>
      <c r="D53" s="357"/>
      <c r="E53" s="357"/>
      <c r="F53" s="357"/>
      <c r="G53" s="321"/>
      <c r="H53" s="357"/>
      <c r="I53" s="357"/>
      <c r="J53" s="338"/>
      <c r="K53" s="141"/>
      <c r="L53" s="141"/>
      <c r="M53" s="81"/>
      <c r="N53" s="114"/>
      <c r="O53" s="186"/>
      <c r="P53" s="69"/>
      <c r="Q53" s="247"/>
      <c r="R53" s="186"/>
      <c r="S53" s="187"/>
      <c r="T53" s="187"/>
      <c r="U53" s="187"/>
      <c r="V53" s="187"/>
      <c r="W53" s="187"/>
      <c r="X53" s="187"/>
      <c r="Y53" s="187"/>
      <c r="Z53" s="215"/>
      <c r="AA53" s="187"/>
      <c r="AB53" s="187"/>
      <c r="AC53" s="187"/>
      <c r="AD53" s="187"/>
      <c r="AE53" s="187"/>
      <c r="AF53" s="187"/>
      <c r="AG53" s="215"/>
    </row>
    <row r="54" spans="2:33" ht="16.5">
      <c r="B54" s="221" t="s">
        <v>90</v>
      </c>
      <c r="C54" s="166"/>
      <c r="D54" s="358"/>
      <c r="E54" s="358"/>
      <c r="F54" s="358"/>
      <c r="G54" s="166"/>
      <c r="H54" s="358"/>
      <c r="I54" s="358"/>
      <c r="J54" s="339">
        <f>+J56</f>
        <v>14.939689990000002</v>
      </c>
      <c r="K54" s="94">
        <f>+K56</f>
        <v>16.9286307</v>
      </c>
      <c r="L54" s="94">
        <f>+L56</f>
        <v>34.17418255</v>
      </c>
      <c r="M54" s="94">
        <f>+M56</f>
        <v>44.592422729999996</v>
      </c>
      <c r="N54" s="115">
        <f>+N56</f>
        <v>69.65601459999999</v>
      </c>
      <c r="O54" s="76">
        <f aca="true" t="shared" si="12" ref="O54:U54">+O56</f>
        <v>68.92627146999999</v>
      </c>
      <c r="P54" s="76">
        <f t="shared" si="12"/>
        <v>70.11669145</v>
      </c>
      <c r="Q54" s="118">
        <f t="shared" si="12"/>
        <v>70.06252638000001</v>
      </c>
      <c r="R54" s="76">
        <f t="shared" si="12"/>
        <v>69.44503431</v>
      </c>
      <c r="S54" s="77">
        <f t="shared" si="12"/>
        <v>67.20978814</v>
      </c>
      <c r="T54" s="77">
        <f t="shared" si="12"/>
        <v>72.53467482</v>
      </c>
      <c r="U54" s="77">
        <f t="shared" si="12"/>
        <v>71.84292681</v>
      </c>
      <c r="V54" s="77">
        <f>+V56</f>
        <v>71.48473557</v>
      </c>
      <c r="W54" s="77">
        <f>+W56</f>
        <v>72.43767417</v>
      </c>
      <c r="X54" s="77">
        <f>+X56</f>
        <v>72.97711535</v>
      </c>
      <c r="Y54" s="77">
        <f>+Y56</f>
        <v>72.14368647999999</v>
      </c>
      <c r="Z54" s="119">
        <f aca="true" t="shared" si="13" ref="Z54:AE54">+Z56+Z61</f>
        <v>75.12634100999999</v>
      </c>
      <c r="AA54" s="77">
        <f t="shared" si="13"/>
        <v>74.7213762</v>
      </c>
      <c r="AB54" s="77">
        <f t="shared" si="13"/>
        <v>75.28158644</v>
      </c>
      <c r="AC54" s="77">
        <f t="shared" si="13"/>
        <v>77.1322139</v>
      </c>
      <c r="AD54" s="77">
        <f t="shared" si="13"/>
        <v>77.26592621</v>
      </c>
      <c r="AE54" s="77">
        <f t="shared" si="13"/>
        <v>81.28917800000002</v>
      </c>
      <c r="AF54" s="77">
        <f>+AF56+AF61</f>
        <v>87.67772497</v>
      </c>
      <c r="AG54" s="119">
        <f>+AG56+AG61</f>
        <v>89.45144794</v>
      </c>
    </row>
    <row r="55" spans="2:33" ht="7.5" customHeight="1">
      <c r="B55" s="72"/>
      <c r="C55" s="166"/>
      <c r="D55" s="358"/>
      <c r="E55" s="358"/>
      <c r="F55" s="358"/>
      <c r="G55" s="166"/>
      <c r="H55" s="358"/>
      <c r="I55" s="358"/>
      <c r="J55" s="339"/>
      <c r="K55" s="94"/>
      <c r="L55" s="94"/>
      <c r="M55" s="76"/>
      <c r="N55" s="115"/>
      <c r="O55" s="76"/>
      <c r="P55" s="76"/>
      <c r="Q55" s="118"/>
      <c r="R55" s="76"/>
      <c r="S55" s="77"/>
      <c r="T55" s="77"/>
      <c r="U55" s="77"/>
      <c r="V55" s="77"/>
      <c r="W55" s="77"/>
      <c r="X55" s="77"/>
      <c r="Y55" s="77"/>
      <c r="Z55" s="119"/>
      <c r="AA55" s="77"/>
      <c r="AB55" s="77"/>
      <c r="AC55" s="77"/>
      <c r="AD55" s="77"/>
      <c r="AE55" s="77"/>
      <c r="AF55" s="77"/>
      <c r="AG55" s="119"/>
    </row>
    <row r="56" spans="2:33" s="29" customFormat="1" ht="15.75">
      <c r="B56" s="85" t="s">
        <v>66</v>
      </c>
      <c r="C56" s="168"/>
      <c r="D56" s="350"/>
      <c r="E56" s="350"/>
      <c r="F56" s="350"/>
      <c r="G56" s="168"/>
      <c r="H56" s="350"/>
      <c r="I56" s="350"/>
      <c r="J56" s="331">
        <f>+J57+J58</f>
        <v>14.939689990000002</v>
      </c>
      <c r="K56" s="92">
        <v>16.9286307</v>
      </c>
      <c r="L56" s="92">
        <f>+L57+L58</f>
        <v>34.17418255</v>
      </c>
      <c r="M56" s="92">
        <f>+M57+M58</f>
        <v>44.592422729999996</v>
      </c>
      <c r="N56" s="109">
        <f>+N57+N58</f>
        <v>69.65601459999999</v>
      </c>
      <c r="O56" s="87">
        <f aca="true" t="shared" si="14" ref="O56:U56">+O57+O58</f>
        <v>68.92627146999999</v>
      </c>
      <c r="P56" s="87">
        <f t="shared" si="14"/>
        <v>70.11669145</v>
      </c>
      <c r="Q56" s="120">
        <f t="shared" si="14"/>
        <v>70.06252638000001</v>
      </c>
      <c r="R56" s="87">
        <f t="shared" si="14"/>
        <v>69.44503431</v>
      </c>
      <c r="S56" s="121">
        <f t="shared" si="14"/>
        <v>67.20978814</v>
      </c>
      <c r="T56" s="121">
        <f t="shared" si="14"/>
        <v>72.53467482</v>
      </c>
      <c r="U56" s="121">
        <f t="shared" si="14"/>
        <v>71.84292681</v>
      </c>
      <c r="V56" s="121">
        <f>+V57+V58</f>
        <v>71.48473557</v>
      </c>
      <c r="W56" s="121">
        <f aca="true" t="shared" si="15" ref="W56:AB56">+W57+W58+W59</f>
        <v>72.43767417</v>
      </c>
      <c r="X56" s="121">
        <f t="shared" si="15"/>
        <v>72.97711535</v>
      </c>
      <c r="Y56" s="121">
        <f t="shared" si="15"/>
        <v>72.14368647999999</v>
      </c>
      <c r="Z56" s="185">
        <f t="shared" si="15"/>
        <v>72.29850124</v>
      </c>
      <c r="AA56" s="121">
        <f t="shared" si="15"/>
        <v>71.91959023</v>
      </c>
      <c r="AB56" s="121">
        <f t="shared" si="15"/>
        <v>72.45879458</v>
      </c>
      <c r="AC56" s="121">
        <f>+AC57+AC58+AC59</f>
        <v>74.31746131999999</v>
      </c>
      <c r="AD56" s="121">
        <f>+AD57+AD58+AD59</f>
        <v>74.31746132</v>
      </c>
      <c r="AE56" s="121">
        <f>+AE57+AE58+AE59</f>
        <v>75.44551819000002</v>
      </c>
      <c r="AF56" s="121">
        <f>+AF57+AF58+AF59</f>
        <v>76.59433077</v>
      </c>
      <c r="AG56" s="185">
        <f>+AG57+AG58+AG59</f>
        <v>73.78598260999999</v>
      </c>
    </row>
    <row r="57" spans="2:33" s="29" customFormat="1" ht="14.25">
      <c r="B57" s="73" t="s">
        <v>64</v>
      </c>
      <c r="C57" s="322"/>
      <c r="D57" s="359"/>
      <c r="E57" s="359"/>
      <c r="F57" s="359"/>
      <c r="G57" s="322"/>
      <c r="H57" s="359"/>
      <c r="I57" s="359"/>
      <c r="J57" s="340">
        <v>14.939689990000002</v>
      </c>
      <c r="K57" s="93">
        <v>16.928630700000003</v>
      </c>
      <c r="L57" s="93">
        <v>21.79207</v>
      </c>
      <c r="M57" s="93">
        <v>27.368730369999998</v>
      </c>
      <c r="N57" s="224">
        <v>36.33574804</v>
      </c>
      <c r="O57" s="124">
        <v>35.95497589</v>
      </c>
      <c r="P57" s="71">
        <v>37.260100800000004</v>
      </c>
      <c r="Q57" s="124">
        <v>37.23131742</v>
      </c>
      <c r="R57" s="71">
        <v>37.32107361</v>
      </c>
      <c r="S57" s="125">
        <v>36.119810089999994</v>
      </c>
      <c r="T57" s="125">
        <v>41.99209487</v>
      </c>
      <c r="U57" s="125">
        <v>42.59185308</v>
      </c>
      <c r="V57" s="125">
        <v>42.37950053</v>
      </c>
      <c r="W57" s="125">
        <v>42.77557064</v>
      </c>
      <c r="X57" s="125">
        <v>42.96087997</v>
      </c>
      <c r="Y57" s="125">
        <v>42.47024893</v>
      </c>
      <c r="Z57" s="126">
        <v>42.5613868</v>
      </c>
      <c r="AA57" s="125">
        <v>42.63952552000001</v>
      </c>
      <c r="AB57" s="125">
        <v>42.95920779</v>
      </c>
      <c r="AC57" s="125">
        <v>42.836860449999996</v>
      </c>
      <c r="AD57" s="255">
        <v>42.83686045</v>
      </c>
      <c r="AE57" s="255">
        <v>43.48707661</v>
      </c>
      <c r="AF57" s="125">
        <v>43.0360304</v>
      </c>
      <c r="AG57" s="126">
        <v>41.22617501</v>
      </c>
    </row>
    <row r="58" spans="2:33" s="29" customFormat="1" ht="14.25">
      <c r="B58" s="73" t="s">
        <v>65</v>
      </c>
      <c r="C58" s="226"/>
      <c r="D58" s="360"/>
      <c r="E58" s="360"/>
      <c r="F58" s="360"/>
      <c r="G58" s="226"/>
      <c r="H58" s="360"/>
      <c r="I58" s="360"/>
      <c r="J58" s="341">
        <v>0</v>
      </c>
      <c r="K58" s="179">
        <v>0</v>
      </c>
      <c r="L58" s="93">
        <v>12.38211255</v>
      </c>
      <c r="M58" s="93">
        <v>17.22369236</v>
      </c>
      <c r="N58" s="224">
        <v>33.32026656</v>
      </c>
      <c r="O58" s="124">
        <v>32.971295579999996</v>
      </c>
      <c r="P58" s="71">
        <v>32.85659065</v>
      </c>
      <c r="Q58" s="124">
        <v>32.83120896</v>
      </c>
      <c r="R58" s="71">
        <v>32.1239607</v>
      </c>
      <c r="S58" s="125">
        <v>31.08997805</v>
      </c>
      <c r="T58" s="125">
        <v>30.54257995</v>
      </c>
      <c r="U58" s="125">
        <v>29.25107373</v>
      </c>
      <c r="V58" s="125">
        <v>29.10523504</v>
      </c>
      <c r="W58" s="125">
        <v>29.37724659</v>
      </c>
      <c r="X58" s="125">
        <v>29.50451264</v>
      </c>
      <c r="Y58" s="125">
        <v>29.16755889</v>
      </c>
      <c r="Z58" s="126">
        <v>29.23015021</v>
      </c>
      <c r="AA58" s="125">
        <v>27.80120482</v>
      </c>
      <c r="AB58" s="125">
        <v>28.00963941</v>
      </c>
      <c r="AC58" s="125">
        <v>27.92986828</v>
      </c>
      <c r="AD58" s="255">
        <v>27.92986828</v>
      </c>
      <c r="AE58" s="255">
        <v>28.35381279</v>
      </c>
      <c r="AF58" s="125">
        <v>28.05972818</v>
      </c>
      <c r="AG58" s="126">
        <v>26.87969253</v>
      </c>
    </row>
    <row r="59" spans="2:33" s="29" customFormat="1" ht="14.25">
      <c r="B59" s="73" t="s">
        <v>86</v>
      </c>
      <c r="C59" s="226"/>
      <c r="D59" s="360"/>
      <c r="E59" s="360"/>
      <c r="F59" s="360"/>
      <c r="G59" s="226"/>
      <c r="H59" s="360"/>
      <c r="I59" s="360"/>
      <c r="J59" s="341">
        <v>0</v>
      </c>
      <c r="K59" s="179">
        <v>0</v>
      </c>
      <c r="L59" s="179">
        <v>0</v>
      </c>
      <c r="M59" s="179">
        <v>0</v>
      </c>
      <c r="N59" s="189">
        <v>0</v>
      </c>
      <c r="O59" s="225">
        <v>0</v>
      </c>
      <c r="P59" s="179">
        <v>0</v>
      </c>
      <c r="Q59" s="225">
        <v>0</v>
      </c>
      <c r="R59" s="179">
        <v>0</v>
      </c>
      <c r="S59" s="189">
        <v>0</v>
      </c>
      <c r="T59" s="189">
        <v>0</v>
      </c>
      <c r="U59" s="189">
        <v>0</v>
      </c>
      <c r="V59" s="189">
        <v>0</v>
      </c>
      <c r="W59" s="129">
        <v>0.28485694</v>
      </c>
      <c r="X59" s="129">
        <v>0.51172274</v>
      </c>
      <c r="Y59" s="129">
        <v>0.50587866</v>
      </c>
      <c r="Z59" s="107">
        <v>0.50696423</v>
      </c>
      <c r="AA59" s="129">
        <v>1.4788598899999998</v>
      </c>
      <c r="AB59" s="129">
        <v>1.48994738</v>
      </c>
      <c r="AC59" s="129">
        <v>3.55073259</v>
      </c>
      <c r="AD59" s="129">
        <v>3.55073259</v>
      </c>
      <c r="AE59" s="129">
        <v>3.60462879</v>
      </c>
      <c r="AF59" s="129">
        <v>5.49857219</v>
      </c>
      <c r="AG59" s="107">
        <v>5.68011507</v>
      </c>
    </row>
    <row r="60" spans="2:33" s="29" customFormat="1" ht="14.25">
      <c r="B60" s="73"/>
      <c r="C60" s="226"/>
      <c r="D60" s="360"/>
      <c r="E60" s="360"/>
      <c r="F60" s="360"/>
      <c r="G60" s="226"/>
      <c r="H60" s="360"/>
      <c r="I60" s="360"/>
      <c r="J60" s="341"/>
      <c r="K60" s="179"/>
      <c r="L60" s="179"/>
      <c r="M60" s="179"/>
      <c r="N60" s="189"/>
      <c r="O60" s="225"/>
      <c r="P60" s="179"/>
      <c r="Q60" s="225"/>
      <c r="R60" s="179"/>
      <c r="S60" s="189"/>
      <c r="T60" s="189"/>
      <c r="U60" s="189"/>
      <c r="V60" s="189"/>
      <c r="W60" s="129"/>
      <c r="X60" s="129"/>
      <c r="Y60" s="129"/>
      <c r="Z60" s="107"/>
      <c r="AA60" s="129"/>
      <c r="AB60" s="129"/>
      <c r="AC60" s="129"/>
      <c r="AD60" s="129"/>
      <c r="AE60" s="129"/>
      <c r="AF60" s="129"/>
      <c r="AG60" s="107"/>
    </row>
    <row r="61" spans="2:33" s="29" customFormat="1" ht="15.75">
      <c r="B61" s="85" t="s">
        <v>67</v>
      </c>
      <c r="C61" s="226"/>
      <c r="D61" s="360"/>
      <c r="E61" s="360"/>
      <c r="F61" s="360"/>
      <c r="G61" s="226"/>
      <c r="H61" s="360"/>
      <c r="I61" s="360"/>
      <c r="J61" s="341">
        <v>0</v>
      </c>
      <c r="K61" s="179">
        <v>0</v>
      </c>
      <c r="L61" s="179">
        <v>0</v>
      </c>
      <c r="M61" s="179">
        <v>0</v>
      </c>
      <c r="N61" s="189">
        <v>0</v>
      </c>
      <c r="O61" s="225">
        <v>0</v>
      </c>
      <c r="P61" s="179">
        <v>0</v>
      </c>
      <c r="Q61" s="225">
        <v>0</v>
      </c>
      <c r="R61" s="179">
        <v>0</v>
      </c>
      <c r="S61" s="189">
        <v>0</v>
      </c>
      <c r="T61" s="189">
        <v>0</v>
      </c>
      <c r="U61" s="189">
        <v>0</v>
      </c>
      <c r="V61" s="189">
        <v>0</v>
      </c>
      <c r="W61" s="189">
        <v>0</v>
      </c>
      <c r="X61" s="189">
        <v>0</v>
      </c>
      <c r="Y61" s="189">
        <v>0</v>
      </c>
      <c r="Z61" s="185">
        <f aca="true" t="shared" si="16" ref="Z61:AE61">+Z62</f>
        <v>2.82783977</v>
      </c>
      <c r="AA61" s="121">
        <f t="shared" si="16"/>
        <v>2.80178597</v>
      </c>
      <c r="AB61" s="121">
        <f t="shared" si="16"/>
        <v>2.82279186</v>
      </c>
      <c r="AC61" s="121">
        <f t="shared" si="16"/>
        <v>2.81475258</v>
      </c>
      <c r="AD61" s="121">
        <f t="shared" si="16"/>
        <v>2.94846489</v>
      </c>
      <c r="AE61" s="121">
        <f t="shared" si="16"/>
        <v>5.84365981</v>
      </c>
      <c r="AF61" s="121">
        <f>+AF62+AF63</f>
        <v>11.083394199999999</v>
      </c>
      <c r="AG61" s="185">
        <f>+AG62+AG63</f>
        <v>15.66546533</v>
      </c>
    </row>
    <row r="62" spans="1:34" s="29" customFormat="1" ht="14.25">
      <c r="A62" s="63"/>
      <c r="B62" s="261" t="s">
        <v>93</v>
      </c>
      <c r="C62" s="323"/>
      <c r="D62" s="361"/>
      <c r="E62" s="361"/>
      <c r="F62" s="361"/>
      <c r="G62" s="323"/>
      <c r="H62" s="361"/>
      <c r="I62" s="361"/>
      <c r="J62" s="342">
        <v>0</v>
      </c>
      <c r="K62" s="262">
        <v>0</v>
      </c>
      <c r="L62" s="262">
        <v>0</v>
      </c>
      <c r="M62" s="262">
        <v>0</v>
      </c>
      <c r="N62" s="263">
        <v>0</v>
      </c>
      <c r="O62" s="264">
        <v>0</v>
      </c>
      <c r="P62" s="262">
        <v>0</v>
      </c>
      <c r="Q62" s="264">
        <v>0</v>
      </c>
      <c r="R62" s="262">
        <v>0</v>
      </c>
      <c r="S62" s="263">
        <v>0</v>
      </c>
      <c r="T62" s="263">
        <v>0</v>
      </c>
      <c r="U62" s="263">
        <v>0</v>
      </c>
      <c r="V62" s="263">
        <v>0</v>
      </c>
      <c r="W62" s="263">
        <v>0</v>
      </c>
      <c r="X62" s="263">
        <v>0</v>
      </c>
      <c r="Y62" s="263">
        <v>0</v>
      </c>
      <c r="Z62" s="265">
        <v>2.82783977</v>
      </c>
      <c r="AA62" s="237">
        <v>2.80178597</v>
      </c>
      <c r="AB62" s="237">
        <v>2.82279186</v>
      </c>
      <c r="AC62" s="237">
        <v>2.81475258</v>
      </c>
      <c r="AD62" s="237">
        <v>2.94846489</v>
      </c>
      <c r="AE62" s="237">
        <v>5.84365981</v>
      </c>
      <c r="AF62" s="237">
        <v>9.40368485</v>
      </c>
      <c r="AG62" s="265">
        <v>9.6691998</v>
      </c>
      <c r="AH62" s="63"/>
    </row>
    <row r="63" spans="1:35" s="29" customFormat="1" ht="14.25" customHeight="1">
      <c r="A63" s="63"/>
      <c r="B63" s="261" t="s">
        <v>94</v>
      </c>
      <c r="C63" s="323"/>
      <c r="D63" s="361"/>
      <c r="E63" s="361"/>
      <c r="F63" s="361"/>
      <c r="G63" s="323"/>
      <c r="H63" s="361"/>
      <c r="I63" s="361"/>
      <c r="J63" s="342">
        <v>0</v>
      </c>
      <c r="K63" s="262">
        <v>0</v>
      </c>
      <c r="L63" s="262">
        <v>0</v>
      </c>
      <c r="M63" s="262">
        <v>0</v>
      </c>
      <c r="N63" s="263">
        <v>0</v>
      </c>
      <c r="O63" s="264"/>
      <c r="P63" s="262"/>
      <c r="Q63" s="266">
        <v>0</v>
      </c>
      <c r="R63" s="262"/>
      <c r="S63" s="262"/>
      <c r="T63" s="263">
        <v>0</v>
      </c>
      <c r="U63" s="262"/>
      <c r="V63" s="262"/>
      <c r="W63" s="263">
        <v>0</v>
      </c>
      <c r="X63" s="263"/>
      <c r="Y63" s="262"/>
      <c r="Z63" s="263">
        <v>0</v>
      </c>
      <c r="AA63" s="238"/>
      <c r="AB63" s="238"/>
      <c r="AC63" s="266">
        <v>0</v>
      </c>
      <c r="AD63" s="262">
        <v>0</v>
      </c>
      <c r="AE63" s="263">
        <v>0</v>
      </c>
      <c r="AF63" s="238">
        <v>1.67970935</v>
      </c>
      <c r="AG63" s="279">
        <v>5.99626553</v>
      </c>
      <c r="AH63" s="63"/>
      <c r="AI63" s="63"/>
    </row>
    <row r="64" spans="1:35" ht="7.5" customHeight="1">
      <c r="A64" s="64"/>
      <c r="B64" s="267"/>
      <c r="C64" s="324"/>
      <c r="D64" s="362"/>
      <c r="E64" s="362"/>
      <c r="F64" s="362"/>
      <c r="G64" s="324"/>
      <c r="H64" s="362"/>
      <c r="I64" s="362"/>
      <c r="J64" s="343"/>
      <c r="K64" s="268"/>
      <c r="L64" s="268"/>
      <c r="M64" s="269"/>
      <c r="N64" s="270"/>
      <c r="O64" s="271"/>
      <c r="P64" s="269"/>
      <c r="Q64" s="272"/>
      <c r="R64" s="273"/>
      <c r="S64" s="239"/>
      <c r="T64" s="239"/>
      <c r="U64" s="239"/>
      <c r="V64" s="239"/>
      <c r="W64" s="239"/>
      <c r="X64" s="239"/>
      <c r="Y64" s="239"/>
      <c r="Z64" s="259"/>
      <c r="AA64" s="239"/>
      <c r="AB64" s="239"/>
      <c r="AC64" s="239"/>
      <c r="AD64" s="239"/>
      <c r="AE64" s="239"/>
      <c r="AF64" s="239"/>
      <c r="AG64" s="259"/>
      <c r="AH64" s="64"/>
      <c r="AI64" s="64"/>
    </row>
    <row r="65" spans="1:35" ht="15" customHeight="1">
      <c r="A65" s="64"/>
      <c r="B65" s="658" t="s">
        <v>38</v>
      </c>
      <c r="C65" s="687"/>
      <c r="D65" s="685"/>
      <c r="E65" s="363"/>
      <c r="F65" s="685"/>
      <c r="G65" s="687"/>
      <c r="H65" s="363"/>
      <c r="I65" s="685"/>
      <c r="J65" s="656">
        <f>+J54+J14</f>
        <v>1316.0870598600002</v>
      </c>
      <c r="K65" s="654">
        <f>+K54+K14</f>
        <v>1263.83214488</v>
      </c>
      <c r="L65" s="654">
        <f>+L54+L14</f>
        <v>1452.9654064100002</v>
      </c>
      <c r="M65" s="665">
        <f>+M54+M14</f>
        <v>1469.6550480800001</v>
      </c>
      <c r="N65" s="679">
        <f>+N54+N14</f>
        <v>1436.0203609599998</v>
      </c>
      <c r="O65" s="675">
        <f aca="true" t="shared" si="17" ref="O65:AE65">+O14+O54</f>
        <v>1364.9131930300002</v>
      </c>
      <c r="P65" s="677">
        <f t="shared" si="17"/>
        <v>1349.84898768</v>
      </c>
      <c r="Q65" s="675">
        <f t="shared" si="17"/>
        <v>1332.2625221</v>
      </c>
      <c r="R65" s="677">
        <f t="shared" si="17"/>
        <v>1313.85761809</v>
      </c>
      <c r="S65" s="633">
        <f t="shared" si="17"/>
        <v>1287.05137139</v>
      </c>
      <c r="T65" s="633">
        <f t="shared" si="17"/>
        <v>1306.07589442</v>
      </c>
      <c r="U65" s="633">
        <f t="shared" si="17"/>
        <v>1302.8961888</v>
      </c>
      <c r="V65" s="633">
        <f t="shared" si="17"/>
        <v>1285.7891193300002</v>
      </c>
      <c r="W65" s="633">
        <f t="shared" si="17"/>
        <v>1280.28947147</v>
      </c>
      <c r="X65" s="633">
        <f t="shared" si="17"/>
        <v>1285.55421148</v>
      </c>
      <c r="Y65" s="633">
        <f t="shared" si="17"/>
        <v>1271.43363676</v>
      </c>
      <c r="Z65" s="621">
        <f t="shared" si="17"/>
        <v>1218.2868897299998</v>
      </c>
      <c r="AA65" s="633">
        <f t="shared" si="17"/>
        <v>1241.4910621600002</v>
      </c>
      <c r="AB65" s="633">
        <f t="shared" si="17"/>
        <v>1233.5195655599998</v>
      </c>
      <c r="AC65" s="633">
        <f t="shared" si="17"/>
        <v>1237.0540822799999</v>
      </c>
      <c r="AD65" s="633">
        <f t="shared" si="17"/>
        <v>1238.50853425</v>
      </c>
      <c r="AE65" s="633">
        <f t="shared" si="17"/>
        <v>1250.0613920000003</v>
      </c>
      <c r="AF65" s="633">
        <f>+AF14+AF54</f>
        <v>1244.33630392</v>
      </c>
      <c r="AG65" s="621">
        <f>+AG14+AG54</f>
        <v>1221.59343107</v>
      </c>
      <c r="AH65" s="64"/>
      <c r="AI65" s="64"/>
    </row>
    <row r="66" spans="1:35" ht="15" customHeight="1">
      <c r="A66" s="64"/>
      <c r="B66" s="659"/>
      <c r="C66" s="688"/>
      <c r="D66" s="686"/>
      <c r="E66" s="364"/>
      <c r="F66" s="686"/>
      <c r="G66" s="688"/>
      <c r="H66" s="364"/>
      <c r="I66" s="686"/>
      <c r="J66" s="657"/>
      <c r="K66" s="655"/>
      <c r="L66" s="655"/>
      <c r="M66" s="666"/>
      <c r="N66" s="680"/>
      <c r="O66" s="676"/>
      <c r="P66" s="678"/>
      <c r="Q66" s="676"/>
      <c r="R66" s="678"/>
      <c r="S66" s="634"/>
      <c r="T66" s="634"/>
      <c r="U66" s="634"/>
      <c r="V66" s="634"/>
      <c r="W66" s="634"/>
      <c r="X66" s="634"/>
      <c r="Y66" s="634"/>
      <c r="Z66" s="622"/>
      <c r="AA66" s="634"/>
      <c r="AB66" s="634"/>
      <c r="AC66" s="634"/>
      <c r="AD66" s="634"/>
      <c r="AE66" s="634"/>
      <c r="AF66" s="634"/>
      <c r="AG66" s="622"/>
      <c r="AH66" s="64"/>
      <c r="AI66" s="64"/>
    </row>
    <row r="67" spans="1:35" ht="6.75" customHeight="1">
      <c r="A67" s="64"/>
      <c r="B67" s="274"/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5"/>
      <c r="N67" s="275"/>
      <c r="O67" s="275"/>
      <c r="P67" s="276"/>
      <c r="Q67" s="64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231"/>
      <c r="AC67" s="231"/>
      <c r="AD67" s="231"/>
      <c r="AE67" s="231"/>
      <c r="AF67" s="231"/>
      <c r="AG67" s="231"/>
      <c r="AH67" s="64"/>
      <c r="AI67" s="64"/>
    </row>
    <row r="68" spans="1:36" ht="15">
      <c r="A68" s="64"/>
      <c r="B68" s="28" t="s">
        <v>82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63"/>
      <c r="N68" s="63"/>
      <c r="O68" s="63"/>
      <c r="P68" s="63"/>
      <c r="Q68" s="63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231"/>
      <c r="AC68" s="231"/>
      <c r="AD68" s="231"/>
      <c r="AE68" s="231"/>
      <c r="AF68" s="231"/>
      <c r="AG68" s="231"/>
      <c r="AH68" s="64"/>
      <c r="AI68" s="64"/>
      <c r="AJ68" s="64"/>
    </row>
    <row r="69" spans="1:44" ht="15">
      <c r="A69" s="64"/>
      <c r="B69" s="63" t="s">
        <v>92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4"/>
      <c r="N69" s="64"/>
      <c r="O69" s="64"/>
      <c r="P69" s="64"/>
      <c r="Q69" s="64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231"/>
      <c r="AC69" s="231"/>
      <c r="AD69" s="231"/>
      <c r="AE69" s="231"/>
      <c r="AF69" s="231"/>
      <c r="AG69" s="231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</row>
    <row r="70" spans="1:44" ht="15">
      <c r="A70" s="64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4"/>
      <c r="N70" s="64"/>
      <c r="O70" s="64"/>
      <c r="P70" s="64"/>
      <c r="Q70" s="64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231"/>
      <c r="AC70" s="231"/>
      <c r="AD70" s="231"/>
      <c r="AE70" s="231"/>
      <c r="AF70" s="231"/>
      <c r="AG70" s="231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</row>
    <row r="71" spans="1:44" ht="14.25">
      <c r="A71" s="64"/>
      <c r="B71" s="63"/>
      <c r="C71" s="286"/>
      <c r="D71" s="286"/>
      <c r="E71" s="286"/>
      <c r="F71" s="286"/>
      <c r="G71" s="286"/>
      <c r="H71" s="286"/>
      <c r="I71" s="286"/>
      <c r="J71" s="286">
        <v>40878</v>
      </c>
      <c r="K71" s="286">
        <v>40969</v>
      </c>
      <c r="L71" s="286">
        <v>41061</v>
      </c>
      <c r="M71" s="287">
        <v>41153</v>
      </c>
      <c r="N71" s="287">
        <v>41244</v>
      </c>
      <c r="O71" s="288">
        <v>41275</v>
      </c>
      <c r="P71" s="288">
        <v>41306</v>
      </c>
      <c r="Q71" s="288">
        <v>41334</v>
      </c>
      <c r="R71" s="288">
        <v>41365</v>
      </c>
      <c r="S71" s="288">
        <v>41395</v>
      </c>
      <c r="T71" s="288">
        <v>41426</v>
      </c>
      <c r="U71" s="288">
        <v>41456</v>
      </c>
      <c r="V71" s="288">
        <v>41487</v>
      </c>
      <c r="W71" s="288">
        <v>41518</v>
      </c>
      <c r="X71" s="288">
        <v>41548</v>
      </c>
      <c r="Y71" s="288">
        <v>41579</v>
      </c>
      <c r="Z71" s="288">
        <v>41609</v>
      </c>
      <c r="AA71" s="288">
        <v>41640</v>
      </c>
      <c r="AB71" s="288">
        <v>41671</v>
      </c>
      <c r="AC71" s="288">
        <v>41699</v>
      </c>
      <c r="AD71" s="288">
        <v>41730</v>
      </c>
      <c r="AE71" s="288">
        <v>41760</v>
      </c>
      <c r="AF71" s="288">
        <v>41791</v>
      </c>
      <c r="AG71" s="288">
        <v>41821</v>
      </c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</row>
    <row r="72" spans="1:44" ht="14.25">
      <c r="A72" s="64"/>
      <c r="B72" s="63"/>
      <c r="C72" s="289"/>
      <c r="D72" s="289"/>
      <c r="E72" s="289"/>
      <c r="F72" s="289"/>
      <c r="G72" s="289"/>
      <c r="H72" s="289"/>
      <c r="I72" s="289"/>
      <c r="J72" s="289">
        <v>2.697</v>
      </c>
      <c r="K72" s="289">
        <v>2.668</v>
      </c>
      <c r="L72" s="289">
        <v>2.671</v>
      </c>
      <c r="M72" s="289">
        <v>2.598</v>
      </c>
      <c r="N72" s="289">
        <v>2.551</v>
      </c>
      <c r="O72" s="290">
        <v>0.387897595035</v>
      </c>
      <c r="P72" s="290">
        <v>0.386548125242</v>
      </c>
      <c r="Q72" s="290">
        <v>0.386249517188</v>
      </c>
      <c r="R72" s="290">
        <v>0.3779289493575208</v>
      </c>
      <c r="S72" s="290">
        <v>2.734</v>
      </c>
      <c r="T72" s="291">
        <v>2.783</v>
      </c>
      <c r="U72" s="291">
        <v>2.794</v>
      </c>
      <c r="V72" s="291">
        <v>2.808</v>
      </c>
      <c r="W72" s="291">
        <v>2.782</v>
      </c>
      <c r="X72" s="292">
        <v>2.77</v>
      </c>
      <c r="Y72" s="291">
        <v>2.802</v>
      </c>
      <c r="Z72" s="291">
        <v>2.796</v>
      </c>
      <c r="AA72" s="291">
        <v>2.822</v>
      </c>
      <c r="AB72" s="293">
        <v>2.801</v>
      </c>
      <c r="AC72" s="293">
        <v>2.809</v>
      </c>
      <c r="AD72" s="293">
        <v>2.809</v>
      </c>
      <c r="AE72" s="293">
        <v>2.767</v>
      </c>
      <c r="AF72" s="293">
        <v>2.796</v>
      </c>
      <c r="AG72" s="293">
        <v>2.797</v>
      </c>
      <c r="AH72" s="294"/>
      <c r="AI72" s="64"/>
      <c r="AJ72" s="64"/>
      <c r="AK72" s="64"/>
      <c r="AL72" s="64"/>
      <c r="AM72" s="64"/>
      <c r="AN72" s="64"/>
      <c r="AO72" s="64"/>
      <c r="AP72" s="64"/>
      <c r="AQ72" s="64"/>
      <c r="AR72" s="64"/>
    </row>
    <row r="73" spans="1:44" ht="15">
      <c r="A73" s="64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64"/>
      <c r="N73" s="64"/>
      <c r="O73" s="64"/>
      <c r="P73" s="64"/>
      <c r="Q73" s="295">
        <f>+Q65/Q72</f>
        <v>3449.2276697178245</v>
      </c>
      <c r="R73" s="295">
        <f aca="true" t="shared" si="18" ref="R73:AB73">+R65*R72</f>
        <v>496.5448292101285</v>
      </c>
      <c r="S73" s="295">
        <f t="shared" si="18"/>
        <v>3518.79844938026</v>
      </c>
      <c r="T73" s="295">
        <f t="shared" si="18"/>
        <v>3634.80921417086</v>
      </c>
      <c r="U73" s="295">
        <f t="shared" si="18"/>
        <v>3640.2919515072</v>
      </c>
      <c r="V73" s="295">
        <f t="shared" si="18"/>
        <v>3610.49584707864</v>
      </c>
      <c r="W73" s="295">
        <f t="shared" si="18"/>
        <v>3561.7653096295403</v>
      </c>
      <c r="X73" s="295">
        <f t="shared" si="18"/>
        <v>3560.9851657996</v>
      </c>
      <c r="Y73" s="295">
        <f t="shared" si="18"/>
        <v>3562.55705020152</v>
      </c>
      <c r="Z73" s="295">
        <f t="shared" si="18"/>
        <v>3406.3301436850793</v>
      </c>
      <c r="AA73" s="295">
        <f t="shared" si="18"/>
        <v>3503.4877774155207</v>
      </c>
      <c r="AB73" s="295">
        <f t="shared" si="18"/>
        <v>3455.0883031335597</v>
      </c>
      <c r="AC73" s="295">
        <f>+AC65*AC72</f>
        <v>3474.8849171245197</v>
      </c>
      <c r="AD73" s="295">
        <f>+AD65*AD72</f>
        <v>3478.97047270825</v>
      </c>
      <c r="AE73" s="295">
        <f>+AE65*AE72</f>
        <v>3458.9198716640008</v>
      </c>
      <c r="AF73" s="295">
        <f>+AF65*AF72</f>
        <v>3479.16430576032</v>
      </c>
      <c r="AG73" s="295">
        <f>+AG65*AG72</f>
        <v>3416.79682670279</v>
      </c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</row>
    <row r="74" spans="1:44" ht="15" customHeight="1">
      <c r="A74" s="64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64"/>
      <c r="N74" s="64"/>
      <c r="O74" s="64"/>
      <c r="P74" s="64"/>
      <c r="Q74" s="296">
        <f aca="true" t="shared" si="19" ref="Q74:AB74">+Q73-Q133</f>
        <v>0</v>
      </c>
      <c r="R74" s="296">
        <f t="shared" si="19"/>
        <v>-2979.9224282560112</v>
      </c>
      <c r="S74" s="296">
        <f t="shared" si="19"/>
        <v>0</v>
      </c>
      <c r="T74" s="296">
        <f t="shared" si="19"/>
        <v>0</v>
      </c>
      <c r="U74" s="296">
        <f t="shared" si="19"/>
        <v>0</v>
      </c>
      <c r="V74" s="296">
        <f t="shared" si="19"/>
        <v>0</v>
      </c>
      <c r="W74" s="296">
        <f t="shared" si="19"/>
        <v>0</v>
      </c>
      <c r="X74" s="296">
        <f t="shared" si="19"/>
        <v>0</v>
      </c>
      <c r="Y74" s="296">
        <f t="shared" si="19"/>
        <v>0</v>
      </c>
      <c r="Z74" s="296">
        <f t="shared" si="19"/>
        <v>0</v>
      </c>
      <c r="AA74" s="296">
        <f t="shared" si="19"/>
        <v>0</v>
      </c>
      <c r="AB74" s="296">
        <f t="shared" si="19"/>
        <v>0</v>
      </c>
      <c r="AC74" s="296">
        <f>+AC73-AC133</f>
        <v>0</v>
      </c>
      <c r="AD74" s="296">
        <f>+AD73-AD133</f>
        <v>0</v>
      </c>
      <c r="AE74" s="296">
        <f>+AE73-AE133</f>
        <v>0</v>
      </c>
      <c r="AF74" s="296">
        <f>+AF73-AF133</f>
        <v>0</v>
      </c>
      <c r="AG74" s="296">
        <f>+AG73-AG133</f>
        <v>0</v>
      </c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</row>
    <row r="75" spans="1:44" ht="18">
      <c r="A75" s="64"/>
      <c r="B75" s="44" t="s">
        <v>84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11"/>
      <c r="N75" s="11"/>
      <c r="O75" s="11"/>
      <c r="P75" s="63"/>
      <c r="Q75" s="65"/>
      <c r="R75" s="33"/>
      <c r="S75" s="64"/>
      <c r="T75" s="64"/>
      <c r="U75" s="64"/>
      <c r="V75" s="64"/>
      <c r="W75" s="213"/>
      <c r="X75" s="213"/>
      <c r="Y75" s="213"/>
      <c r="Z75" s="228"/>
      <c r="AA75" s="236"/>
      <c r="AB75" s="236"/>
      <c r="AC75" s="236"/>
      <c r="AD75" s="236"/>
      <c r="AE75" s="236"/>
      <c r="AF75" s="236"/>
      <c r="AG75" s="236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</row>
    <row r="76" spans="1:44" ht="15.75">
      <c r="A76" s="64"/>
      <c r="B76" s="45" t="str">
        <f>+B6</f>
        <v>POR OPERACIONES DE ENDEUDAMIENTO, SECTOR INSTITUCIONAL Y DEUDOR</v>
      </c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64"/>
      <c r="X76" s="64"/>
      <c r="Y76" s="64"/>
      <c r="Z76" s="64"/>
      <c r="AA76" s="229"/>
      <c r="AB76" s="232"/>
      <c r="AC76" s="232"/>
      <c r="AD76" s="232"/>
      <c r="AE76" s="232"/>
      <c r="AF76" s="232"/>
      <c r="AG76" s="232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</row>
    <row r="77" spans="1:44" ht="16.5">
      <c r="A77" s="64"/>
      <c r="B77" s="54" t="str">
        <f>+B7</f>
        <v>Período: De 2011 al 31 de julio de 2014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2"/>
      <c r="N77" s="2"/>
      <c r="O77" s="2"/>
      <c r="P77" s="63"/>
      <c r="Q77" s="65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7"/>
      <c r="AC77" s="67"/>
      <c r="AD77" s="67"/>
      <c r="AE77" s="67"/>
      <c r="AF77" s="260"/>
      <c r="AG77" s="260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</row>
    <row r="78" spans="1:36" ht="15">
      <c r="A78" s="64"/>
      <c r="B78" s="55" t="s">
        <v>40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12"/>
      <c r="N78" s="12"/>
      <c r="O78" s="12"/>
      <c r="P78" s="63"/>
      <c r="Q78" s="66"/>
      <c r="R78" s="67"/>
      <c r="S78" s="64"/>
      <c r="T78" s="64"/>
      <c r="U78" s="64"/>
      <c r="V78" s="64"/>
      <c r="W78" s="64"/>
      <c r="X78" s="64"/>
      <c r="Y78" s="64"/>
      <c r="Z78" s="64"/>
      <c r="AA78" s="64"/>
      <c r="AB78" s="67"/>
      <c r="AC78" s="67"/>
      <c r="AD78" s="67"/>
      <c r="AE78" s="67"/>
      <c r="AF78" s="67"/>
      <c r="AG78" s="67"/>
      <c r="AH78" s="64"/>
      <c r="AI78" s="64"/>
      <c r="AJ78" s="64"/>
    </row>
    <row r="79" spans="1:36" ht="7.5" customHeight="1">
      <c r="A79" s="6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30"/>
      <c r="Q79" s="66"/>
      <c r="R79" s="67"/>
      <c r="S79" s="64"/>
      <c r="T79" s="64"/>
      <c r="U79" s="64"/>
      <c r="V79" s="64"/>
      <c r="W79" s="64"/>
      <c r="X79" s="64"/>
      <c r="Y79" s="64"/>
      <c r="Z79" s="64"/>
      <c r="AA79" s="64"/>
      <c r="AB79" s="67"/>
      <c r="AC79" s="67"/>
      <c r="AD79" s="67"/>
      <c r="AE79" s="67"/>
      <c r="AF79" s="67"/>
      <c r="AG79" s="67"/>
      <c r="AH79" s="64"/>
      <c r="AI79" s="64"/>
      <c r="AJ79" s="64"/>
    </row>
    <row r="80" spans="2:36" ht="19.5" customHeight="1">
      <c r="B80" s="649" t="s">
        <v>87</v>
      </c>
      <c r="C80" s="102"/>
      <c r="D80" s="102"/>
      <c r="E80" s="102"/>
      <c r="F80" s="102"/>
      <c r="G80" s="102"/>
      <c r="H80" s="102"/>
      <c r="I80" s="102"/>
      <c r="J80" s="102">
        <v>2011</v>
      </c>
      <c r="K80" s="667">
        <v>2012</v>
      </c>
      <c r="L80" s="668"/>
      <c r="M80" s="668"/>
      <c r="N80" s="669"/>
      <c r="O80" s="628">
        <v>2013</v>
      </c>
      <c r="P80" s="629"/>
      <c r="Q80" s="629"/>
      <c r="R80" s="629"/>
      <c r="S80" s="629"/>
      <c r="T80" s="629"/>
      <c r="U80" s="629"/>
      <c r="V80" s="629"/>
      <c r="W80" s="629"/>
      <c r="X80" s="629"/>
      <c r="Y80" s="629"/>
      <c r="Z80" s="630"/>
      <c r="AA80" s="628">
        <v>2014</v>
      </c>
      <c r="AB80" s="629"/>
      <c r="AC80" s="629"/>
      <c r="AD80" s="629"/>
      <c r="AE80" s="629"/>
      <c r="AF80" s="629"/>
      <c r="AG80" s="630"/>
      <c r="AH80" s="64"/>
      <c r="AI80" s="64"/>
      <c r="AJ80" s="64"/>
    </row>
    <row r="81" spans="2:36" ht="13.5" customHeight="1">
      <c r="B81" s="650"/>
      <c r="C81" s="661"/>
      <c r="D81" s="661"/>
      <c r="E81" s="283"/>
      <c r="F81" s="661"/>
      <c r="G81" s="661"/>
      <c r="H81" s="283"/>
      <c r="I81" s="661"/>
      <c r="J81" s="661" t="s">
        <v>80</v>
      </c>
      <c r="K81" s="663" t="s">
        <v>35</v>
      </c>
      <c r="L81" s="663" t="s">
        <v>74</v>
      </c>
      <c r="M81" s="641" t="s">
        <v>77</v>
      </c>
      <c r="N81" s="646" t="s">
        <v>80</v>
      </c>
      <c r="O81" s="681" t="s">
        <v>33</v>
      </c>
      <c r="P81" s="641" t="s">
        <v>34</v>
      </c>
      <c r="Q81" s="641" t="s">
        <v>35</v>
      </c>
      <c r="R81" s="641" t="s">
        <v>36</v>
      </c>
      <c r="S81" s="641" t="s">
        <v>37</v>
      </c>
      <c r="T81" s="631" t="s">
        <v>74</v>
      </c>
      <c r="U81" s="631" t="s">
        <v>75</v>
      </c>
      <c r="V81" s="631" t="s">
        <v>76</v>
      </c>
      <c r="W81" s="631" t="s">
        <v>77</v>
      </c>
      <c r="X81" s="631" t="s">
        <v>78</v>
      </c>
      <c r="Y81" s="631" t="s">
        <v>79</v>
      </c>
      <c r="Z81" s="638" t="s">
        <v>80</v>
      </c>
      <c r="AA81" s="637" t="s">
        <v>33</v>
      </c>
      <c r="AB81" s="637" t="s">
        <v>34</v>
      </c>
      <c r="AC81" s="637" t="s">
        <v>35</v>
      </c>
      <c r="AD81" s="637" t="s">
        <v>36</v>
      </c>
      <c r="AE81" s="637" t="s">
        <v>37</v>
      </c>
      <c r="AF81" s="631" t="s">
        <v>74</v>
      </c>
      <c r="AG81" s="619" t="s">
        <v>75</v>
      </c>
      <c r="AH81" s="64"/>
      <c r="AI81" s="64"/>
      <c r="AJ81" s="64"/>
    </row>
    <row r="82" spans="2:36" ht="11.25" customHeight="1">
      <c r="B82" s="651"/>
      <c r="C82" s="662"/>
      <c r="D82" s="662"/>
      <c r="E82" s="284"/>
      <c r="F82" s="662"/>
      <c r="G82" s="662"/>
      <c r="H82" s="284"/>
      <c r="I82" s="662"/>
      <c r="J82" s="662"/>
      <c r="K82" s="664"/>
      <c r="L82" s="664"/>
      <c r="M82" s="640"/>
      <c r="N82" s="620"/>
      <c r="O82" s="682"/>
      <c r="P82" s="640"/>
      <c r="Q82" s="640"/>
      <c r="R82" s="640"/>
      <c r="S82" s="640"/>
      <c r="T82" s="632"/>
      <c r="U82" s="632"/>
      <c r="V82" s="632"/>
      <c r="W82" s="632"/>
      <c r="X82" s="632"/>
      <c r="Y82" s="632"/>
      <c r="Z82" s="620"/>
      <c r="AA82" s="632"/>
      <c r="AB82" s="632"/>
      <c r="AC82" s="632"/>
      <c r="AD82" s="632"/>
      <c r="AE82" s="632"/>
      <c r="AF82" s="632"/>
      <c r="AG82" s="620"/>
      <c r="AH82" s="64"/>
      <c r="AI82" s="64"/>
      <c r="AJ82" s="64"/>
    </row>
    <row r="83" spans="2:35" ht="11.25" customHeight="1">
      <c r="B83" s="103"/>
      <c r="C83" s="101"/>
      <c r="D83" s="101"/>
      <c r="E83" s="101"/>
      <c r="F83" s="101"/>
      <c r="G83" s="101"/>
      <c r="H83" s="101"/>
      <c r="I83" s="101"/>
      <c r="J83" s="101"/>
      <c r="K83" s="130"/>
      <c r="L83" s="130"/>
      <c r="M83" s="130"/>
      <c r="N83" s="171"/>
      <c r="O83" s="132"/>
      <c r="P83" s="130"/>
      <c r="Q83" s="130"/>
      <c r="R83" s="130"/>
      <c r="S83" s="130"/>
      <c r="T83" s="131"/>
      <c r="U83" s="131"/>
      <c r="V83" s="131"/>
      <c r="W83" s="131"/>
      <c r="X83" s="131"/>
      <c r="Y83" s="131"/>
      <c r="Z83" s="171"/>
      <c r="AA83" s="131"/>
      <c r="AB83" s="280"/>
      <c r="AC83" s="280"/>
      <c r="AD83" s="280"/>
      <c r="AE83" s="280"/>
      <c r="AF83" s="280"/>
      <c r="AG83" s="285"/>
      <c r="AH83" s="64"/>
      <c r="AI83" s="64"/>
    </row>
    <row r="84" spans="2:35" s="29" customFormat="1" ht="16.5">
      <c r="B84" s="221" t="s">
        <v>89</v>
      </c>
      <c r="C84" s="297"/>
      <c r="D84" s="297"/>
      <c r="E84" s="297"/>
      <c r="F84" s="297"/>
      <c r="G84" s="297"/>
      <c r="H84" s="297"/>
      <c r="I84" s="297"/>
      <c r="J84" s="297">
        <f aca="true" t="shared" si="20" ref="J84:W84">+J86+J92+J95+J119</f>
        <v>3509.194456539391</v>
      </c>
      <c r="K84" s="298">
        <f t="shared" si="20"/>
        <v>3326.7385758322393</v>
      </c>
      <c r="L84" s="298">
        <f t="shared" si="20"/>
        <v>3789.5913589300585</v>
      </c>
      <c r="M84" s="298">
        <f t="shared" si="20"/>
        <v>3702.3127006592995</v>
      </c>
      <c r="N84" s="241">
        <f t="shared" si="20"/>
        <v>3485.59544756436</v>
      </c>
      <c r="O84" s="299">
        <f t="shared" si="20"/>
        <v>3341.0542837809107</v>
      </c>
      <c r="P84" s="300">
        <f t="shared" si="20"/>
        <v>3310.667450343521</v>
      </c>
      <c r="Q84" s="300">
        <f t="shared" si="20"/>
        <v>3267.835788919955</v>
      </c>
      <c r="R84" s="300">
        <f t="shared" si="20"/>
        <v>3292.7156966818798</v>
      </c>
      <c r="S84" s="298">
        <f t="shared" si="20"/>
        <v>3335.0468886055005</v>
      </c>
      <c r="T84" s="240">
        <f t="shared" si="20"/>
        <v>3432.945214146799</v>
      </c>
      <c r="U84" s="240">
        <f t="shared" si="20"/>
        <v>3439.5628140000604</v>
      </c>
      <c r="V84" s="240">
        <f t="shared" si="20"/>
        <v>3409.76670959808</v>
      </c>
      <c r="W84" s="240">
        <f t="shared" si="20"/>
        <v>3360.2437000886002</v>
      </c>
      <c r="X84" s="240">
        <f aca="true" t="shared" si="21" ref="X84:AC84">+X86+X92+X95+X119</f>
        <v>3358.8385562800995</v>
      </c>
      <c r="Y84" s="240">
        <f t="shared" si="21"/>
        <v>3360.41044068456</v>
      </c>
      <c r="Z84" s="241">
        <f t="shared" si="21"/>
        <v>3196.2768942211187</v>
      </c>
      <c r="AA84" s="240">
        <f t="shared" si="21"/>
        <v>3292.624053779119</v>
      </c>
      <c r="AB84" s="240">
        <f t="shared" si="21"/>
        <v>3244.2245795151202</v>
      </c>
      <c r="AC84" s="240">
        <f t="shared" si="21"/>
        <v>3258.22052827942</v>
      </c>
      <c r="AD84" s="240">
        <f>+AD86+AD92+AD95+AD119</f>
        <v>3261.9304859843614</v>
      </c>
      <c r="AE84" s="240">
        <f>+AE86+AE92+AE95+AE119</f>
        <v>3233.992716137999</v>
      </c>
      <c r="AF84" s="240">
        <f>+AF86+AF92+AF95+AF119</f>
        <v>3234.017386744199</v>
      </c>
      <c r="AG84" s="241">
        <f>+AG86+AG92+AG95+AG119</f>
        <v>3166.6011268146094</v>
      </c>
      <c r="AH84" s="63"/>
      <c r="AI84" s="63"/>
    </row>
    <row r="85" spans="2:35" s="29" customFormat="1" ht="10.5" customHeight="1">
      <c r="B85" s="50"/>
      <c r="C85" s="301"/>
      <c r="D85" s="301"/>
      <c r="E85" s="301"/>
      <c r="F85" s="301"/>
      <c r="G85" s="301"/>
      <c r="H85" s="301"/>
      <c r="I85" s="301"/>
      <c r="J85" s="301"/>
      <c r="K85" s="302"/>
      <c r="L85" s="302"/>
      <c r="M85" s="298"/>
      <c r="N85" s="241"/>
      <c r="O85" s="299"/>
      <c r="P85" s="300"/>
      <c r="Q85" s="300"/>
      <c r="R85" s="300"/>
      <c r="S85" s="298"/>
      <c r="T85" s="240"/>
      <c r="U85" s="240"/>
      <c r="V85" s="240"/>
      <c r="W85" s="240"/>
      <c r="X85" s="240"/>
      <c r="Y85" s="240"/>
      <c r="Z85" s="241"/>
      <c r="AA85" s="240"/>
      <c r="AB85" s="240"/>
      <c r="AC85" s="240"/>
      <c r="AD85" s="240"/>
      <c r="AE85" s="240"/>
      <c r="AF85" s="240"/>
      <c r="AG85" s="241"/>
      <c r="AH85" s="63"/>
      <c r="AI85" s="63"/>
    </row>
    <row r="86" spans="2:35" s="29" customFormat="1" ht="15.75">
      <c r="B86" s="85" t="s">
        <v>66</v>
      </c>
      <c r="C86" s="303"/>
      <c r="D86" s="303"/>
      <c r="E86" s="303"/>
      <c r="F86" s="303"/>
      <c r="G86" s="303"/>
      <c r="H86" s="303"/>
      <c r="I86" s="303"/>
      <c r="J86" s="303">
        <f>+J87+J88+J90+J89</f>
        <v>458.6817310785001</v>
      </c>
      <c r="K86" s="304">
        <f>+K87+K88+K90+K89</f>
        <v>460.75266776328</v>
      </c>
      <c r="L86" s="304">
        <f>+L87+L88+L90+L89</f>
        <v>500.25430504479</v>
      </c>
      <c r="M86" s="304">
        <f>+M87+M88+M90+M89</f>
        <v>516.77406231366</v>
      </c>
      <c r="N86" s="243">
        <f aca="true" t="shared" si="22" ref="N86:W86">+N87+N88+N90+N89</f>
        <v>510.01402350313</v>
      </c>
      <c r="O86" s="305">
        <f t="shared" si="22"/>
        <v>478.02544378567006</v>
      </c>
      <c r="P86" s="306">
        <f t="shared" si="22"/>
        <v>483.97990752865985</v>
      </c>
      <c r="Q86" s="306">
        <f t="shared" si="22"/>
        <v>473.0835208295167</v>
      </c>
      <c r="R86" s="306">
        <f t="shared" si="22"/>
        <v>475.42226647482</v>
      </c>
      <c r="S86" s="304">
        <f t="shared" si="22"/>
        <v>476.8636346393</v>
      </c>
      <c r="T86" s="242">
        <f t="shared" si="22"/>
        <v>494.43696941033994</v>
      </c>
      <c r="U86" s="242">
        <f t="shared" si="22"/>
        <v>494.55612668967996</v>
      </c>
      <c r="V86" s="242">
        <f t="shared" si="22"/>
        <v>494.4147005304</v>
      </c>
      <c r="W86" s="242">
        <f t="shared" si="22"/>
        <v>501.79506282437995</v>
      </c>
      <c r="X86" s="242">
        <f aca="true" t="shared" si="23" ref="X86:AC86">+X87+X88+X90+X89</f>
        <v>501.8748609202001</v>
      </c>
      <c r="Y86" s="242">
        <f t="shared" si="23"/>
        <v>502.42357683186</v>
      </c>
      <c r="Z86" s="243">
        <f t="shared" si="23"/>
        <v>462.00484473504</v>
      </c>
      <c r="AA86" s="242">
        <f t="shared" si="23"/>
        <v>476.8879620958199</v>
      </c>
      <c r="AB86" s="242">
        <f t="shared" si="23"/>
        <v>476.84068466072</v>
      </c>
      <c r="AC86" s="242">
        <f t="shared" si="23"/>
        <v>465.93435468502</v>
      </c>
      <c r="AD86" s="242">
        <f>+AD87+AD88+AD90+AD89</f>
        <v>467.84987012795</v>
      </c>
      <c r="AE86" s="242">
        <f>+AE87+AE88+AE90+AE89</f>
        <v>467.54219333443</v>
      </c>
      <c r="AF86" s="242">
        <f>+AF87+AF88+AF90+AF89</f>
        <v>460.0200414207599</v>
      </c>
      <c r="AG86" s="243">
        <f>+AG87+AG88+AG90+AG89</f>
        <v>444.31773271267997</v>
      </c>
      <c r="AH86" s="63"/>
      <c r="AI86" s="63"/>
    </row>
    <row r="87" spans="2:35" s="29" customFormat="1" ht="14.25">
      <c r="B87" s="74" t="s">
        <v>61</v>
      </c>
      <c r="C87" s="307"/>
      <c r="D87" s="307"/>
      <c r="E87" s="307"/>
      <c r="F87" s="307"/>
      <c r="G87" s="307"/>
      <c r="H87" s="307"/>
      <c r="I87" s="307"/>
      <c r="J87" s="307">
        <f>+J17*$J$72</f>
        <v>226.21110920748004</v>
      </c>
      <c r="K87" s="308">
        <f>+K17*$K$72</f>
        <v>230.12598927856</v>
      </c>
      <c r="L87" s="308">
        <f>+L17*$L$72</f>
        <v>254.63051422610002</v>
      </c>
      <c r="M87" s="308">
        <f>+M17*$M$72</f>
        <v>267.28561565934</v>
      </c>
      <c r="N87" s="279">
        <f>+N17*$N$72</f>
        <v>264.21303773287</v>
      </c>
      <c r="O87" s="271">
        <f>+O17/$O$72</f>
        <v>247.19700685782317</v>
      </c>
      <c r="P87" s="269">
        <f>+P17/$P$72</f>
        <v>247.19700684145946</v>
      </c>
      <c r="Q87" s="269">
        <f>+Q17/$Q$72</f>
        <v>243.34987138443523</v>
      </c>
      <c r="R87" s="269">
        <f>+R17/$R$72</f>
        <v>245.16679354020002</v>
      </c>
      <c r="S87" s="309">
        <f>+S17*$S$72</f>
        <v>245.50666131092</v>
      </c>
      <c r="T87" s="237">
        <f>+T17*$T$72</f>
        <v>254.41593393546</v>
      </c>
      <c r="U87" s="237">
        <f>+U17*$U$72</f>
        <v>254.41593389761996</v>
      </c>
      <c r="V87" s="237">
        <f>+V17*$V$72</f>
        <v>254.41593394463996</v>
      </c>
      <c r="W87" s="237">
        <f>+W17*$W$72</f>
        <v>254.4159339202</v>
      </c>
      <c r="X87" s="237">
        <f>+X17*$X$72</f>
        <v>254.41593391350003</v>
      </c>
      <c r="Y87" s="237">
        <f>+Y17*$Y$72</f>
        <v>254.45138688516</v>
      </c>
      <c r="Z87" s="265">
        <f>+Z17*$Z$72</f>
        <v>236.90301540564005</v>
      </c>
      <c r="AA87" s="237">
        <f>+AA17*$AA$72</f>
        <v>245.67720114205997</v>
      </c>
      <c r="AB87" s="237">
        <f>+AB17*$AB$72</f>
        <v>245.67720114036</v>
      </c>
      <c r="AC87" s="237">
        <f>+AC17*$AC$72</f>
        <v>233.45578817335002</v>
      </c>
      <c r="AD87" s="237">
        <f>+AD17*$AD$72</f>
        <v>234.88123238634</v>
      </c>
      <c r="AE87" s="237">
        <f>+AE17*$AE$72</f>
        <v>234.88123238255997</v>
      </c>
      <c r="AF87" s="237">
        <f>+AF17*$AF$72</f>
        <v>234.88123236312</v>
      </c>
      <c r="AG87" s="265">
        <f>+AG17*$AG$72</f>
        <v>226.49261694783002</v>
      </c>
      <c r="AH87" s="63"/>
      <c r="AI87" s="63"/>
    </row>
    <row r="88" spans="2:35" s="29" customFormat="1" ht="14.25">
      <c r="B88" s="74" t="s">
        <v>62</v>
      </c>
      <c r="C88" s="307"/>
      <c r="D88" s="307"/>
      <c r="E88" s="307"/>
      <c r="F88" s="307"/>
      <c r="G88" s="307"/>
      <c r="H88" s="307"/>
      <c r="I88" s="307"/>
      <c r="J88" s="307">
        <f>+J18*$J$72</f>
        <v>224.55561495663005</v>
      </c>
      <c r="K88" s="308">
        <f>+K18*$K$72</f>
        <v>222.73025056388</v>
      </c>
      <c r="L88" s="308">
        <f>+L18*$L$72</f>
        <v>237.10489380309</v>
      </c>
      <c r="M88" s="308">
        <f>+M18*$M$72</f>
        <v>240.78540445385997</v>
      </c>
      <c r="N88" s="279">
        <f>+N18*$N$72</f>
        <v>228.54255878776</v>
      </c>
      <c r="O88" s="271">
        <f>+O18/$O$72</f>
        <v>213.83871759379085</v>
      </c>
      <c r="P88" s="269">
        <f>+P18/$P$72</f>
        <v>214.79756221303361</v>
      </c>
      <c r="Q88" s="269">
        <f>+Q18/$Q$72</f>
        <v>207.59509258097557</v>
      </c>
      <c r="R88" s="269">
        <f>+R18/$R$72</f>
        <v>207.59509260503998</v>
      </c>
      <c r="S88" s="309">
        <f>+S18*$S$72</f>
        <v>207.59509260226</v>
      </c>
      <c r="T88" s="237">
        <f>+T18*$T$72</f>
        <v>215.00920304918998</v>
      </c>
      <c r="U88" s="237">
        <f>+U18*$U$72</f>
        <v>215.00920302620003</v>
      </c>
      <c r="V88" s="237">
        <f>+V18*$V$72</f>
        <v>215.00920306008</v>
      </c>
      <c r="W88" s="237">
        <f>+W18*$W$72</f>
        <v>215.00920304084</v>
      </c>
      <c r="X88" s="237">
        <f>+X18*$X$72</f>
        <v>215.0092030207</v>
      </c>
      <c r="Y88" s="237">
        <f>+Y18*$Y$72</f>
        <v>215.00920301388</v>
      </c>
      <c r="Z88" s="265">
        <f>+Z18*$Z$72</f>
        <v>191.64167999844</v>
      </c>
      <c r="AA88" s="237">
        <f>+AA18*$AA$72</f>
        <v>198.73952002549996</v>
      </c>
      <c r="AB88" s="237">
        <f>+AB18*$AB$72</f>
        <v>198.73951996761</v>
      </c>
      <c r="AC88" s="237">
        <f>+AC18*$AC$72</f>
        <v>197.73207999819</v>
      </c>
      <c r="AD88" s="237">
        <f>+AD18*$AD$72</f>
        <v>197.73207999819002</v>
      </c>
      <c r="AE88" s="237">
        <f>+AE18*$AE$72</f>
        <v>197.73208000259</v>
      </c>
      <c r="AF88" s="237">
        <f>+AF18*$AF$72</f>
        <v>188.85210403211997</v>
      </c>
      <c r="AG88" s="265">
        <f>+AG18*$AG$72</f>
        <v>182.10738599151</v>
      </c>
      <c r="AH88" s="63"/>
      <c r="AI88" s="63"/>
    </row>
    <row r="89" spans="2:35" s="29" customFormat="1" ht="14.25">
      <c r="B89" s="74" t="s">
        <v>64</v>
      </c>
      <c r="C89" s="310"/>
      <c r="D89" s="310"/>
      <c r="E89" s="310"/>
      <c r="F89" s="310"/>
      <c r="G89" s="310"/>
      <c r="H89" s="310"/>
      <c r="I89" s="310"/>
      <c r="J89" s="310">
        <f>+J19*$J$72</f>
        <v>0</v>
      </c>
      <c r="K89" s="311">
        <f>+K19*$K$72</f>
        <v>0</v>
      </c>
      <c r="L89" s="311">
        <f>+L19*$L$72</f>
        <v>0</v>
      </c>
      <c r="M89" s="311">
        <f>+M19*$M$72</f>
        <v>0</v>
      </c>
      <c r="N89" s="279">
        <f>+N19*$N$72</f>
        <v>8.183827130900001</v>
      </c>
      <c r="O89" s="271">
        <f>+O19/$O$72</f>
        <v>8.268196480338098</v>
      </c>
      <c r="P89" s="269">
        <f>+P19/$P$72</f>
        <v>8.08305262907148</v>
      </c>
      <c r="Q89" s="269">
        <f>+Q19/$Q$72</f>
        <v>8.001026881532145</v>
      </c>
      <c r="R89" s="269">
        <f>+R19/$R$72</f>
        <v>8.19320151384</v>
      </c>
      <c r="S89" s="309">
        <f>+S19*$S$72</f>
        <v>8.8384944747</v>
      </c>
      <c r="T89" s="237">
        <f>+T19*$T$72</f>
        <v>9.60459898552</v>
      </c>
      <c r="U89" s="237">
        <f>+U19*$U$72</f>
        <v>9.71479047132</v>
      </c>
      <c r="V89" s="237">
        <f>+V19*$V$72</f>
        <v>9.635350083839999</v>
      </c>
      <c r="W89" s="237">
        <f>+W19*$W$72</f>
        <v>16.50731097652</v>
      </c>
      <c r="X89" s="237">
        <f>+X19*$X$72</f>
        <v>16.5676667778</v>
      </c>
      <c r="Y89" s="237">
        <f>+Y19*$Y$72</f>
        <v>16.8090899829</v>
      </c>
      <c r="Z89" s="265">
        <f>+Z19*$Z$72</f>
        <v>17.00309075652</v>
      </c>
      <c r="AA89" s="237">
        <f>+AA19*$AA$72</f>
        <v>16.7875343417</v>
      </c>
      <c r="AB89" s="237">
        <f>+AB19*$AB$72</f>
        <v>16.7789120892</v>
      </c>
      <c r="AC89" s="237">
        <f>+AC19*$AC$72</f>
        <v>17.06344656812</v>
      </c>
      <c r="AD89" s="237">
        <f>+AD19*$AD$72</f>
        <v>17.12811348409</v>
      </c>
      <c r="AE89" s="237">
        <f>+AE19*$AE$72</f>
        <v>17.18298295018</v>
      </c>
      <c r="AF89" s="237">
        <f>+AF19*$AF$72</f>
        <v>18.298694777759998</v>
      </c>
      <c r="AG89" s="265">
        <f>+AG19*$AG$72</f>
        <v>18.22503050557</v>
      </c>
      <c r="AH89" s="63"/>
      <c r="AI89" s="63"/>
    </row>
    <row r="90" spans="2:33" s="29" customFormat="1" ht="14.25">
      <c r="B90" s="74" t="s">
        <v>63</v>
      </c>
      <c r="C90" s="100"/>
      <c r="D90" s="100"/>
      <c r="E90" s="100"/>
      <c r="F90" s="100"/>
      <c r="G90" s="100"/>
      <c r="H90" s="100"/>
      <c r="I90" s="100"/>
      <c r="J90" s="100">
        <f>+J20*$J$72</f>
        <v>7.915006914390001</v>
      </c>
      <c r="K90" s="96">
        <f>+K20*$K$72</f>
        <v>7.89642792084</v>
      </c>
      <c r="L90" s="96">
        <f>+L20*$L$72</f>
        <v>8.518897015599999</v>
      </c>
      <c r="M90" s="96">
        <f>+M20*$M$72</f>
        <v>8.70304220046</v>
      </c>
      <c r="N90" s="107">
        <f>+N20*$N$72</f>
        <v>9.074599851599999</v>
      </c>
      <c r="O90" s="124">
        <f>+O20/$O$72</f>
        <v>8.721522853717996</v>
      </c>
      <c r="P90" s="71">
        <f>+P20/$P$72</f>
        <v>13.902285845095346</v>
      </c>
      <c r="Q90" s="71">
        <f>+Q20/$Q$72</f>
        <v>14.137529982573788</v>
      </c>
      <c r="R90" s="71">
        <f>+R20/$R$72</f>
        <v>14.467178815739999</v>
      </c>
      <c r="S90" s="158">
        <f>+S20*$S$72</f>
        <v>14.92338625142</v>
      </c>
      <c r="T90" s="125">
        <f>+T20*$T$72</f>
        <v>15.407233440170002</v>
      </c>
      <c r="U90" s="125">
        <f>+U20*$U$72</f>
        <v>15.41619929454</v>
      </c>
      <c r="V90" s="125">
        <f>+V20*$V$72</f>
        <v>15.35421344184</v>
      </c>
      <c r="W90" s="125">
        <f>+W20*$W$72</f>
        <v>15.86261488682</v>
      </c>
      <c r="X90" s="125">
        <f>+X20*$X$72</f>
        <v>15.8820572082</v>
      </c>
      <c r="Y90" s="125">
        <f>+Y20*$Y$72</f>
        <v>16.15389694992</v>
      </c>
      <c r="Z90" s="126">
        <f>+Z20*$Z$72</f>
        <v>16.45705857444</v>
      </c>
      <c r="AA90" s="125">
        <f>+AA20*$AA$72</f>
        <v>15.68370658656</v>
      </c>
      <c r="AB90" s="125">
        <f>+AB20*$AB$72</f>
        <v>15.645051463549999</v>
      </c>
      <c r="AC90" s="125">
        <f>+AC20*$AC$72</f>
        <v>17.68303994536</v>
      </c>
      <c r="AD90" s="125">
        <f>+AD20*$AD$72</f>
        <v>18.108444259330003</v>
      </c>
      <c r="AE90" s="125">
        <f>+AE20*$AE$72</f>
        <v>17.7458979991</v>
      </c>
      <c r="AF90" s="125">
        <f>+AF20*$AF$72</f>
        <v>17.98801024776</v>
      </c>
      <c r="AG90" s="126">
        <f>+AG20*$AG$72</f>
        <v>17.492699267770004</v>
      </c>
    </row>
    <row r="91" spans="2:33" s="29" customFormat="1" ht="13.5" customHeight="1">
      <c r="B91" s="49"/>
      <c r="C91" s="162"/>
      <c r="D91" s="162"/>
      <c r="E91" s="162"/>
      <c r="F91" s="162"/>
      <c r="G91" s="162"/>
      <c r="H91" s="162"/>
      <c r="I91" s="162"/>
      <c r="J91" s="162"/>
      <c r="K91" s="145"/>
      <c r="L91" s="145"/>
      <c r="M91" s="157"/>
      <c r="N91" s="123"/>
      <c r="O91" s="122"/>
      <c r="P91" s="69"/>
      <c r="Q91" s="69"/>
      <c r="R91" s="69"/>
      <c r="S91" s="157"/>
      <c r="T91" s="170"/>
      <c r="U91" s="170"/>
      <c r="V91" s="170"/>
      <c r="W91" s="170"/>
      <c r="X91" s="170"/>
      <c r="Y91" s="170"/>
      <c r="Z91" s="123"/>
      <c r="AA91" s="170"/>
      <c r="AB91" s="170"/>
      <c r="AC91" s="170"/>
      <c r="AD91" s="170"/>
      <c r="AE91" s="170"/>
      <c r="AF91" s="170"/>
      <c r="AG91" s="123"/>
    </row>
    <row r="92" spans="2:33" s="29" customFormat="1" ht="15.75">
      <c r="B92" s="85" t="s">
        <v>67</v>
      </c>
      <c r="C92" s="86"/>
      <c r="D92" s="86"/>
      <c r="E92" s="86"/>
      <c r="F92" s="86"/>
      <c r="G92" s="86"/>
      <c r="H92" s="86"/>
      <c r="I92" s="86"/>
      <c r="J92" s="86">
        <f>+J93</f>
        <v>1.8808852108800003</v>
      </c>
      <c r="K92" s="144">
        <f>+K93</f>
        <v>1.860660532</v>
      </c>
      <c r="L92" s="144">
        <f>+L93</f>
        <v>1.5162684989099997</v>
      </c>
      <c r="M92" s="144">
        <f>+M93</f>
        <v>1.4748279895799998</v>
      </c>
      <c r="N92" s="185">
        <f aca="true" t="shared" si="24" ref="N92:U92">+N93</f>
        <v>1.10530483096</v>
      </c>
      <c r="O92" s="120">
        <f t="shared" si="24"/>
        <v>1.117003470879743</v>
      </c>
      <c r="P92" s="87">
        <f t="shared" si="24"/>
        <v>1.1209030175188186</v>
      </c>
      <c r="Q92" s="87">
        <f t="shared" si="24"/>
        <v>1.1217695834403005</v>
      </c>
      <c r="R92" s="87">
        <f t="shared" si="24"/>
        <v>1.1464667121599998</v>
      </c>
      <c r="S92" s="144">
        <f t="shared" si="24"/>
        <v>1.18459561264</v>
      </c>
      <c r="T92" s="159">
        <f t="shared" si="24"/>
        <v>0.8182824008699999</v>
      </c>
      <c r="U92" s="159">
        <f t="shared" si="24"/>
        <v>0.82151671866</v>
      </c>
      <c r="V92" s="159">
        <f aca="true" t="shared" si="25" ref="V92:AE92">+V93</f>
        <v>0.8256331231199999</v>
      </c>
      <c r="W92" s="159">
        <f t="shared" si="25"/>
        <v>0.81798837198</v>
      </c>
      <c r="X92" s="159">
        <f t="shared" si="25"/>
        <v>0.8144600253</v>
      </c>
      <c r="Y92" s="159">
        <f t="shared" si="25"/>
        <v>0.82386894978</v>
      </c>
      <c r="Z92" s="109">
        <f t="shared" si="25"/>
        <v>0.4183805784</v>
      </c>
      <c r="AA92" s="159">
        <f t="shared" si="25"/>
        <v>0.4222710988</v>
      </c>
      <c r="AB92" s="159">
        <f t="shared" si="25"/>
        <v>0.41912875540000005</v>
      </c>
      <c r="AC92" s="159">
        <f t="shared" si="25"/>
        <v>0.42032583860000006</v>
      </c>
      <c r="AD92" s="159">
        <f t="shared" si="25"/>
        <v>0.42032583860000006</v>
      </c>
      <c r="AE92" s="159">
        <f t="shared" si="25"/>
        <v>0.4140411518</v>
      </c>
      <c r="AF92" s="203">
        <f>+AF93</f>
        <v>0</v>
      </c>
      <c r="AG92" s="217">
        <f>+AG93</f>
        <v>0</v>
      </c>
    </row>
    <row r="93" spans="2:33" s="29" customFormat="1" ht="14.25">
      <c r="B93" s="74" t="s">
        <v>83</v>
      </c>
      <c r="C93" s="100"/>
      <c r="D93" s="100"/>
      <c r="E93" s="100"/>
      <c r="F93" s="100"/>
      <c r="G93" s="100"/>
      <c r="H93" s="100"/>
      <c r="I93" s="100"/>
      <c r="J93" s="100">
        <f>+J23*$J$72</f>
        <v>1.8808852108800003</v>
      </c>
      <c r="K93" s="96">
        <f>+K23*$K$72</f>
        <v>1.860660532</v>
      </c>
      <c r="L93" s="96">
        <f>+L23*$L$72</f>
        <v>1.5162684989099997</v>
      </c>
      <c r="M93" s="96">
        <f>+M23*$M$72</f>
        <v>1.4748279895799998</v>
      </c>
      <c r="N93" s="107">
        <f>+N23*$N$72</f>
        <v>1.10530483096</v>
      </c>
      <c r="O93" s="124">
        <f>+O23/$O$72</f>
        <v>1.117003470879743</v>
      </c>
      <c r="P93" s="71">
        <f>+P23/$P$72</f>
        <v>1.1209030175188186</v>
      </c>
      <c r="Q93" s="71">
        <f>+Q23/$Q$72</f>
        <v>1.1217695834403005</v>
      </c>
      <c r="R93" s="71">
        <f>+R23/$R$72</f>
        <v>1.1464667121599998</v>
      </c>
      <c r="S93" s="158">
        <f>+S23*$S$72</f>
        <v>1.18459561264</v>
      </c>
      <c r="T93" s="129">
        <f>+T23*$T$72</f>
        <v>0.8182824008699999</v>
      </c>
      <c r="U93" s="129">
        <f>+U23*$U$72</f>
        <v>0.82151671866</v>
      </c>
      <c r="V93" s="129">
        <f>+V23*$V$72</f>
        <v>0.8256331231199999</v>
      </c>
      <c r="W93" s="129">
        <f>+W23*$W$72</f>
        <v>0.81798837198</v>
      </c>
      <c r="X93" s="129">
        <f>+X23*$X$72</f>
        <v>0.8144600253</v>
      </c>
      <c r="Y93" s="129">
        <f>+Y23*$Y$72</f>
        <v>0.82386894978</v>
      </c>
      <c r="Z93" s="107">
        <f>+Z23*$Z$72</f>
        <v>0.4183805784</v>
      </c>
      <c r="AA93" s="129">
        <f>+AA23*$AA$72</f>
        <v>0.4222710988</v>
      </c>
      <c r="AB93" s="129">
        <f>+AB23*$AB$72</f>
        <v>0.41912875540000005</v>
      </c>
      <c r="AC93" s="129">
        <f>+AC23*$AC$72</f>
        <v>0.42032583860000006</v>
      </c>
      <c r="AD93" s="129">
        <f>+AD23*$AD$72</f>
        <v>0.42032583860000006</v>
      </c>
      <c r="AE93" s="129">
        <f>+AE23*$AE$72</f>
        <v>0.4140411518</v>
      </c>
      <c r="AF93" s="203">
        <f>+AF23*$AF$72</f>
        <v>0</v>
      </c>
      <c r="AG93" s="217">
        <f>+AG23*$AG$72</f>
        <v>0</v>
      </c>
    </row>
    <row r="94" spans="2:33" s="29" customFormat="1" ht="12" customHeight="1">
      <c r="B94" s="49"/>
      <c r="C94" s="162"/>
      <c r="D94" s="162"/>
      <c r="E94" s="162"/>
      <c r="F94" s="162"/>
      <c r="G94" s="162"/>
      <c r="H94" s="162"/>
      <c r="I94" s="162"/>
      <c r="J94" s="162"/>
      <c r="K94" s="145"/>
      <c r="L94" s="145"/>
      <c r="M94" s="157"/>
      <c r="N94" s="251"/>
      <c r="O94" s="122"/>
      <c r="P94" s="69"/>
      <c r="Q94" s="69"/>
      <c r="R94" s="69"/>
      <c r="S94" s="157"/>
      <c r="T94" s="170"/>
      <c r="U94" s="170"/>
      <c r="V94" s="170"/>
      <c r="W94" s="170"/>
      <c r="X94" s="170"/>
      <c r="Y94" s="170"/>
      <c r="Z94" s="123"/>
      <c r="AA94" s="170"/>
      <c r="AB94" s="170"/>
      <c r="AC94" s="170"/>
      <c r="AD94" s="170"/>
      <c r="AE94" s="170"/>
      <c r="AF94" s="170"/>
      <c r="AG94" s="123"/>
    </row>
    <row r="95" spans="2:33" s="29" customFormat="1" ht="15.75">
      <c r="B95" s="85" t="s">
        <v>68</v>
      </c>
      <c r="C95" s="86"/>
      <c r="D95" s="86"/>
      <c r="E95" s="86"/>
      <c r="F95" s="86"/>
      <c r="G95" s="86"/>
      <c r="H95" s="86"/>
      <c r="I95" s="86"/>
      <c r="J95" s="86">
        <f>SUM(J96:J117)</f>
        <v>2327.297962540591</v>
      </c>
      <c r="K95" s="144">
        <f>SUM(K96:K117)</f>
        <v>2208.135747368959</v>
      </c>
      <c r="L95" s="144">
        <f>SUM(L96:L117)</f>
        <v>2621.1060549166887</v>
      </c>
      <c r="M95" s="144">
        <f>SUM(M96:M117)</f>
        <v>2565.3378396643193</v>
      </c>
      <c r="N95" s="185">
        <f aca="true" t="shared" si="26" ref="N95:W95">SUM(N96:N117)</f>
        <v>2390.4517256209597</v>
      </c>
      <c r="O95" s="120">
        <f t="shared" si="26"/>
        <v>2291.096386817792</v>
      </c>
      <c r="P95" s="87">
        <f t="shared" si="26"/>
        <v>2289.5349939569173</v>
      </c>
      <c r="Q95" s="87">
        <f t="shared" si="26"/>
        <v>2188.509517252186</v>
      </c>
      <c r="R95" s="87">
        <f t="shared" si="26"/>
        <v>2206.31383691964</v>
      </c>
      <c r="S95" s="144">
        <f t="shared" si="26"/>
        <v>2237.6621038657004</v>
      </c>
      <c r="T95" s="121">
        <f t="shared" si="26"/>
        <v>2303.2880439739492</v>
      </c>
      <c r="U95" s="121">
        <f t="shared" si="26"/>
        <v>2308.2083223168206</v>
      </c>
      <c r="V95" s="121">
        <f t="shared" si="26"/>
        <v>2313.8244277387203</v>
      </c>
      <c r="W95" s="121">
        <f t="shared" si="26"/>
        <v>2258.89322481446</v>
      </c>
      <c r="X95" s="121">
        <f aca="true" t="shared" si="27" ref="X95:AD95">SUM(X96:X117)</f>
        <v>2260.8353231824995</v>
      </c>
      <c r="Y95" s="121">
        <f t="shared" si="27"/>
        <v>2259.1452108281997</v>
      </c>
      <c r="Z95" s="185">
        <f t="shared" si="27"/>
        <v>2157.614615915279</v>
      </c>
      <c r="AA95" s="121">
        <f t="shared" si="27"/>
        <v>2227.1819347180794</v>
      </c>
      <c r="AB95" s="121">
        <f t="shared" si="27"/>
        <v>2216.7157051370004</v>
      </c>
      <c r="AC95" s="121">
        <f t="shared" si="27"/>
        <v>2189.5517623574096</v>
      </c>
      <c r="AD95" s="121">
        <f t="shared" si="27"/>
        <v>2193.591531016421</v>
      </c>
      <c r="AE95" s="121">
        <f>SUM(AE96:AE117)</f>
        <v>2171.585060770939</v>
      </c>
      <c r="AF95" s="121">
        <f>SUM(AF96:AF117)</f>
        <v>2178.4063634779195</v>
      </c>
      <c r="AG95" s="185">
        <f>SUM(AG96:AG117)</f>
        <v>2138.5886457247693</v>
      </c>
    </row>
    <row r="96" spans="2:33" s="29" customFormat="1" ht="14.25">
      <c r="B96" s="117" t="s">
        <v>42</v>
      </c>
      <c r="C96" s="80"/>
      <c r="D96" s="80"/>
      <c r="E96" s="80"/>
      <c r="F96" s="80"/>
      <c r="G96" s="80"/>
      <c r="H96" s="80"/>
      <c r="I96" s="80"/>
      <c r="J96" s="80">
        <f>+J26*$J$72</f>
        <v>1895.1860509527</v>
      </c>
      <c r="K96" s="158">
        <f>+K26*$K$72</f>
        <v>1772.16661998308</v>
      </c>
      <c r="L96" s="158">
        <f>+L26*$L$72</f>
        <v>1827.1965448456397</v>
      </c>
      <c r="M96" s="158">
        <f>+M26*$M$72</f>
        <v>1799.76816310206</v>
      </c>
      <c r="N96" s="126">
        <f>+N26*$N$72</f>
        <v>1675.3859042290103</v>
      </c>
      <c r="O96" s="124">
        <f>+O26/$O$72</f>
        <v>1614.1702515157483</v>
      </c>
      <c r="P96" s="71">
        <f>+P26/$P$72</f>
        <v>1615.0256868770578</v>
      </c>
      <c r="Q96" s="71">
        <f>+Q26/$Q$72</f>
        <v>1562.4756854679888</v>
      </c>
      <c r="R96" s="71">
        <f>+R26/$R$72</f>
        <v>1577.79246258774</v>
      </c>
      <c r="S96" s="158">
        <f>+S26*$S$72</f>
        <v>1605.7820539700601</v>
      </c>
      <c r="T96" s="125">
        <f>+T26*$T$72</f>
        <v>1648.05305042521</v>
      </c>
      <c r="U96" s="125">
        <f>+U26*$U$72</f>
        <v>1651.3595676857399</v>
      </c>
      <c r="V96" s="125">
        <f>+V26*$V$72</f>
        <v>1620.1594093089598</v>
      </c>
      <c r="W96" s="125">
        <f>+W26*$W$72</f>
        <v>1567.3032773798402</v>
      </c>
      <c r="X96" s="125">
        <f aca="true" t="shared" si="28" ref="X96:X104">+X26*$X$72</f>
        <v>1568.5933521173001</v>
      </c>
      <c r="Y96" s="125">
        <f aca="true" t="shared" si="29" ref="Y96:Y104">+Y26*$Y$72</f>
        <v>1563.0864552773398</v>
      </c>
      <c r="Z96" s="126">
        <f aca="true" t="shared" si="30" ref="Z96:Z104">+Z26*$Z$72</f>
        <v>1496.2615455827997</v>
      </c>
      <c r="AA96" s="125">
        <f aca="true" t="shared" si="31" ref="AA96:AA104">+AA26*$AA$72</f>
        <v>1550.45637051828</v>
      </c>
      <c r="AB96" s="125">
        <f aca="true" t="shared" si="32" ref="AB96:AB104">+AB26*$AB$72</f>
        <v>1539.79392268079</v>
      </c>
      <c r="AC96" s="125">
        <f aca="true" t="shared" si="33" ref="AC96:AC104">+AC26*$AC$72</f>
        <v>1537.4755431359997</v>
      </c>
      <c r="AD96" s="125">
        <f aca="true" t="shared" si="34" ref="AD96:AD104">+AD26*$AD$72</f>
        <v>1544.18504306378</v>
      </c>
      <c r="AE96" s="125">
        <f aca="true" t="shared" si="35" ref="AE96:AE104">+AE26*$AE$72</f>
        <v>1526.09106346728</v>
      </c>
      <c r="AF96" s="125">
        <f aca="true" t="shared" si="36" ref="AF96:AF104">+AF26*$AF$72</f>
        <v>1535.8600953290397</v>
      </c>
      <c r="AG96" s="126">
        <f aca="true" t="shared" si="37" ref="AG96:AG104">+AG26*$AG$72</f>
        <v>1517.7622597124002</v>
      </c>
    </row>
    <row r="97" spans="2:33" s="29" customFormat="1" ht="14.25">
      <c r="B97" s="117" t="s">
        <v>43</v>
      </c>
      <c r="C97" s="100"/>
      <c r="D97" s="100"/>
      <c r="E97" s="100"/>
      <c r="F97" s="100"/>
      <c r="G97" s="100"/>
      <c r="H97" s="100"/>
      <c r="I97" s="100"/>
      <c r="J97" s="100">
        <f>+J27*$J$72</f>
        <v>198.4106823024</v>
      </c>
      <c r="K97" s="96">
        <f>+K27*$K$72</f>
        <v>174.64211256424</v>
      </c>
      <c r="L97" s="96">
        <f>+L27*$L$72</f>
        <v>520.3788399855999</v>
      </c>
      <c r="M97" s="96">
        <f>+M27*$M$72</f>
        <v>492.9904799969399</v>
      </c>
      <c r="N97" s="107">
        <f>+N27*$N$72</f>
        <v>449.49132001006</v>
      </c>
      <c r="O97" s="124">
        <f>+O27/$O$72</f>
        <v>420.4918799903433</v>
      </c>
      <c r="P97" s="71">
        <f>+P27/$P$72</f>
        <v>420.4918799909868</v>
      </c>
      <c r="Q97" s="71">
        <f>+Q27/$Q$72</f>
        <v>383.4370399948328</v>
      </c>
      <c r="R97" s="71">
        <f>+R27/$R$72</f>
        <v>383.4370399948199</v>
      </c>
      <c r="S97" s="158">
        <f>+S27*$S$72</f>
        <v>383.43703999543993</v>
      </c>
      <c r="T97" s="125">
        <f>+T27*$T$72</f>
        <v>397.13122001244994</v>
      </c>
      <c r="U97" s="125">
        <f>+U27*$U$72</f>
        <v>397.13121998286005</v>
      </c>
      <c r="V97" s="125">
        <f>+V27*$V$72</f>
        <v>397.13122002528</v>
      </c>
      <c r="W97" s="125">
        <f>+W27*$W$72</f>
        <v>373.77056000231994</v>
      </c>
      <c r="X97" s="125">
        <f t="shared" si="28"/>
        <v>373.77055998170005</v>
      </c>
      <c r="Y97" s="125">
        <f t="shared" si="29"/>
        <v>373.77055997226</v>
      </c>
      <c r="Z97" s="126">
        <f t="shared" si="30"/>
        <v>347.9932800284399</v>
      </c>
      <c r="AA97" s="125">
        <f t="shared" si="31"/>
        <v>360.88192001336</v>
      </c>
      <c r="AB97" s="125">
        <f t="shared" si="32"/>
        <v>360.88191998157</v>
      </c>
      <c r="AC97" s="125">
        <f t="shared" si="33"/>
        <v>338.32679998718</v>
      </c>
      <c r="AD97" s="125">
        <f t="shared" si="34"/>
        <v>338.32679998718</v>
      </c>
      <c r="AE97" s="125">
        <f t="shared" si="35"/>
        <v>338.3267999812</v>
      </c>
      <c r="AF97" s="125">
        <f t="shared" si="36"/>
        <v>338.32679999736</v>
      </c>
      <c r="AG97" s="126">
        <f t="shared" si="37"/>
        <v>326.2437000224</v>
      </c>
    </row>
    <row r="98" spans="2:33" s="29" customFormat="1" ht="14.25">
      <c r="B98" s="117" t="s">
        <v>44</v>
      </c>
      <c r="C98" s="100"/>
      <c r="D98" s="100"/>
      <c r="E98" s="100"/>
      <c r="F98" s="100"/>
      <c r="G98" s="100"/>
      <c r="H98" s="100"/>
      <c r="I98" s="100"/>
      <c r="J98" s="100">
        <f>+J28*$J$72</f>
        <v>119.05839288063</v>
      </c>
      <c r="K98" s="96">
        <f>+K28*$K$72</f>
        <v>113.69170154871999</v>
      </c>
      <c r="L98" s="96">
        <f>+L28*$L$72</f>
        <v>121.91004698991</v>
      </c>
      <c r="M98" s="96">
        <f>+M28*$M$72</f>
        <v>121.67941731113999</v>
      </c>
      <c r="N98" s="107">
        <f>+N28*$N$72</f>
        <v>115.01263430483002</v>
      </c>
      <c r="O98" s="124">
        <f>+O28/$O$72</f>
        <v>107.59246436223525</v>
      </c>
      <c r="P98" s="71">
        <f>+P28/$P$72</f>
        <v>107.59246433794661</v>
      </c>
      <c r="Q98" s="71">
        <f>+Q28/$Q$72</f>
        <v>100.23683600141686</v>
      </c>
      <c r="R98" s="71">
        <f>+R28/$R$72</f>
        <v>100.23683598306002</v>
      </c>
      <c r="S98" s="158">
        <f>+S28*$S$72</f>
        <v>100.23683600464</v>
      </c>
      <c r="T98" s="125">
        <f>+T28*$T$72</f>
        <v>103.81672297568001</v>
      </c>
      <c r="U98" s="125">
        <f>+U28*$U$72</f>
        <v>103.81672301638001</v>
      </c>
      <c r="V98" s="125">
        <f>+V28*$V$72</f>
        <v>103.81672299959997</v>
      </c>
      <c r="W98" s="125">
        <f>+W28*$W$72</f>
        <v>100.04274999758</v>
      </c>
      <c r="X98" s="125">
        <f t="shared" si="28"/>
        <v>100.04275001250004</v>
      </c>
      <c r="Y98" s="125">
        <f t="shared" si="29"/>
        <v>100.04275000536</v>
      </c>
      <c r="Z98" s="126">
        <f t="shared" si="30"/>
        <v>93.14325002604</v>
      </c>
      <c r="AA98" s="125">
        <f t="shared" si="31"/>
        <v>96.59299998859998</v>
      </c>
      <c r="AB98" s="125">
        <f t="shared" si="32"/>
        <v>96.59299999186</v>
      </c>
      <c r="AC98" s="125">
        <f t="shared" si="33"/>
        <v>92.94916401427001</v>
      </c>
      <c r="AD98" s="125">
        <f t="shared" si="34"/>
        <v>92.94916401427001</v>
      </c>
      <c r="AE98" s="125">
        <f t="shared" si="35"/>
        <v>92.94916399937999</v>
      </c>
      <c r="AF98" s="125">
        <f t="shared" si="36"/>
        <v>92.94916400843998</v>
      </c>
      <c r="AG98" s="126">
        <f t="shared" si="37"/>
        <v>89.62955100878</v>
      </c>
    </row>
    <row r="99" spans="2:33" s="29" customFormat="1" ht="14.25">
      <c r="B99" s="117" t="s">
        <v>45</v>
      </c>
      <c r="C99" s="100"/>
      <c r="D99" s="100"/>
      <c r="E99" s="100"/>
      <c r="F99" s="100"/>
      <c r="G99" s="100"/>
      <c r="H99" s="100"/>
      <c r="I99" s="100"/>
      <c r="J99" s="100">
        <f>+J29*$J$72</f>
        <v>10.98506668845</v>
      </c>
      <c r="K99" s="96">
        <f>+K29*$K$72</f>
        <v>40.50966174852</v>
      </c>
      <c r="L99" s="96">
        <f>+L29*$L$72</f>
        <v>41.91952861316</v>
      </c>
      <c r="M99" s="96">
        <f>+M29*$M$72</f>
        <v>41.822277015720005</v>
      </c>
      <c r="N99" s="107">
        <f>+N29*$N$72</f>
        <v>45.176857026129994</v>
      </c>
      <c r="O99" s="124">
        <f>+O29/$O$72</f>
        <v>42.6112704785102</v>
      </c>
      <c r="P99" s="71">
        <f>+P29/$P$72</f>
        <v>42.505736975735196</v>
      </c>
      <c r="Q99" s="71">
        <f>+Q29/$Q$72</f>
        <v>40.10659783546075</v>
      </c>
      <c r="R99" s="71">
        <f>+R29/$R$72</f>
        <v>40.2067357524</v>
      </c>
      <c r="S99" s="158">
        <f>+S29*$S$72</f>
        <v>40.3374036021</v>
      </c>
      <c r="T99" s="125">
        <f>+T29*$T$72</f>
        <v>41.36286507331</v>
      </c>
      <c r="U99" s="125">
        <f>+U29*$U$72</f>
        <v>41.410384743200005</v>
      </c>
      <c r="V99" s="125">
        <f>+V29*$V$72</f>
        <v>41.37612637392</v>
      </c>
      <c r="W99" s="125">
        <f>+W29*$W$72</f>
        <v>40.336548751980004</v>
      </c>
      <c r="X99" s="125">
        <f t="shared" si="28"/>
        <v>40.3504148806</v>
      </c>
      <c r="Y99" s="125">
        <f t="shared" si="29"/>
        <v>40.40587917774</v>
      </c>
      <c r="Z99" s="126">
        <f t="shared" si="30"/>
        <v>37.47231614027999</v>
      </c>
      <c r="AA99" s="125">
        <f t="shared" si="31"/>
        <v>38.6887427813</v>
      </c>
      <c r="AB99" s="125">
        <f t="shared" si="32"/>
        <v>38.68699406279</v>
      </c>
      <c r="AC99" s="125">
        <f t="shared" si="33"/>
        <v>37.6374140322</v>
      </c>
      <c r="AD99" s="125">
        <f t="shared" si="34"/>
        <v>37.64880910587</v>
      </c>
      <c r="AE99" s="125">
        <f t="shared" si="35"/>
        <v>37.58347716362</v>
      </c>
      <c r="AF99" s="125">
        <f t="shared" si="36"/>
        <v>37.168934119199996</v>
      </c>
      <c r="AG99" s="126">
        <f t="shared" si="37"/>
        <v>35.85940073222001</v>
      </c>
    </row>
    <row r="100" spans="2:33" s="133" customFormat="1" ht="14.25">
      <c r="B100" s="117" t="s">
        <v>85</v>
      </c>
      <c r="C100" s="193"/>
      <c r="D100" s="193"/>
      <c r="E100" s="193"/>
      <c r="F100" s="193"/>
      <c r="G100" s="193"/>
      <c r="H100" s="193"/>
      <c r="I100" s="193"/>
      <c r="J100" s="193">
        <v>0</v>
      </c>
      <c r="K100" s="204">
        <v>0</v>
      </c>
      <c r="L100" s="204">
        <v>0</v>
      </c>
      <c r="M100" s="204">
        <v>0</v>
      </c>
      <c r="N100" s="196">
        <v>0</v>
      </c>
      <c r="O100" s="249">
        <v>0</v>
      </c>
      <c r="P100" s="194">
        <v>0</v>
      </c>
      <c r="Q100" s="194">
        <v>0</v>
      </c>
      <c r="R100" s="194">
        <v>0</v>
      </c>
      <c r="S100" s="204">
        <v>0</v>
      </c>
      <c r="T100" s="203">
        <v>0</v>
      </c>
      <c r="U100" s="203">
        <v>0</v>
      </c>
      <c r="V100" s="188">
        <f>+V30*$V$72</f>
        <v>37.7625536028</v>
      </c>
      <c r="W100" s="188">
        <f>+W30*$W$72</f>
        <v>38.4555366195</v>
      </c>
      <c r="X100" s="125">
        <f t="shared" si="28"/>
        <v>38.5961418871</v>
      </c>
      <c r="Y100" s="125">
        <f t="shared" si="29"/>
        <v>39.15856288146</v>
      </c>
      <c r="Z100" s="126">
        <f t="shared" si="30"/>
        <v>40.20466595519999</v>
      </c>
      <c r="AA100" s="125">
        <f t="shared" si="31"/>
        <v>39.694971948639996</v>
      </c>
      <c r="AB100" s="125">
        <f t="shared" si="32"/>
        <v>39.67458417162</v>
      </c>
      <c r="AC100" s="125">
        <f t="shared" si="33"/>
        <v>40.34738032146</v>
      </c>
      <c r="AD100" s="125">
        <f t="shared" si="34"/>
        <v>38.16697836955</v>
      </c>
      <c r="AE100" s="125">
        <f t="shared" si="35"/>
        <v>37.34081170634</v>
      </c>
      <c r="AF100" s="125">
        <f t="shared" si="36"/>
        <v>36.16626623508</v>
      </c>
      <c r="AG100" s="126">
        <f t="shared" si="37"/>
        <v>35.13006236833</v>
      </c>
    </row>
    <row r="101" spans="2:33" s="133" customFormat="1" ht="14.25">
      <c r="B101" s="117" t="s">
        <v>51</v>
      </c>
      <c r="C101" s="161"/>
      <c r="D101" s="161"/>
      <c r="E101" s="161"/>
      <c r="F101" s="161"/>
      <c r="G101" s="161"/>
      <c r="H101" s="161"/>
      <c r="I101" s="161"/>
      <c r="J101" s="161">
        <f>+J31*J72</f>
        <v>4.5897732093000005</v>
      </c>
      <c r="K101" s="208">
        <f>+K31*K72</f>
        <v>4.67391109432</v>
      </c>
      <c r="L101" s="134">
        <f>+L31*L72</f>
        <v>4.45785022754</v>
      </c>
      <c r="M101" s="134">
        <f>+M31*M72</f>
        <v>4.36851455328</v>
      </c>
      <c r="N101" s="113">
        <f>+N31*N72</f>
        <v>4.327369998110001</v>
      </c>
      <c r="O101" s="206">
        <f>+O31/O72</f>
        <v>4.371982068738994</v>
      </c>
      <c r="P101" s="136">
        <f>+P31/P72</f>
        <v>4.274083360165495</v>
      </c>
      <c r="Q101" s="136">
        <f>+Q31/Q72</f>
        <v>4.230710531101134</v>
      </c>
      <c r="R101" s="136">
        <f>+R31/R72</f>
        <v>4.3323268905</v>
      </c>
      <c r="S101" s="136">
        <f>+S31*S72</f>
        <v>4.46492386094</v>
      </c>
      <c r="T101" s="188">
        <f>+T31*T72</f>
        <v>4.505935318060001</v>
      </c>
      <c r="U101" s="188">
        <f>+U31*U72</f>
        <v>4.55763094314</v>
      </c>
      <c r="V101" s="188">
        <f>+V31*V72</f>
        <v>4.52036200824</v>
      </c>
      <c r="W101" s="188">
        <f>+W31*W72</f>
        <v>28.577757905060004</v>
      </c>
      <c r="X101" s="125">
        <f t="shared" si="28"/>
        <v>28.682246930599998</v>
      </c>
      <c r="Y101" s="125">
        <f t="shared" si="29"/>
        <v>29.100203194980004</v>
      </c>
      <c r="Z101" s="126">
        <f t="shared" si="30"/>
        <v>29.50147584528</v>
      </c>
      <c r="AA101" s="125">
        <f t="shared" si="31"/>
        <v>29.12747130194</v>
      </c>
      <c r="AB101" s="125">
        <f t="shared" si="32"/>
        <v>29.112511133400005</v>
      </c>
      <c r="AC101" s="125">
        <f t="shared" si="33"/>
        <v>29.606197104090004</v>
      </c>
      <c r="AD101" s="125">
        <f t="shared" si="34"/>
        <v>28.686862359350005</v>
      </c>
      <c r="AE101" s="125">
        <f t="shared" si="35"/>
        <v>28.065903356119996</v>
      </c>
      <c r="AF101" s="125">
        <f t="shared" si="36"/>
        <v>27.51887751252</v>
      </c>
      <c r="AG101" s="126">
        <f t="shared" si="37"/>
        <v>26.73043099415</v>
      </c>
    </row>
    <row r="102" spans="2:33" s="133" customFormat="1" ht="14.25">
      <c r="B102" s="117" t="s">
        <v>46</v>
      </c>
      <c r="C102" s="161"/>
      <c r="D102" s="161"/>
      <c r="E102" s="161"/>
      <c r="F102" s="161"/>
      <c r="G102" s="161"/>
      <c r="H102" s="161"/>
      <c r="I102" s="161"/>
      <c r="J102" s="161">
        <f>+J32*$J$72</f>
        <v>23.89633991973</v>
      </c>
      <c r="K102" s="156">
        <f>+K32*$K$72</f>
        <v>24.334398105160002</v>
      </c>
      <c r="L102" s="156">
        <f>+L32*$L$72</f>
        <v>23.211562822660003</v>
      </c>
      <c r="M102" s="156">
        <f>+M32*$M$72</f>
        <v>22.74640122252</v>
      </c>
      <c r="N102" s="113">
        <f>+N32*$N$72</f>
        <v>22.450365089519998</v>
      </c>
      <c r="O102" s="206">
        <f>+O32/$O$72</f>
        <v>22.681812165414787</v>
      </c>
      <c r="P102" s="136">
        <f>+P32/$P$72</f>
        <v>22.17391445019663</v>
      </c>
      <c r="Q102" s="136">
        <f>+Q32/$Q$72</f>
        <v>21.94889645874588</v>
      </c>
      <c r="R102" s="136">
        <f>+R32/$R$72</f>
        <v>22.476081428639997</v>
      </c>
      <c r="S102" s="205">
        <f>+S32*$S$72</f>
        <v>23.163993530200003</v>
      </c>
      <c r="T102" s="188">
        <f>+T32*$T$72</f>
        <v>23.16296207181</v>
      </c>
      <c r="U102" s="188">
        <f>+U32*$U$72</f>
        <v>23.428705758699998</v>
      </c>
      <c r="V102" s="188">
        <f>+V32*$V$72</f>
        <v>23.23712310192</v>
      </c>
      <c r="W102" s="188">
        <f>+W32*$W$72</f>
        <v>23.663549033019997</v>
      </c>
      <c r="X102" s="125">
        <f t="shared" si="28"/>
        <v>23.7500702189</v>
      </c>
      <c r="Y102" s="125">
        <f t="shared" si="29"/>
        <v>24.096155050140002</v>
      </c>
      <c r="Z102" s="126">
        <f t="shared" si="30"/>
        <v>23.59106300352</v>
      </c>
      <c r="AA102" s="125">
        <f t="shared" si="31"/>
        <v>23.291987680800002</v>
      </c>
      <c r="AB102" s="125">
        <f t="shared" si="32"/>
        <v>23.280024658190005</v>
      </c>
      <c r="AC102" s="125">
        <f t="shared" si="33"/>
        <v>23.674804108950003</v>
      </c>
      <c r="AD102" s="125">
        <f t="shared" si="34"/>
        <v>23.76452671503</v>
      </c>
      <c r="AE102" s="125">
        <f t="shared" si="35"/>
        <v>23.25011713781</v>
      </c>
      <c r="AF102" s="125">
        <f t="shared" si="36"/>
        <v>22.71685694796</v>
      </c>
      <c r="AG102" s="126">
        <f t="shared" si="37"/>
        <v>22.065993665900002</v>
      </c>
    </row>
    <row r="103" spans="2:33" s="133" customFormat="1" ht="14.25">
      <c r="B103" s="117" t="s">
        <v>47</v>
      </c>
      <c r="C103" s="161"/>
      <c r="D103" s="161"/>
      <c r="E103" s="161"/>
      <c r="F103" s="161"/>
      <c r="G103" s="161"/>
      <c r="H103" s="161"/>
      <c r="I103" s="161"/>
      <c r="J103" s="161">
        <f>+J33*$J$72</f>
        <v>18.96120720306</v>
      </c>
      <c r="K103" s="156">
        <f>+K33*$K$72</f>
        <v>18.802677920640004</v>
      </c>
      <c r="L103" s="156">
        <f>+L33*$L$72</f>
        <v>18.133953760909996</v>
      </c>
      <c r="M103" s="156">
        <f>+M33*$M$72</f>
        <v>17.2837859151</v>
      </c>
      <c r="N103" s="113">
        <f>+N33*$N$72</f>
        <v>17.312822312639998</v>
      </c>
      <c r="O103" s="206">
        <f>+O33/$O$72</f>
        <v>17.491305016695975</v>
      </c>
      <c r="P103" s="136">
        <f>+P33/$P$72</f>
        <v>17.099634607881974</v>
      </c>
      <c r="Q103" s="136">
        <f>+Q33/$Q$72</f>
        <v>16.44062767050441</v>
      </c>
      <c r="R103" s="136">
        <f>+R33/$R$72</f>
        <v>16.83551088324</v>
      </c>
      <c r="S103" s="205">
        <f>+S33*$S$72</f>
        <v>17.3507854303</v>
      </c>
      <c r="T103" s="188">
        <f>+T33*$T$72</f>
        <v>17.70627577928</v>
      </c>
      <c r="U103" s="188">
        <f>+U33*$U$72</f>
        <v>17.90941603022</v>
      </c>
      <c r="V103" s="188">
        <f>+V33*$V$72</f>
        <v>17.762966105040004</v>
      </c>
      <c r="W103" s="188">
        <f>+W33*$W$72</f>
        <v>17.544438935139997</v>
      </c>
      <c r="X103" s="125">
        <f t="shared" si="28"/>
        <v>17.608586795800004</v>
      </c>
      <c r="Y103" s="125">
        <f t="shared" si="29"/>
        <v>17.865178241219997</v>
      </c>
      <c r="Z103" s="126">
        <f t="shared" si="30"/>
        <v>17.71066343232</v>
      </c>
      <c r="AA103" s="125">
        <f t="shared" si="31"/>
        <v>17.486136752860002</v>
      </c>
      <c r="AB103" s="125">
        <f t="shared" si="32"/>
        <v>17.477155760909998</v>
      </c>
      <c r="AC103" s="125">
        <f t="shared" si="33"/>
        <v>17.21069021889</v>
      </c>
      <c r="AD103" s="125">
        <f t="shared" si="34"/>
        <v>17.27591514271</v>
      </c>
      <c r="AE103" s="125">
        <f t="shared" si="35"/>
        <v>16.90195879326</v>
      </c>
      <c r="AF103" s="125">
        <f t="shared" si="36"/>
        <v>16.78910926968</v>
      </c>
      <c r="AG103" s="126">
        <f t="shared" si="37"/>
        <v>16.30808255731</v>
      </c>
    </row>
    <row r="104" spans="2:33" s="133" customFormat="1" ht="14.25">
      <c r="B104" s="117" t="s">
        <v>48</v>
      </c>
      <c r="C104" s="161"/>
      <c r="D104" s="161"/>
      <c r="E104" s="161"/>
      <c r="F104" s="161"/>
      <c r="G104" s="161"/>
      <c r="H104" s="161"/>
      <c r="I104" s="161"/>
      <c r="J104" s="161">
        <f>+J34*$J$72</f>
        <v>13.074939948089998</v>
      </c>
      <c r="K104" s="156">
        <f>+K34*$K$72</f>
        <v>13.314624438560001</v>
      </c>
      <c r="L104" s="156">
        <f>+L34*$L$72</f>
        <v>15.839150782619997</v>
      </c>
      <c r="M104" s="156">
        <f>+M34*$M$72</f>
        <v>15.52173291792</v>
      </c>
      <c r="N104" s="113">
        <f>+N34*$N$72</f>
        <v>15.440020228849999</v>
      </c>
      <c r="O104" s="206">
        <f>+O34/$O$72</f>
        <v>15.599195683216413</v>
      </c>
      <c r="P104" s="136">
        <f>+P34/$P$72</f>
        <v>15.249893984893925</v>
      </c>
      <c r="Q104" s="136">
        <f>+Q34/$Q$72</f>
        <v>15.095140059844045</v>
      </c>
      <c r="R104" s="136">
        <f>+R34/$R$72</f>
        <v>15.45770640204</v>
      </c>
      <c r="S104" s="205">
        <f>+S34*$S$72</f>
        <v>15.930811254919998</v>
      </c>
      <c r="T104" s="188">
        <f>+T34*$T$72</f>
        <v>16.148410655299998</v>
      </c>
      <c r="U104" s="188">
        <f>+U34*$U$72</f>
        <v>16.333677899</v>
      </c>
      <c r="V104" s="188">
        <f>+V34*$V$72</f>
        <v>16.20011313648</v>
      </c>
      <c r="W104" s="188">
        <f>+W34*$W$72</f>
        <v>16.497402466220002</v>
      </c>
      <c r="X104" s="125">
        <f t="shared" si="28"/>
        <v>16.5577220346</v>
      </c>
      <c r="Y104" s="125">
        <f t="shared" si="29"/>
        <v>16.79900031714</v>
      </c>
      <c r="Z104" s="126">
        <f t="shared" si="30"/>
        <v>16.54721263068</v>
      </c>
      <c r="AA104" s="125">
        <f t="shared" si="31"/>
        <v>16.337435613780002</v>
      </c>
      <c r="AB104" s="125">
        <f t="shared" si="32"/>
        <v>16.32904451557</v>
      </c>
      <c r="AC104" s="125">
        <f t="shared" si="33"/>
        <v>16.60595021567</v>
      </c>
      <c r="AD104" s="125">
        <f t="shared" si="34"/>
        <v>16.66888333257</v>
      </c>
      <c r="AE104" s="125">
        <f t="shared" si="35"/>
        <v>16.30806681963</v>
      </c>
      <c r="AF104" s="125">
        <f t="shared" si="36"/>
        <v>16.1015406318</v>
      </c>
      <c r="AG104" s="126">
        <f t="shared" si="37"/>
        <v>15.64021352678</v>
      </c>
    </row>
    <row r="105" spans="2:33" s="133" customFormat="1" ht="14.25">
      <c r="B105" s="117" t="s">
        <v>70</v>
      </c>
      <c r="C105" s="161"/>
      <c r="D105" s="161"/>
      <c r="E105" s="161"/>
      <c r="F105" s="161"/>
      <c r="G105" s="161"/>
      <c r="H105" s="161"/>
      <c r="I105" s="161"/>
      <c r="J105" s="161">
        <f>+J36*$J$72</f>
        <v>11.178635017289999</v>
      </c>
      <c r="K105" s="156">
        <f>+K36*$K$72</f>
        <v>11.383557014040003</v>
      </c>
      <c r="L105" s="156">
        <f>+L36*$L$72</f>
        <v>11.172102840310002</v>
      </c>
      <c r="M105" s="156">
        <f>+M36*$M$72</f>
        <v>10.948213016459999</v>
      </c>
      <c r="N105" s="113">
        <f>+N36*$N$72</f>
        <v>12.868404271330002</v>
      </c>
      <c r="O105" s="206">
        <f>+O36/$O$72</f>
        <v>13.001068231797008</v>
      </c>
      <c r="P105" s="136">
        <f>+P36/$P$72</f>
        <v>12.709944529996605</v>
      </c>
      <c r="Q105" s="136">
        <f>+Q36/$Q$72</f>
        <v>12.580965680883372</v>
      </c>
      <c r="R105" s="136">
        <f>+R36/$R$72</f>
        <v>12.8831447241</v>
      </c>
      <c r="S105" s="205">
        <f>+S36*$S$72</f>
        <v>13.3901872663</v>
      </c>
      <c r="T105" s="188">
        <f>+T36*$T$72</f>
        <v>14.3694318955</v>
      </c>
      <c r="U105" s="188">
        <f>+U36*$U$72</f>
        <v>14.83890999954</v>
      </c>
      <c r="V105" s="188">
        <f>+V36*$V$72</f>
        <v>14.717568322079998</v>
      </c>
      <c r="W105" s="188">
        <f>+W36*$W$72</f>
        <v>14.9876513774</v>
      </c>
      <c r="X105" s="125">
        <f aca="true" t="shared" si="38" ref="X105:X116">+X36*$X$72</f>
        <v>15.0424508459</v>
      </c>
      <c r="Y105" s="125">
        <f aca="true" t="shared" si="39" ref="Y105:Y116">+Y36*$Y$72</f>
        <v>15.261648664620001</v>
      </c>
      <c r="Z105" s="126">
        <f aca="true" t="shared" si="40" ref="Z105:Z116">+Z36*$Z$72</f>
        <v>16.129304548319997</v>
      </c>
      <c r="AA105" s="125">
        <f aca="true" t="shared" si="41" ref="AA105:AA116">+AA36*$AA$72</f>
        <v>15.924825519100002</v>
      </c>
      <c r="AB105" s="125">
        <f aca="true" t="shared" si="42" ref="AB105:AB116">+AB36*$AB$72</f>
        <v>16.20591177129</v>
      </c>
      <c r="AC105" s="125">
        <f aca="true" t="shared" si="43" ref="AC105:AC116">+AC36*$AC$72</f>
        <v>16.48072937771</v>
      </c>
      <c r="AD105" s="125">
        <f aca="true" t="shared" si="44" ref="AD105:AD116">+AD36*$AD$72</f>
        <v>16.543187914060002</v>
      </c>
      <c r="AE105" s="125">
        <f aca="true" t="shared" si="45" ref="AE105:AE116">+AE36*$AE$72</f>
        <v>16.1850922362</v>
      </c>
      <c r="AF105" s="125">
        <f aca="true" t="shared" si="46" ref="AF105:AF116">+AF36*$AF$72</f>
        <v>16.422434755799998</v>
      </c>
      <c r="AG105" s="126">
        <f aca="true" t="shared" si="47" ref="AG105:AG116">+AG36*$AG$72</f>
        <v>15.951913668140001</v>
      </c>
    </row>
    <row r="106" spans="2:33" s="133" customFormat="1" ht="14.25">
      <c r="B106" s="117" t="s">
        <v>49</v>
      </c>
      <c r="C106" s="161"/>
      <c r="D106" s="161"/>
      <c r="E106" s="161"/>
      <c r="F106" s="161"/>
      <c r="G106" s="161"/>
      <c r="H106" s="161"/>
      <c r="I106" s="161"/>
      <c r="J106" s="161">
        <f>+J37*$J$72</f>
        <v>10.51783290657</v>
      </c>
      <c r="K106" s="156">
        <f>+K37*$K$72</f>
        <v>10.7106415778</v>
      </c>
      <c r="L106" s="156">
        <f>+L37*$L$72</f>
        <v>12.956786886849999</v>
      </c>
      <c r="M106" s="156">
        <f>+M37*$M$72</f>
        <v>12.69713185062</v>
      </c>
      <c r="N106" s="113">
        <f>+N37*$N$72</f>
        <v>12.603877535519999</v>
      </c>
      <c r="O106" s="206">
        <f>+O37/$O$72</f>
        <v>12.733814422217073</v>
      </c>
      <c r="P106" s="136">
        <f>+P37/$P$72</f>
        <v>12.44867514746688</v>
      </c>
      <c r="Q106" s="136">
        <f>+Q37/$Q$72</f>
        <v>12.322347622983303</v>
      </c>
      <c r="R106" s="136">
        <f>+R37/$R$72</f>
        <v>12.618314971919997</v>
      </c>
      <c r="S106" s="207">
        <f>+S37*$S$72</f>
        <v>13.00451626714</v>
      </c>
      <c r="T106" s="188">
        <f>+T37*$T$72</f>
        <v>13.153073154320001</v>
      </c>
      <c r="U106" s="188">
        <f>+U37*$U$72</f>
        <v>13.303975528139999</v>
      </c>
      <c r="V106" s="188">
        <f>+V37*$V$72</f>
        <v>13.19518542888</v>
      </c>
      <c r="W106" s="188">
        <f>+W37*$W$72</f>
        <v>13.43733113372</v>
      </c>
      <c r="X106" s="125">
        <f t="shared" si="38"/>
        <v>13.486462153000002</v>
      </c>
      <c r="Y106" s="125">
        <f t="shared" si="39"/>
        <v>13.68298617342</v>
      </c>
      <c r="Z106" s="126">
        <f t="shared" si="40"/>
        <v>13.446507290759998</v>
      </c>
      <c r="AA106" s="125">
        <f t="shared" si="41"/>
        <v>13.27603939936</v>
      </c>
      <c r="AB106" s="125">
        <f t="shared" si="42"/>
        <v>13.269220687490002</v>
      </c>
      <c r="AC106" s="125">
        <f t="shared" si="43"/>
        <v>13.494238302580001</v>
      </c>
      <c r="AD106" s="125">
        <f t="shared" si="44"/>
        <v>13.54537864759</v>
      </c>
      <c r="AE106" s="125">
        <f t="shared" si="45"/>
        <v>13.252173895779999</v>
      </c>
      <c r="AF106" s="125">
        <f t="shared" si="46"/>
        <v>13.0521072774</v>
      </c>
      <c r="AG106" s="126">
        <f t="shared" si="47"/>
        <v>12.678149858400001</v>
      </c>
    </row>
    <row r="107" spans="2:33" s="133" customFormat="1" ht="14.25">
      <c r="B107" s="117" t="s">
        <v>50</v>
      </c>
      <c r="C107" s="161"/>
      <c r="D107" s="161"/>
      <c r="E107" s="161"/>
      <c r="F107" s="161"/>
      <c r="G107" s="161"/>
      <c r="H107" s="161"/>
      <c r="I107" s="161"/>
      <c r="J107" s="161">
        <f>+J38*$J$72</f>
        <v>10.19744122731</v>
      </c>
      <c r="K107" s="156">
        <f>+K38*$K$72</f>
        <v>10.38437660684</v>
      </c>
      <c r="L107" s="156">
        <f>+L38*$L$72</f>
        <v>9.901563430009999</v>
      </c>
      <c r="M107" s="156">
        <f>+M38*$M$72</f>
        <v>9.703135311839999</v>
      </c>
      <c r="N107" s="113">
        <f>+N38*$N$72</f>
        <v>9.608892745590001</v>
      </c>
      <c r="O107" s="206">
        <f>+O38/$O$72</f>
        <v>9.707953511957767</v>
      </c>
      <c r="P107" s="136">
        <f>+P38/$P$72</f>
        <v>9.490570178559997</v>
      </c>
      <c r="Q107" s="136">
        <f>+Q38/$Q$72</f>
        <v>9.394261114982518</v>
      </c>
      <c r="R107" s="136">
        <f>+R38/$R$72</f>
        <v>9.619899497459999</v>
      </c>
      <c r="S107" s="207">
        <f>+S38*$S$72</f>
        <v>9.91433006364</v>
      </c>
      <c r="T107" s="172">
        <f>+T38*$T$72</f>
        <v>10.00224076038</v>
      </c>
      <c r="U107" s="188">
        <f>+U38*$U$72</f>
        <v>10.116994315120001</v>
      </c>
      <c r="V107" s="188">
        <f>+V38*$V$72</f>
        <v>10.0342650096</v>
      </c>
      <c r="W107" s="188">
        <f>+W38*$W$72</f>
        <v>10.21840442974</v>
      </c>
      <c r="X107" s="125">
        <f t="shared" si="38"/>
        <v>10.2557660574</v>
      </c>
      <c r="Y107" s="125">
        <f t="shared" si="39"/>
        <v>10.4052125697</v>
      </c>
      <c r="Z107" s="126">
        <f t="shared" si="40"/>
        <v>10.19795151192</v>
      </c>
      <c r="AA107" s="125">
        <f t="shared" si="41"/>
        <v>10.0686671358</v>
      </c>
      <c r="AB107" s="125">
        <f t="shared" si="42"/>
        <v>10.063495738470001</v>
      </c>
      <c r="AC107" s="125">
        <f t="shared" si="43"/>
        <v>10.234151133070002</v>
      </c>
      <c r="AD107" s="125">
        <f t="shared" si="44"/>
        <v>10.272936428660001</v>
      </c>
      <c r="AE107" s="125">
        <f t="shared" si="45"/>
        <v>10.050567320849998</v>
      </c>
      <c r="AF107" s="125">
        <f t="shared" si="46"/>
        <v>9.870599494679999</v>
      </c>
      <c r="AG107" s="126">
        <f t="shared" si="47"/>
        <v>9.58779579944</v>
      </c>
    </row>
    <row r="108" spans="2:33" s="133" customFormat="1" ht="14.25">
      <c r="B108" s="117" t="s">
        <v>54</v>
      </c>
      <c r="C108" s="161"/>
      <c r="D108" s="161"/>
      <c r="E108" s="161"/>
      <c r="F108" s="161"/>
      <c r="G108" s="161"/>
      <c r="H108" s="161"/>
      <c r="I108" s="161"/>
      <c r="J108" s="161">
        <f>+J39*J72</f>
        <v>0.39404154405</v>
      </c>
      <c r="K108" s="208">
        <f>+K39*K72</f>
        <v>0.57324837428</v>
      </c>
      <c r="L108" s="134">
        <f>+L39*L72</f>
        <v>0.5626000485399999</v>
      </c>
      <c r="M108" s="134">
        <f>+M39*M72</f>
        <v>0.55132550298</v>
      </c>
      <c r="N108" s="113">
        <f>+N39*N72</f>
        <v>1.78463898808</v>
      </c>
      <c r="O108" s="206">
        <f>+O39/O72</f>
        <v>1.8030373195195852</v>
      </c>
      <c r="P108" s="136">
        <f>+P39/P72</f>
        <v>1.762663186048142</v>
      </c>
      <c r="Q108" s="136">
        <f>+Q39/Q72</f>
        <v>1.744775902650468</v>
      </c>
      <c r="R108" s="136">
        <f>+R39/R72</f>
        <v>1.7866832407199995</v>
      </c>
      <c r="S108" s="207">
        <f>+S39*S72</f>
        <v>1.8413672084400001</v>
      </c>
      <c r="T108" s="209">
        <f>+T39*T72</f>
        <v>4.72647162053</v>
      </c>
      <c r="U108" s="209">
        <f>+U39*U72</f>
        <v>4.78069742106</v>
      </c>
      <c r="V108" s="209">
        <f>+V39*V72</f>
        <v>4.74160441248</v>
      </c>
      <c r="W108" s="209">
        <f>+W39*W72</f>
        <v>4.82861788786</v>
      </c>
      <c r="X108" s="125">
        <f t="shared" si="38"/>
        <v>4.8462728069</v>
      </c>
      <c r="Y108" s="125">
        <f t="shared" si="39"/>
        <v>5.891642448240001</v>
      </c>
      <c r="Z108" s="126">
        <f t="shared" si="40"/>
        <v>5.95964036412</v>
      </c>
      <c r="AA108" s="125">
        <f t="shared" si="41"/>
        <v>5.88408709646</v>
      </c>
      <c r="AB108" s="125">
        <f t="shared" si="42"/>
        <v>5.881064974480001</v>
      </c>
      <c r="AC108" s="125">
        <f t="shared" si="43"/>
        <v>5.980795271400001</v>
      </c>
      <c r="AD108" s="125">
        <f t="shared" si="44"/>
        <v>6.003461232849999</v>
      </c>
      <c r="AE108" s="125">
        <f t="shared" si="45"/>
        <v>5.8735096548499985</v>
      </c>
      <c r="AF108" s="125">
        <f t="shared" si="46"/>
        <v>5.95964036412</v>
      </c>
      <c r="AG108" s="126">
        <f t="shared" si="47"/>
        <v>5.78889000931</v>
      </c>
    </row>
    <row r="109" spans="2:33" s="133" customFormat="1" ht="14.25">
      <c r="B109" s="117" t="s">
        <v>52</v>
      </c>
      <c r="C109" s="161"/>
      <c r="D109" s="161"/>
      <c r="E109" s="161"/>
      <c r="F109" s="161"/>
      <c r="G109" s="161"/>
      <c r="H109" s="161"/>
      <c r="I109" s="161"/>
      <c r="J109" s="161">
        <f aca="true" t="shared" si="48" ref="J109:J116">+J40*$J$72</f>
        <v>2.16393136932</v>
      </c>
      <c r="K109" s="156">
        <f aca="true" t="shared" si="49" ref="K109:K116">+K40*$K$72</f>
        <v>1.9799940355999999</v>
      </c>
      <c r="L109" s="156">
        <f aca="true" t="shared" si="50" ref="L109:L116">+L40*$L$72</f>
        <v>2.54820900168</v>
      </c>
      <c r="M109" s="156">
        <f aca="true" t="shared" si="51" ref="M109:M116">+M40*$M$72</f>
        <v>2.93114104638</v>
      </c>
      <c r="N109" s="113">
        <f aca="true" t="shared" si="52" ref="N109:N116">+N40*$N$72</f>
        <v>3.21993625561</v>
      </c>
      <c r="O109" s="206">
        <f aca="true" t="shared" si="53" ref="O109:O116">+O40/$O$72</f>
        <v>3.0121984383393072</v>
      </c>
      <c r="P109" s="136">
        <f aca="true" t="shared" si="54" ref="P109:P116">+P40/$P$72</f>
        <v>3.0121984404168254</v>
      </c>
      <c r="Q109" s="136">
        <f aca="true" t="shared" si="55" ref="Q109:Q116">+Q40/$Q$72</f>
        <v>2.855804009880765</v>
      </c>
      <c r="R109" s="136">
        <f aca="true" t="shared" si="56" ref="R109:R116">+R40/$R$72</f>
        <v>2.8558040124599997</v>
      </c>
      <c r="S109" s="205">
        <f aca="true" t="shared" si="57" ref="S109:S116">+S40*$S$72</f>
        <v>2.8558039923800003</v>
      </c>
      <c r="T109" s="188">
        <f aca="true" t="shared" si="58" ref="T109:T116">+T40*$T$72</f>
        <v>2.957797001719999</v>
      </c>
      <c r="U109" s="188">
        <f aca="true" t="shared" si="59" ref="U109:U116">+U40*$U$72</f>
        <v>2.9577969927</v>
      </c>
      <c r="V109" s="188">
        <f aca="true" t="shared" si="60" ref="V109:V116">+V40*$V$72</f>
        <v>2.9577970000799993</v>
      </c>
      <c r="W109" s="188">
        <f aca="true" t="shared" si="61" ref="W109:W116">+W40*$W$72</f>
        <v>2.9040020227400003</v>
      </c>
      <c r="X109" s="125">
        <f t="shared" si="38"/>
        <v>2.9040020186</v>
      </c>
      <c r="Y109" s="125">
        <f t="shared" si="39"/>
        <v>2.9040019905600003</v>
      </c>
      <c r="Z109" s="126">
        <f t="shared" si="40"/>
        <v>2.7037260165599997</v>
      </c>
      <c r="AA109" s="125">
        <f t="shared" si="41"/>
        <v>2.8038639937</v>
      </c>
      <c r="AB109" s="125">
        <f t="shared" si="42"/>
        <v>2.80386399449</v>
      </c>
      <c r="AC109" s="125">
        <f t="shared" si="43"/>
        <v>2.7519240132700005</v>
      </c>
      <c r="AD109" s="125">
        <f t="shared" si="44"/>
        <v>2.7519240132700005</v>
      </c>
      <c r="AE109" s="125">
        <f t="shared" si="45"/>
        <v>2.7519240005</v>
      </c>
      <c r="AF109" s="125">
        <f t="shared" si="46"/>
        <v>2.7519239958</v>
      </c>
      <c r="AG109" s="126">
        <f t="shared" si="47"/>
        <v>2.6536409956800004</v>
      </c>
    </row>
    <row r="110" spans="2:33" s="133" customFormat="1" ht="14.25">
      <c r="B110" s="117" t="s">
        <v>53</v>
      </c>
      <c r="C110" s="161"/>
      <c r="D110" s="161"/>
      <c r="E110" s="161"/>
      <c r="F110" s="161"/>
      <c r="G110" s="161"/>
      <c r="H110" s="161"/>
      <c r="I110" s="161"/>
      <c r="J110" s="161">
        <f t="shared" si="48"/>
        <v>0.2218967538</v>
      </c>
      <c r="K110" s="156">
        <f t="shared" si="49"/>
        <v>0.98711789896</v>
      </c>
      <c r="L110" s="156">
        <f t="shared" si="50"/>
        <v>0.9687817696700001</v>
      </c>
      <c r="M110" s="156">
        <f t="shared" si="51"/>
        <v>1.9762672941</v>
      </c>
      <c r="N110" s="113">
        <f t="shared" si="52"/>
        <v>2.0161044067500002</v>
      </c>
      <c r="O110" s="206">
        <f t="shared" si="53"/>
        <v>2.0368889885195314</v>
      </c>
      <c r="P110" s="136">
        <f t="shared" si="54"/>
        <v>1.9912783939079015</v>
      </c>
      <c r="Q110" s="136">
        <f t="shared" si="55"/>
        <v>1.9710711499205282</v>
      </c>
      <c r="R110" s="136">
        <f t="shared" si="56"/>
        <v>2.01841380846</v>
      </c>
      <c r="S110" s="205">
        <f t="shared" si="57"/>
        <v>2.0801902010799997</v>
      </c>
      <c r="T110" s="188">
        <f t="shared" si="58"/>
        <v>2.16390589822</v>
      </c>
      <c r="U110" s="188">
        <f t="shared" si="59"/>
        <v>2.18873192428</v>
      </c>
      <c r="V110" s="188">
        <f t="shared" si="60"/>
        <v>2.17083408048</v>
      </c>
      <c r="W110" s="188">
        <f t="shared" si="61"/>
        <v>2.21067120378</v>
      </c>
      <c r="X110" s="125">
        <f t="shared" si="38"/>
        <v>2.2187541002</v>
      </c>
      <c r="Y110" s="125">
        <f t="shared" si="39"/>
        <v>2.25108566664</v>
      </c>
      <c r="Z110" s="126">
        <f t="shared" si="40"/>
        <v>2.27706639828</v>
      </c>
      <c r="AA110" s="125">
        <f t="shared" si="41"/>
        <v>2.24819890208</v>
      </c>
      <c r="AB110" s="125">
        <f t="shared" si="42"/>
        <v>2.24704421328</v>
      </c>
      <c r="AC110" s="125">
        <f t="shared" si="43"/>
        <v>2.2851492810100003</v>
      </c>
      <c r="AD110" s="125">
        <f t="shared" si="44"/>
        <v>2.29380951228</v>
      </c>
      <c r="AE110" s="125">
        <f t="shared" si="45"/>
        <v>2.2441574751799998</v>
      </c>
      <c r="AF110" s="125">
        <f t="shared" si="46"/>
        <v>2.27706639828</v>
      </c>
      <c r="AG110" s="126">
        <f t="shared" si="47"/>
        <v>2.21182589673</v>
      </c>
    </row>
    <row r="111" spans="2:33" s="29" customFormat="1" ht="14.25">
      <c r="B111" s="117" t="s">
        <v>55</v>
      </c>
      <c r="C111" s="100"/>
      <c r="D111" s="100"/>
      <c r="E111" s="100"/>
      <c r="F111" s="100"/>
      <c r="G111" s="100"/>
      <c r="H111" s="100"/>
      <c r="I111" s="100"/>
      <c r="J111" s="100">
        <f t="shared" si="48"/>
        <v>0.13029517155</v>
      </c>
      <c r="K111" s="96">
        <f t="shared" si="49"/>
        <v>0.4924731802</v>
      </c>
      <c r="L111" s="96">
        <f t="shared" si="50"/>
        <v>0.48332530273999996</v>
      </c>
      <c r="M111" s="96">
        <f t="shared" si="51"/>
        <v>1.5005394083399999</v>
      </c>
      <c r="N111" s="107">
        <f t="shared" si="52"/>
        <v>1.5307869117700001</v>
      </c>
      <c r="O111" s="124">
        <f t="shared" si="53"/>
        <v>1.5465682377996444</v>
      </c>
      <c r="P111" s="71">
        <f t="shared" si="54"/>
        <v>1.5119370185384062</v>
      </c>
      <c r="Q111" s="71">
        <f t="shared" si="55"/>
        <v>1.4965940778604008</v>
      </c>
      <c r="R111" s="71">
        <f t="shared" si="56"/>
        <v>1.53254039148</v>
      </c>
      <c r="S111" s="158">
        <f t="shared" si="57"/>
        <v>1.57944596212</v>
      </c>
      <c r="T111" s="125">
        <f t="shared" si="58"/>
        <v>1.6430095618200002</v>
      </c>
      <c r="U111" s="125">
        <f t="shared" si="59"/>
        <v>1.6618594652000003</v>
      </c>
      <c r="V111" s="125">
        <f t="shared" si="60"/>
        <v>1.6482699979199997</v>
      </c>
      <c r="W111" s="125">
        <f t="shared" si="61"/>
        <v>1.6785175022199998</v>
      </c>
      <c r="X111" s="125">
        <f t="shared" si="38"/>
        <v>1.6846546665999997</v>
      </c>
      <c r="Y111" s="125">
        <f t="shared" si="39"/>
        <v>1.7092033841399998</v>
      </c>
      <c r="Z111" s="126">
        <f t="shared" si="40"/>
        <v>1.72893003048</v>
      </c>
      <c r="AA111" s="125">
        <f t="shared" si="41"/>
        <v>1.70701154528</v>
      </c>
      <c r="AB111" s="125">
        <f t="shared" si="42"/>
        <v>1.7061347843100003</v>
      </c>
      <c r="AC111" s="125">
        <f t="shared" si="43"/>
        <v>1.73506719305</v>
      </c>
      <c r="AD111" s="125">
        <f t="shared" si="44"/>
        <v>1.74164272497</v>
      </c>
      <c r="AE111" s="125">
        <f t="shared" si="45"/>
        <v>1.7039429496</v>
      </c>
      <c r="AF111" s="125">
        <f t="shared" si="46"/>
        <v>1.72893003048</v>
      </c>
      <c r="AG111" s="126">
        <f t="shared" si="47"/>
        <v>1.6793942350900002</v>
      </c>
    </row>
    <row r="112" spans="2:33" s="29" customFormat="1" ht="14.25">
      <c r="B112" s="117" t="s">
        <v>56</v>
      </c>
      <c r="C112" s="100"/>
      <c r="D112" s="100"/>
      <c r="E112" s="100"/>
      <c r="F112" s="100"/>
      <c r="G112" s="100"/>
      <c r="H112" s="100"/>
      <c r="I112" s="100"/>
      <c r="J112" s="100">
        <f t="shared" si="48"/>
        <v>0.0039179319</v>
      </c>
      <c r="K112" s="96">
        <f t="shared" si="49"/>
        <v>1.2425998961200002</v>
      </c>
      <c r="L112" s="96">
        <f t="shared" si="50"/>
        <v>1.2195180751399999</v>
      </c>
      <c r="M112" s="96">
        <f t="shared" si="51"/>
        <v>1.1950788308999998</v>
      </c>
      <c r="N112" s="107">
        <f t="shared" si="52"/>
        <v>1.21916894555</v>
      </c>
      <c r="O112" s="124">
        <f t="shared" si="53"/>
        <v>1.2317376960197168</v>
      </c>
      <c r="P112" s="71">
        <f t="shared" si="54"/>
        <v>1.2041562734487308</v>
      </c>
      <c r="Q112" s="71">
        <f t="shared" si="55"/>
        <v>1.1919366355503196</v>
      </c>
      <c r="R112" s="71">
        <f t="shared" si="56"/>
        <v>1.22056548138</v>
      </c>
      <c r="S112" s="158">
        <f t="shared" si="57"/>
        <v>1.2579225862399999</v>
      </c>
      <c r="T112" s="125">
        <f t="shared" si="58"/>
        <v>1.30854672938</v>
      </c>
      <c r="U112" s="125">
        <f t="shared" si="59"/>
        <v>1.32355940266</v>
      </c>
      <c r="V112" s="125">
        <f t="shared" si="60"/>
        <v>1.3127363215199999</v>
      </c>
      <c r="W112" s="125">
        <f t="shared" si="61"/>
        <v>1.33682642002</v>
      </c>
      <c r="X112" s="125">
        <f t="shared" si="38"/>
        <v>1.3417142626</v>
      </c>
      <c r="Y112" s="125">
        <f t="shared" si="39"/>
        <v>1.3612656786000001</v>
      </c>
      <c r="Z112" s="126">
        <f t="shared" si="40"/>
        <v>1.3769765963999998</v>
      </c>
      <c r="AA112" s="125">
        <f t="shared" si="41"/>
        <v>1.35952000364</v>
      </c>
      <c r="AB112" s="125">
        <f t="shared" si="42"/>
        <v>1.3588217362200001</v>
      </c>
      <c r="AC112" s="125">
        <f t="shared" si="43"/>
        <v>1.3818644600200003</v>
      </c>
      <c r="AD112" s="125">
        <f t="shared" si="44"/>
        <v>1.38710144726</v>
      </c>
      <c r="AE112" s="125">
        <f t="shared" si="45"/>
        <v>1.3570760907800001</v>
      </c>
      <c r="AF112" s="125">
        <f t="shared" si="46"/>
        <v>1.3769765963999998</v>
      </c>
      <c r="AG112" s="126">
        <f t="shared" si="47"/>
        <v>1.33752470075</v>
      </c>
    </row>
    <row r="113" spans="2:33" s="29" customFormat="1" ht="14.25">
      <c r="B113" s="117" t="s">
        <v>57</v>
      </c>
      <c r="C113" s="100"/>
      <c r="D113" s="100"/>
      <c r="E113" s="100"/>
      <c r="F113" s="100"/>
      <c r="G113" s="100"/>
      <c r="H113" s="100"/>
      <c r="I113" s="100"/>
      <c r="J113" s="100">
        <f t="shared" si="48"/>
        <v>0.07142119884</v>
      </c>
      <c r="K113" s="96">
        <f t="shared" si="49"/>
        <v>0.23695855340000002</v>
      </c>
      <c r="L113" s="96">
        <f t="shared" si="50"/>
        <v>0.23255694526999995</v>
      </c>
      <c r="M113" s="96">
        <f t="shared" si="51"/>
        <v>0.22789648205999996</v>
      </c>
      <c r="N113" s="107">
        <f t="shared" si="52"/>
        <v>0.40709036570000007</v>
      </c>
      <c r="O113" s="142">
        <f t="shared" si="53"/>
        <v>0.41128718517990537</v>
      </c>
      <c r="P113" s="70">
        <f t="shared" si="54"/>
        <v>0.40207751596957625</v>
      </c>
      <c r="Q113" s="70">
        <f t="shared" si="55"/>
        <v>0.3979972871401067</v>
      </c>
      <c r="R113" s="70">
        <f t="shared" si="56"/>
        <v>0.40755668561999997</v>
      </c>
      <c r="S113" s="96">
        <f t="shared" si="57"/>
        <v>0.42003054416</v>
      </c>
      <c r="T113" s="129">
        <f t="shared" si="58"/>
        <v>0.4369343396</v>
      </c>
      <c r="U113" s="129">
        <f t="shared" si="59"/>
        <v>0.44194720855999997</v>
      </c>
      <c r="V113" s="129">
        <f t="shared" si="60"/>
        <v>0.4383332928</v>
      </c>
      <c r="W113" s="129">
        <f t="shared" si="61"/>
        <v>0.44637715798000005</v>
      </c>
      <c r="X113" s="129">
        <f t="shared" si="38"/>
        <v>0.4480092463</v>
      </c>
      <c r="Y113" s="129">
        <f t="shared" si="39"/>
        <v>0.68847762672</v>
      </c>
      <c r="Z113" s="107">
        <f t="shared" si="40"/>
        <v>0.6964236258</v>
      </c>
      <c r="AA113" s="129">
        <f t="shared" si="41"/>
        <v>0.6875947204199999</v>
      </c>
      <c r="AB113" s="129">
        <f t="shared" si="42"/>
        <v>0.6872415677900001</v>
      </c>
      <c r="AC113" s="129">
        <f t="shared" si="43"/>
        <v>0.6988957169200001</v>
      </c>
      <c r="AD113" s="129">
        <f t="shared" si="44"/>
        <v>0.70154440729</v>
      </c>
      <c r="AE113" s="129">
        <f t="shared" si="45"/>
        <v>0.68635869419</v>
      </c>
      <c r="AF113" s="129">
        <f t="shared" si="46"/>
        <v>0.6964236258</v>
      </c>
      <c r="AG113" s="107">
        <f t="shared" si="47"/>
        <v>0.67647030899</v>
      </c>
    </row>
    <row r="114" spans="2:33" s="29" customFormat="1" ht="14.25">
      <c r="B114" s="117" t="s">
        <v>58</v>
      </c>
      <c r="C114" s="175"/>
      <c r="D114" s="175"/>
      <c r="E114" s="175"/>
      <c r="F114" s="175"/>
      <c r="G114" s="175"/>
      <c r="H114" s="175"/>
      <c r="I114" s="175"/>
      <c r="J114" s="175">
        <f t="shared" si="48"/>
        <v>0</v>
      </c>
      <c r="K114" s="96">
        <f t="shared" si="49"/>
        <v>0.0931590896</v>
      </c>
      <c r="L114" s="96">
        <f t="shared" si="50"/>
        <v>0.09142862381</v>
      </c>
      <c r="M114" s="96">
        <f t="shared" si="51"/>
        <v>0.08959636865999998</v>
      </c>
      <c r="N114" s="107">
        <f t="shared" si="52"/>
        <v>0.26600243829</v>
      </c>
      <c r="O114" s="142">
        <f t="shared" si="53"/>
        <v>0.26874471853993814</v>
      </c>
      <c r="P114" s="70">
        <f t="shared" si="54"/>
        <v>0.2627269241997231</v>
      </c>
      <c r="Q114" s="70">
        <f t="shared" si="55"/>
        <v>0.2600608040400697</v>
      </c>
      <c r="R114" s="70">
        <f t="shared" si="56"/>
        <v>0.26630714627999996</v>
      </c>
      <c r="S114" s="96">
        <f t="shared" si="57"/>
        <v>0.27445783928</v>
      </c>
      <c r="T114" s="129">
        <f t="shared" si="58"/>
        <v>0.28550318324</v>
      </c>
      <c r="U114" s="129">
        <f t="shared" si="59"/>
        <v>0.28877870361999997</v>
      </c>
      <c r="V114" s="129">
        <f t="shared" si="60"/>
        <v>0.28641729167999996</v>
      </c>
      <c r="W114" s="129">
        <f t="shared" si="61"/>
        <v>0.29167333728</v>
      </c>
      <c r="X114" s="129">
        <f t="shared" si="38"/>
        <v>0.29273980480000006</v>
      </c>
      <c r="Y114" s="129">
        <f t="shared" si="39"/>
        <v>0.29700558342000005</v>
      </c>
      <c r="Z114" s="107">
        <f t="shared" si="40"/>
        <v>0.30043344336</v>
      </c>
      <c r="AA114" s="129">
        <f t="shared" si="41"/>
        <v>0.29662470944</v>
      </c>
      <c r="AB114" s="129">
        <f t="shared" si="42"/>
        <v>0.29647234918</v>
      </c>
      <c r="AC114" s="129">
        <f t="shared" si="43"/>
        <v>0.30149988577000003</v>
      </c>
      <c r="AD114" s="129">
        <f t="shared" si="44"/>
        <v>0.30264253079</v>
      </c>
      <c r="AE114" s="129">
        <f t="shared" si="45"/>
        <v>0.29609149571</v>
      </c>
      <c r="AF114" s="129">
        <f t="shared" si="46"/>
        <v>0.30043344336</v>
      </c>
      <c r="AG114" s="107">
        <f t="shared" si="47"/>
        <v>0.29182569425000005</v>
      </c>
    </row>
    <row r="115" spans="2:33" s="29" customFormat="1" ht="14.25">
      <c r="B115" s="117" t="s">
        <v>59</v>
      </c>
      <c r="C115" s="163"/>
      <c r="D115" s="163"/>
      <c r="E115" s="163"/>
      <c r="F115" s="163"/>
      <c r="G115" s="163"/>
      <c r="H115" s="163"/>
      <c r="I115" s="163"/>
      <c r="J115" s="163">
        <f t="shared" si="48"/>
        <v>0.004139409540000001</v>
      </c>
      <c r="K115" s="146">
        <f t="shared" si="49"/>
        <v>0.06798258764000001</v>
      </c>
      <c r="L115" s="96">
        <f t="shared" si="50"/>
        <v>0.06671979043</v>
      </c>
      <c r="M115" s="96">
        <f t="shared" si="51"/>
        <v>0.06538272288</v>
      </c>
      <c r="N115" s="107">
        <f t="shared" si="52"/>
        <v>0.24130069713000005</v>
      </c>
      <c r="O115" s="142">
        <f t="shared" si="53"/>
        <v>0.24378833797994395</v>
      </c>
      <c r="P115" s="70">
        <f t="shared" si="54"/>
        <v>0.2383293411197488</v>
      </c>
      <c r="Q115" s="70">
        <f t="shared" si="55"/>
        <v>0.23591081916006323</v>
      </c>
      <c r="R115" s="70">
        <f t="shared" si="56"/>
        <v>0.24157710108</v>
      </c>
      <c r="S115" s="96">
        <f t="shared" si="57"/>
        <v>0.24897088979999998</v>
      </c>
      <c r="T115" s="129">
        <f t="shared" si="58"/>
        <v>0.25899054412</v>
      </c>
      <c r="U115" s="129">
        <f t="shared" si="59"/>
        <v>0.26196189162</v>
      </c>
      <c r="V115" s="129">
        <f t="shared" si="60"/>
        <v>0.25981974719999995</v>
      </c>
      <c r="W115" s="129">
        <f t="shared" si="61"/>
        <v>0.26458772964</v>
      </c>
      <c r="X115" s="129">
        <f t="shared" si="38"/>
        <v>0.2655551356</v>
      </c>
      <c r="Y115" s="129">
        <f t="shared" si="39"/>
        <v>0.26942479692000004</v>
      </c>
      <c r="Z115" s="107">
        <f t="shared" si="40"/>
        <v>0.27253434024</v>
      </c>
      <c r="AA115" s="129">
        <f t="shared" si="41"/>
        <v>0.26907928032</v>
      </c>
      <c r="AB115" s="129">
        <f t="shared" si="42"/>
        <v>0.26894109610000005</v>
      </c>
      <c r="AC115" s="129">
        <f t="shared" si="43"/>
        <v>0.27350176816000005</v>
      </c>
      <c r="AD115" s="129">
        <f t="shared" si="44"/>
        <v>0.27453826107</v>
      </c>
      <c r="AE115" s="129">
        <f t="shared" si="45"/>
        <v>0.26859559535</v>
      </c>
      <c r="AF115" s="129">
        <f t="shared" si="46"/>
        <v>0.27253434024</v>
      </c>
      <c r="AG115" s="107">
        <f t="shared" si="47"/>
        <v>0.26472592486</v>
      </c>
    </row>
    <row r="116" spans="2:33" s="29" customFormat="1" ht="14.25">
      <c r="B116" s="117" t="s">
        <v>60</v>
      </c>
      <c r="C116" s="163"/>
      <c r="D116" s="163"/>
      <c r="E116" s="163"/>
      <c r="F116" s="163"/>
      <c r="G116" s="163"/>
      <c r="H116" s="163"/>
      <c r="I116" s="163"/>
      <c r="J116" s="163">
        <f t="shared" si="48"/>
        <v>0.06865310592</v>
      </c>
      <c r="K116" s="146">
        <f t="shared" si="49"/>
        <v>0.08992451312000001</v>
      </c>
      <c r="L116" s="96">
        <f t="shared" si="50"/>
        <v>0.08825414030999999</v>
      </c>
      <c r="M116" s="96">
        <f t="shared" si="51"/>
        <v>0.08648552345999999</v>
      </c>
      <c r="N116" s="107">
        <f t="shared" si="52"/>
        <v>0.08822886048999999</v>
      </c>
      <c r="O116" s="142">
        <f t="shared" si="53"/>
        <v>0.0891384490199795</v>
      </c>
      <c r="P116" s="70">
        <f t="shared" si="54"/>
        <v>0.08714242237990814</v>
      </c>
      <c r="Q116" s="70">
        <f t="shared" si="55"/>
        <v>0.08625812724002312</v>
      </c>
      <c r="R116" s="70">
        <f t="shared" si="56"/>
        <v>0.08832993623999999</v>
      </c>
      <c r="S116" s="96">
        <f t="shared" si="57"/>
        <v>0.09103339651999999</v>
      </c>
      <c r="T116" s="129">
        <f t="shared" si="58"/>
        <v>0.09469697402000002</v>
      </c>
      <c r="U116" s="129">
        <f t="shared" si="59"/>
        <v>0.09578340508</v>
      </c>
      <c r="V116" s="129">
        <f t="shared" si="60"/>
        <v>0.09500017176</v>
      </c>
      <c r="W116" s="129">
        <f t="shared" si="61"/>
        <v>0.09674352141999999</v>
      </c>
      <c r="X116" s="129">
        <f t="shared" si="38"/>
        <v>0.0970972255</v>
      </c>
      <c r="Y116" s="129">
        <f t="shared" si="39"/>
        <v>0.09851212758000001</v>
      </c>
      <c r="Z116" s="107">
        <f t="shared" si="40"/>
        <v>0.09964910447999999</v>
      </c>
      <c r="AA116" s="129">
        <f t="shared" si="41"/>
        <v>0.09838581292000001</v>
      </c>
      <c r="AB116" s="129">
        <f t="shared" si="42"/>
        <v>0.0983352672</v>
      </c>
      <c r="AC116" s="129">
        <f t="shared" si="43"/>
        <v>0.10000281574</v>
      </c>
      <c r="AD116" s="129">
        <f t="shared" si="44"/>
        <v>0.10038180602</v>
      </c>
      <c r="AE116" s="129">
        <f t="shared" si="45"/>
        <v>0.09820893731</v>
      </c>
      <c r="AF116" s="129">
        <f t="shared" si="46"/>
        <v>0.09964910447999999</v>
      </c>
      <c r="AG116" s="107">
        <f t="shared" si="47"/>
        <v>0.09679404486</v>
      </c>
    </row>
    <row r="117" spans="2:33" s="133" customFormat="1" ht="14.25">
      <c r="B117" s="117" t="s">
        <v>81</v>
      </c>
      <c r="C117" s="199"/>
      <c r="D117" s="199"/>
      <c r="E117" s="199"/>
      <c r="F117" s="199"/>
      <c r="G117" s="199"/>
      <c r="H117" s="199"/>
      <c r="I117" s="199"/>
      <c r="J117" s="199">
        <f>+J49*J72</f>
        <v>8.183303800140001</v>
      </c>
      <c r="K117" s="200">
        <f>+K49*K72</f>
        <v>7.75800663812</v>
      </c>
      <c r="L117" s="134">
        <f>+L49*L72</f>
        <v>7.76673003389</v>
      </c>
      <c r="M117" s="134">
        <f>+M49*M72</f>
        <v>7.18487427096</v>
      </c>
      <c r="N117" s="196">
        <v>0</v>
      </c>
      <c r="O117" s="250">
        <v>0</v>
      </c>
      <c r="P117" s="203">
        <v>0</v>
      </c>
      <c r="Q117" s="203">
        <v>0</v>
      </c>
      <c r="R117" s="203">
        <v>0</v>
      </c>
      <c r="S117" s="203">
        <v>0</v>
      </c>
      <c r="T117" s="203">
        <v>0</v>
      </c>
      <c r="U117" s="203">
        <v>0</v>
      </c>
      <c r="V117" s="203">
        <v>0</v>
      </c>
      <c r="W117" s="203">
        <v>0</v>
      </c>
      <c r="X117" s="203">
        <f>+X49*$X$72</f>
        <v>0</v>
      </c>
      <c r="Y117" s="203">
        <f>+Y49*$Y$72</f>
        <v>0</v>
      </c>
      <c r="Z117" s="196">
        <f>+Z49*$Z$72</f>
        <v>0</v>
      </c>
      <c r="AA117" s="203">
        <f>+AA49*$AA$72</f>
        <v>0</v>
      </c>
      <c r="AB117" s="203">
        <f>+AB49*$AB$72</f>
        <v>0</v>
      </c>
      <c r="AC117" s="203">
        <f>+AC49*$AC$72</f>
        <v>0</v>
      </c>
      <c r="AD117" s="203">
        <f>+AD49*$AD$72</f>
        <v>0</v>
      </c>
      <c r="AE117" s="203">
        <f>+AE49*$AE$72</f>
        <v>0</v>
      </c>
      <c r="AF117" s="203">
        <f>+AF49*$AF$72</f>
        <v>0</v>
      </c>
      <c r="AG117" s="217">
        <f>+AG49*$AG$72</f>
        <v>0</v>
      </c>
    </row>
    <row r="118" spans="2:33" s="29" customFormat="1" ht="7.5" customHeight="1">
      <c r="B118" s="49"/>
      <c r="C118" s="164"/>
      <c r="D118" s="164"/>
      <c r="E118" s="164"/>
      <c r="F118" s="164"/>
      <c r="G118" s="164"/>
      <c r="H118" s="164"/>
      <c r="I118" s="164"/>
      <c r="J118" s="164"/>
      <c r="K118" s="147"/>
      <c r="L118" s="145"/>
      <c r="M118" s="157"/>
      <c r="N118" s="123"/>
      <c r="O118" s="122"/>
      <c r="P118" s="69"/>
      <c r="Q118" s="69"/>
      <c r="R118" s="69"/>
      <c r="S118" s="157"/>
      <c r="T118" s="170"/>
      <c r="U118" s="170"/>
      <c r="V118" s="170"/>
      <c r="W118" s="170"/>
      <c r="X118" s="170"/>
      <c r="Y118" s="170"/>
      <c r="Z118" s="123"/>
      <c r="AA118" s="170"/>
      <c r="AB118" s="170"/>
      <c r="AC118" s="170"/>
      <c r="AD118" s="170"/>
      <c r="AE118" s="170"/>
      <c r="AF118" s="170"/>
      <c r="AG118" s="258"/>
    </row>
    <row r="119" spans="2:33" s="29" customFormat="1" ht="15.75">
      <c r="B119" s="85" t="s">
        <v>69</v>
      </c>
      <c r="C119" s="165"/>
      <c r="D119" s="165"/>
      <c r="E119" s="165"/>
      <c r="F119" s="165"/>
      <c r="G119" s="165"/>
      <c r="H119" s="165"/>
      <c r="I119" s="165"/>
      <c r="J119" s="165">
        <f>+J120</f>
        <v>721.3338777094199</v>
      </c>
      <c r="K119" s="148">
        <f>+K120</f>
        <v>655.9895001680001</v>
      </c>
      <c r="L119" s="144">
        <f>+L120</f>
        <v>666.71473046967</v>
      </c>
      <c r="M119" s="144">
        <f>+M120</f>
        <v>618.72597069174</v>
      </c>
      <c r="N119" s="185">
        <f>+N120</f>
        <v>584.0243936093101</v>
      </c>
      <c r="O119" s="120">
        <f aca="true" t="shared" si="62" ref="O119:U119">+O120</f>
        <v>570.8154497065688</v>
      </c>
      <c r="P119" s="87">
        <f t="shared" si="62"/>
        <v>536.031645840425</v>
      </c>
      <c r="Q119" s="87">
        <f t="shared" si="62"/>
        <v>605.1209812548122</v>
      </c>
      <c r="R119" s="87">
        <f t="shared" si="62"/>
        <v>609.83312657526</v>
      </c>
      <c r="S119" s="144">
        <f t="shared" si="62"/>
        <v>619.33655448786</v>
      </c>
      <c r="T119" s="121">
        <f t="shared" si="62"/>
        <v>634.40191836164</v>
      </c>
      <c r="U119" s="121">
        <f t="shared" si="62"/>
        <v>635.9768482749001</v>
      </c>
      <c r="V119" s="121">
        <f aca="true" t="shared" si="63" ref="V119:AD119">+V120</f>
        <v>600.7019482058399</v>
      </c>
      <c r="W119" s="121">
        <f t="shared" si="63"/>
        <v>598.73742407778</v>
      </c>
      <c r="X119" s="121">
        <f t="shared" si="63"/>
        <v>595.3139121521001</v>
      </c>
      <c r="Y119" s="121">
        <f t="shared" si="63"/>
        <v>598.0177840747201</v>
      </c>
      <c r="Z119" s="185">
        <f t="shared" si="63"/>
        <v>576.2390529923998</v>
      </c>
      <c r="AA119" s="121">
        <f t="shared" si="63"/>
        <v>588.13188586642</v>
      </c>
      <c r="AB119" s="121">
        <f t="shared" si="63"/>
        <v>550.2490609619999</v>
      </c>
      <c r="AC119" s="121">
        <f t="shared" si="63"/>
        <v>602.3140853983901</v>
      </c>
      <c r="AD119" s="121">
        <f t="shared" si="63"/>
        <v>600.0687590013902</v>
      </c>
      <c r="AE119" s="121">
        <f>+AE120</f>
        <v>594.45142088083</v>
      </c>
      <c r="AF119" s="121">
        <f>+AF120</f>
        <v>595.59098184552</v>
      </c>
      <c r="AG119" s="214">
        <f>+AG120</f>
        <v>583.6947483771601</v>
      </c>
    </row>
    <row r="120" spans="2:33" s="29" customFormat="1" ht="14.25">
      <c r="B120" s="74" t="s">
        <v>41</v>
      </c>
      <c r="C120" s="163"/>
      <c r="D120" s="163"/>
      <c r="E120" s="163"/>
      <c r="F120" s="163"/>
      <c r="G120" s="163"/>
      <c r="H120" s="163"/>
      <c r="I120" s="163"/>
      <c r="J120" s="163">
        <f>+J52*$J$72</f>
        <v>721.3338777094199</v>
      </c>
      <c r="K120" s="149">
        <f>+K52*$K$72</f>
        <v>655.9895001680001</v>
      </c>
      <c r="L120" s="96">
        <f>+L52*$L$72</f>
        <v>666.71473046967</v>
      </c>
      <c r="M120" s="96">
        <f>+M52*$M$72</f>
        <v>618.72597069174</v>
      </c>
      <c r="N120" s="107">
        <f>+N52*$N$72</f>
        <v>584.0243936093101</v>
      </c>
      <c r="O120" s="124">
        <f>+O52/O72</f>
        <v>570.8154497065688</v>
      </c>
      <c r="P120" s="71">
        <f>+P52/P72</f>
        <v>536.031645840425</v>
      </c>
      <c r="Q120" s="71">
        <f>+Q52/Q72</f>
        <v>605.1209812548122</v>
      </c>
      <c r="R120" s="71">
        <f>+R52/R72</f>
        <v>609.83312657526</v>
      </c>
      <c r="S120" s="158">
        <f>+S52*S72</f>
        <v>619.33655448786</v>
      </c>
      <c r="T120" s="125">
        <f>+T52*$T$72</f>
        <v>634.40191836164</v>
      </c>
      <c r="U120" s="125">
        <f>+U52*$U$72</f>
        <v>635.9768482749001</v>
      </c>
      <c r="V120" s="125">
        <f>+V52*$V$72</f>
        <v>600.7019482058399</v>
      </c>
      <c r="W120" s="125">
        <f>+W52*$W$72</f>
        <v>598.73742407778</v>
      </c>
      <c r="X120" s="125">
        <f>+X52*$X$72</f>
        <v>595.3139121521001</v>
      </c>
      <c r="Y120" s="125">
        <f>+Y52*$Y$72</f>
        <v>598.0177840747201</v>
      </c>
      <c r="Z120" s="126">
        <f>+Z52*$Z$72</f>
        <v>576.2390529923998</v>
      </c>
      <c r="AA120" s="125">
        <f>+AA52*$AA$72</f>
        <v>588.13188586642</v>
      </c>
      <c r="AB120" s="125">
        <f>+AB52*$AB$72</f>
        <v>550.2490609619999</v>
      </c>
      <c r="AC120" s="125">
        <f>+AC52*$AC$72</f>
        <v>602.3140853983901</v>
      </c>
      <c r="AD120" s="125">
        <f>+AD52*$AD$72</f>
        <v>600.0687590013902</v>
      </c>
      <c r="AE120" s="125">
        <f>+AE52*$AE$72</f>
        <v>594.45142088083</v>
      </c>
      <c r="AF120" s="125">
        <f>+AF52*$AF$72</f>
        <v>595.59098184552</v>
      </c>
      <c r="AG120" s="257">
        <f>+AG52*$AG$72</f>
        <v>583.6947483771601</v>
      </c>
    </row>
    <row r="121" spans="2:33" s="29" customFormat="1" ht="17.25" customHeight="1">
      <c r="B121" s="49"/>
      <c r="C121" s="164"/>
      <c r="D121" s="164"/>
      <c r="E121" s="164"/>
      <c r="F121" s="164"/>
      <c r="G121" s="164"/>
      <c r="H121" s="164"/>
      <c r="I121" s="164"/>
      <c r="J121" s="164"/>
      <c r="K121" s="147"/>
      <c r="L121" s="145"/>
      <c r="M121" s="158"/>
      <c r="N121" s="252"/>
      <c r="O121" s="124"/>
      <c r="P121" s="69"/>
      <c r="Q121" s="71"/>
      <c r="R121" s="71"/>
      <c r="S121" s="158"/>
      <c r="T121" s="125"/>
      <c r="U121" s="125"/>
      <c r="V121" s="125"/>
      <c r="W121" s="125"/>
      <c r="X121" s="125"/>
      <c r="Y121" s="125"/>
      <c r="Z121" s="126"/>
      <c r="AA121" s="125"/>
      <c r="AB121" s="125"/>
      <c r="AC121" s="125"/>
      <c r="AD121" s="125"/>
      <c r="AE121" s="125"/>
      <c r="AF121" s="125"/>
      <c r="AG121" s="126"/>
    </row>
    <row r="122" spans="2:33" s="29" customFormat="1" ht="16.5">
      <c r="B122" s="221" t="s">
        <v>90</v>
      </c>
      <c r="C122" s="166"/>
      <c r="D122" s="166"/>
      <c r="E122" s="166"/>
      <c r="F122" s="166"/>
      <c r="G122" s="166"/>
      <c r="H122" s="166"/>
      <c r="I122" s="166"/>
      <c r="J122" s="166">
        <f>+J124</f>
        <v>40.29234390303</v>
      </c>
      <c r="K122" s="150">
        <f>+K124</f>
        <v>45.16558670760001</v>
      </c>
      <c r="L122" s="95">
        <f>+L124</f>
        <v>91.27924159105</v>
      </c>
      <c r="M122" s="95">
        <f>+M124</f>
        <v>115.85111425253999</v>
      </c>
      <c r="N122" s="119">
        <f>+N124</f>
        <v>177.6924932446</v>
      </c>
      <c r="O122" s="118">
        <f aca="true" t="shared" si="64" ref="O122:U122">+O124</f>
        <v>177.69192784961913</v>
      </c>
      <c r="P122" s="76">
        <f t="shared" si="64"/>
        <v>181.39188078095884</v>
      </c>
      <c r="Q122" s="76">
        <f t="shared" si="64"/>
        <v>181.39188079786862</v>
      </c>
      <c r="R122" s="76">
        <f t="shared" si="64"/>
        <v>183.75156078426</v>
      </c>
      <c r="S122" s="143">
        <f t="shared" si="64"/>
        <v>183.75156077475998</v>
      </c>
      <c r="T122" s="77">
        <f t="shared" si="64"/>
        <v>201.86400002405998</v>
      </c>
      <c r="U122" s="77">
        <f t="shared" si="64"/>
        <v>200.72913750714</v>
      </c>
      <c r="V122" s="77">
        <f>+V124</f>
        <v>200.72913748055998</v>
      </c>
      <c r="W122" s="77">
        <f>+W124</f>
        <v>201.52160954093998</v>
      </c>
      <c r="X122" s="77">
        <f>+X124</f>
        <v>202.1466095195</v>
      </c>
      <c r="Y122" s="77">
        <f>+Y124</f>
        <v>202.14660951695998</v>
      </c>
      <c r="Z122" s="119">
        <f aca="true" t="shared" si="65" ref="Z122:AE122">+Z124+Z129</f>
        <v>210.05324946396001</v>
      </c>
      <c r="AA122" s="77">
        <f t="shared" si="65"/>
        <v>210.86372363640004</v>
      </c>
      <c r="AB122" s="77">
        <f t="shared" si="65"/>
        <v>210.86372361844002</v>
      </c>
      <c r="AC122" s="77">
        <f t="shared" si="65"/>
        <v>216.66438884510004</v>
      </c>
      <c r="AD122" s="77">
        <f t="shared" si="65"/>
        <v>217.03998672389002</v>
      </c>
      <c r="AE122" s="77">
        <f t="shared" si="65"/>
        <v>224.92715552600004</v>
      </c>
      <c r="AF122" s="77">
        <f>+AF124+AF129</f>
        <v>245.14691901612</v>
      </c>
      <c r="AG122" s="119">
        <f>+AG124+AG129</f>
        <v>250.19569988818</v>
      </c>
    </row>
    <row r="123" spans="2:33" s="29" customFormat="1" ht="8.25" customHeight="1">
      <c r="B123" s="50"/>
      <c r="C123" s="167"/>
      <c r="D123" s="167"/>
      <c r="E123" s="167"/>
      <c r="F123" s="167"/>
      <c r="G123" s="167"/>
      <c r="H123" s="167"/>
      <c r="I123" s="167"/>
      <c r="J123" s="167"/>
      <c r="K123" s="151"/>
      <c r="L123" s="154"/>
      <c r="M123" s="143"/>
      <c r="N123" s="119"/>
      <c r="O123" s="118"/>
      <c r="P123" s="76"/>
      <c r="Q123" s="76"/>
      <c r="R123" s="76"/>
      <c r="S123" s="143"/>
      <c r="T123" s="77"/>
      <c r="U123" s="77"/>
      <c r="V123" s="77"/>
      <c r="W123" s="77"/>
      <c r="X123" s="77"/>
      <c r="Y123" s="77"/>
      <c r="Z123" s="119"/>
      <c r="AA123" s="77"/>
      <c r="AB123" s="77"/>
      <c r="AC123" s="77"/>
      <c r="AD123" s="77"/>
      <c r="AE123" s="77"/>
      <c r="AF123" s="77"/>
      <c r="AG123" s="119"/>
    </row>
    <row r="124" spans="2:33" s="29" customFormat="1" ht="15.75">
      <c r="B124" s="85" t="s">
        <v>66</v>
      </c>
      <c r="C124" s="168"/>
      <c r="D124" s="168"/>
      <c r="E124" s="168"/>
      <c r="F124" s="168"/>
      <c r="G124" s="168"/>
      <c r="H124" s="168"/>
      <c r="I124" s="168"/>
      <c r="J124" s="168">
        <f>+J125+J126</f>
        <v>40.29234390303</v>
      </c>
      <c r="K124" s="152">
        <f>+K125+K126</f>
        <v>45.16558670760001</v>
      </c>
      <c r="L124" s="155">
        <f>+L125+L126</f>
        <v>91.27924159105</v>
      </c>
      <c r="M124" s="155">
        <f>+M125+M126</f>
        <v>115.85111425253999</v>
      </c>
      <c r="N124" s="185">
        <f>+N125+N126</f>
        <v>177.6924932446</v>
      </c>
      <c r="O124" s="120">
        <f aca="true" t="shared" si="66" ref="O124:U124">+O125+O126</f>
        <v>177.69192784961913</v>
      </c>
      <c r="P124" s="87">
        <f t="shared" si="66"/>
        <v>181.39188078095884</v>
      </c>
      <c r="Q124" s="87">
        <f t="shared" si="66"/>
        <v>181.39188079786862</v>
      </c>
      <c r="R124" s="87">
        <f t="shared" si="66"/>
        <v>183.75156078426</v>
      </c>
      <c r="S124" s="144">
        <f t="shared" si="66"/>
        <v>183.75156077475998</v>
      </c>
      <c r="T124" s="121">
        <f t="shared" si="66"/>
        <v>201.86400002405998</v>
      </c>
      <c r="U124" s="121">
        <f t="shared" si="66"/>
        <v>200.72913750714</v>
      </c>
      <c r="V124" s="121">
        <f>+V125+V126</f>
        <v>200.72913748055998</v>
      </c>
      <c r="W124" s="121">
        <f aca="true" t="shared" si="67" ref="W124:AC124">+W125+W126+W127</f>
        <v>201.52160954093998</v>
      </c>
      <c r="X124" s="121">
        <f t="shared" si="67"/>
        <v>202.1466095195</v>
      </c>
      <c r="Y124" s="121">
        <f t="shared" si="67"/>
        <v>202.14660951695998</v>
      </c>
      <c r="Z124" s="185">
        <f t="shared" si="67"/>
        <v>202.14660946704</v>
      </c>
      <c r="AA124" s="121">
        <f t="shared" si="67"/>
        <v>202.95708362906004</v>
      </c>
      <c r="AB124" s="121">
        <f t="shared" si="67"/>
        <v>202.95708361858001</v>
      </c>
      <c r="AC124" s="121">
        <f t="shared" si="67"/>
        <v>208.75774884788004</v>
      </c>
      <c r="AD124" s="121">
        <f>+AD125+AD126+AD127</f>
        <v>208.75774884788004</v>
      </c>
      <c r="AE124" s="121">
        <f>+AE125+AE126+AE127</f>
        <v>208.75774883173003</v>
      </c>
      <c r="AF124" s="121">
        <f>+AF125+AF126+AF127</f>
        <v>214.15774883292</v>
      </c>
      <c r="AG124" s="185">
        <f>+AG125+AG126+AG127</f>
        <v>206.37939336017</v>
      </c>
    </row>
    <row r="125" spans="2:33" s="29" customFormat="1" ht="14.25">
      <c r="B125" s="74" t="s">
        <v>64</v>
      </c>
      <c r="C125" s="163"/>
      <c r="D125" s="163"/>
      <c r="E125" s="163"/>
      <c r="F125" s="163"/>
      <c r="G125" s="163"/>
      <c r="H125" s="163"/>
      <c r="I125" s="163"/>
      <c r="J125" s="163">
        <f>+J57*$J$72</f>
        <v>40.29234390303</v>
      </c>
      <c r="K125" s="149">
        <f>+K57*$K$72</f>
        <v>45.16558670760001</v>
      </c>
      <c r="L125" s="156">
        <f>+L57*$L$72</f>
        <v>58.206618969999994</v>
      </c>
      <c r="M125" s="96">
        <f>+M57*$M$72</f>
        <v>71.10396150125999</v>
      </c>
      <c r="N125" s="107">
        <f>+N57*$N$72</f>
        <v>92.69249325004</v>
      </c>
      <c r="O125" s="124">
        <f>+O57/$O$72</f>
        <v>92.69192784439869</v>
      </c>
      <c r="P125" s="71">
        <f>+P57/$P$72</f>
        <v>96.39188076949841</v>
      </c>
      <c r="Q125" s="71">
        <f>+Q57/$Q$72</f>
        <v>96.39188080040584</v>
      </c>
      <c r="R125" s="71">
        <f>+R57/$R$72</f>
        <v>98.75156077205999</v>
      </c>
      <c r="S125" s="158">
        <f>+S57*$S$72</f>
        <v>98.75156078605998</v>
      </c>
      <c r="T125" s="125">
        <f>+T57*$T$72</f>
        <v>116.86400002321</v>
      </c>
      <c r="U125" s="125">
        <f>+U57*$U$72</f>
        <v>119.00163750552</v>
      </c>
      <c r="V125" s="125">
        <f>+V57*$V$72</f>
        <v>119.00163748824</v>
      </c>
      <c r="W125" s="125">
        <f>+W57*$W$72</f>
        <v>119.00163752047999</v>
      </c>
      <c r="X125" s="125">
        <f>+X57*$X$72</f>
        <v>119.0016375169</v>
      </c>
      <c r="Y125" s="125">
        <f>+Y57*$Y$72</f>
        <v>119.00163750185999</v>
      </c>
      <c r="Z125" s="126">
        <f>+Z57*$Z$72</f>
        <v>119.0016374928</v>
      </c>
      <c r="AA125" s="125">
        <f>+AA57*$AA$72</f>
        <v>120.32874101744002</v>
      </c>
      <c r="AB125" s="125">
        <f>+AB57*$AB$72</f>
        <v>120.32874101979</v>
      </c>
      <c r="AC125" s="125">
        <f>+AC57*$AC$72</f>
        <v>120.32874100405</v>
      </c>
      <c r="AD125" s="125">
        <f>+AD57*$AD$72</f>
        <v>120.32874100405002</v>
      </c>
      <c r="AE125" s="125">
        <f>+AE57*$AE$72</f>
        <v>120.32874097987</v>
      </c>
      <c r="AF125" s="125">
        <f>+AF57*$AF$72</f>
        <v>120.3287409984</v>
      </c>
      <c r="AG125" s="126">
        <f>+AG57*$AG$72</f>
        <v>115.30961150297</v>
      </c>
    </row>
    <row r="126" spans="2:33" s="29" customFormat="1" ht="14.25">
      <c r="B126" s="74" t="s">
        <v>65</v>
      </c>
      <c r="C126" s="180"/>
      <c r="D126" s="180"/>
      <c r="E126" s="180"/>
      <c r="F126" s="180"/>
      <c r="G126" s="180"/>
      <c r="H126" s="180"/>
      <c r="I126" s="180"/>
      <c r="J126" s="180">
        <f>+J58*$J$72</f>
        <v>0</v>
      </c>
      <c r="K126" s="181">
        <f>+K58*$K$72</f>
        <v>0</v>
      </c>
      <c r="L126" s="156">
        <f>+L58*$L$72</f>
        <v>33.07262262105</v>
      </c>
      <c r="M126" s="96">
        <f>+M58*$M$72</f>
        <v>44.74715275128</v>
      </c>
      <c r="N126" s="107">
        <f>+N58*$N$72</f>
        <v>84.99999999456</v>
      </c>
      <c r="O126" s="124">
        <f>+O58/$O$72</f>
        <v>85.00000000522044</v>
      </c>
      <c r="P126" s="71">
        <f>+P58/$P$72</f>
        <v>85.00000001146041</v>
      </c>
      <c r="Q126" s="71">
        <f>+Q58/$Q$72</f>
        <v>84.99999999746278</v>
      </c>
      <c r="R126" s="71">
        <f>+R58/$R$72</f>
        <v>85.00000001219999</v>
      </c>
      <c r="S126" s="158">
        <f>+S58*$S$72</f>
        <v>84.9999999887</v>
      </c>
      <c r="T126" s="125">
        <f>+T58*$T$72</f>
        <v>85.00000000085</v>
      </c>
      <c r="U126" s="125">
        <f>+U58*$U$72</f>
        <v>81.72750000162</v>
      </c>
      <c r="V126" s="125">
        <f>+V58*$V$72</f>
        <v>81.72749999231999</v>
      </c>
      <c r="W126" s="125">
        <f>+W58*$W$72</f>
        <v>81.72750001338</v>
      </c>
      <c r="X126" s="125">
        <f>+X58*$X$72</f>
        <v>81.72750001280001</v>
      </c>
      <c r="Y126" s="125">
        <f>+Y58*$Y$72</f>
        <v>81.72750000978</v>
      </c>
      <c r="Z126" s="126">
        <f>+Z58*$Z$72</f>
        <v>81.72749998716</v>
      </c>
      <c r="AA126" s="125">
        <f>+AA58*$AA$72</f>
        <v>78.45500000204</v>
      </c>
      <c r="AB126" s="125">
        <f>+AB58*$AB$72</f>
        <v>78.45499998741</v>
      </c>
      <c r="AC126" s="125">
        <f>+AC58*$AC$72</f>
        <v>78.45499999852001</v>
      </c>
      <c r="AD126" s="125">
        <f>+AD58*$AD$72</f>
        <v>78.45499999852001</v>
      </c>
      <c r="AE126" s="125">
        <f>+AE58*$AE$72</f>
        <v>78.45499998993</v>
      </c>
      <c r="AF126" s="125">
        <f>+AF58*$AF$72</f>
        <v>78.45499999127999</v>
      </c>
      <c r="AG126" s="126">
        <f>+AG58*$AG$72</f>
        <v>75.18250000641001</v>
      </c>
    </row>
    <row r="127" spans="2:33" s="29" customFormat="1" ht="14.25">
      <c r="B127" s="73" t="s">
        <v>86</v>
      </c>
      <c r="C127" s="226"/>
      <c r="D127" s="226"/>
      <c r="E127" s="226"/>
      <c r="F127" s="226"/>
      <c r="G127" s="226"/>
      <c r="H127" s="226"/>
      <c r="I127" s="226"/>
      <c r="J127" s="226">
        <v>0</v>
      </c>
      <c r="K127" s="227">
        <v>0</v>
      </c>
      <c r="L127" s="179">
        <v>0</v>
      </c>
      <c r="M127" s="179">
        <v>0</v>
      </c>
      <c r="N127" s="253">
        <v>0</v>
      </c>
      <c r="O127" s="225">
        <v>0</v>
      </c>
      <c r="P127" s="179">
        <v>0</v>
      </c>
      <c r="Q127" s="179">
        <v>0</v>
      </c>
      <c r="R127" s="179">
        <v>0</v>
      </c>
      <c r="S127" s="189">
        <v>0</v>
      </c>
      <c r="T127" s="189">
        <v>0</v>
      </c>
      <c r="U127" s="189">
        <v>0</v>
      </c>
      <c r="V127" s="189">
        <v>0</v>
      </c>
      <c r="W127" s="129">
        <f>+W59*$W$72</f>
        <v>0.79247200708</v>
      </c>
      <c r="X127" s="125">
        <f>+X59*$X$72</f>
        <v>1.4174719897999999</v>
      </c>
      <c r="Y127" s="125">
        <f>+Y59*$Y$72</f>
        <v>1.41747200532</v>
      </c>
      <c r="Z127" s="126">
        <f>+Z59*$Z$72</f>
        <v>1.4174719870799999</v>
      </c>
      <c r="AA127" s="125">
        <f>+AA59*$AA$72</f>
        <v>4.17334260958</v>
      </c>
      <c r="AB127" s="125">
        <f>+AB59*$AB$72</f>
        <v>4.173342611380001</v>
      </c>
      <c r="AC127" s="125">
        <f>+AC59*$AC$72</f>
        <v>9.97400784531</v>
      </c>
      <c r="AD127" s="125">
        <f>+AD59*$AD$72</f>
        <v>9.97400784531</v>
      </c>
      <c r="AE127" s="125">
        <f>+AE59*$AE$72</f>
        <v>9.97400786193</v>
      </c>
      <c r="AF127" s="125">
        <f>+AF59*$AF$72</f>
        <v>15.37400784324</v>
      </c>
      <c r="AG127" s="126">
        <f>+AG59*$AG$72</f>
        <v>15.887281850790002</v>
      </c>
    </row>
    <row r="128" spans="2:33" s="29" customFormat="1" ht="14.25">
      <c r="B128" s="73"/>
      <c r="C128" s="226"/>
      <c r="D128" s="226"/>
      <c r="E128" s="226"/>
      <c r="F128" s="226"/>
      <c r="G128" s="226"/>
      <c r="H128" s="226"/>
      <c r="I128" s="226"/>
      <c r="J128" s="226"/>
      <c r="K128" s="227"/>
      <c r="L128" s="179"/>
      <c r="M128" s="179"/>
      <c r="N128" s="253"/>
      <c r="O128" s="225"/>
      <c r="P128" s="179"/>
      <c r="Q128" s="179"/>
      <c r="R128" s="179"/>
      <c r="S128" s="189"/>
      <c r="T128" s="189"/>
      <c r="U128" s="189"/>
      <c r="V128" s="189"/>
      <c r="W128" s="129"/>
      <c r="X128" s="125"/>
      <c r="Y128" s="125"/>
      <c r="Z128" s="126"/>
      <c r="AA128" s="125"/>
      <c r="AB128" s="125"/>
      <c r="AC128" s="125"/>
      <c r="AD128" s="125"/>
      <c r="AE128" s="125"/>
      <c r="AF128" s="125"/>
      <c r="AG128" s="126"/>
    </row>
    <row r="129" spans="2:33" s="29" customFormat="1" ht="15.75">
      <c r="B129" s="85" t="s">
        <v>67</v>
      </c>
      <c r="C129" s="226"/>
      <c r="D129" s="226"/>
      <c r="E129" s="226"/>
      <c r="F129" s="226"/>
      <c r="G129" s="226"/>
      <c r="H129" s="226"/>
      <c r="I129" s="226"/>
      <c r="J129" s="226">
        <v>0</v>
      </c>
      <c r="K129" s="227">
        <v>0</v>
      </c>
      <c r="L129" s="179">
        <v>0</v>
      </c>
      <c r="M129" s="179">
        <v>0</v>
      </c>
      <c r="N129" s="253">
        <v>0</v>
      </c>
      <c r="O129" s="225">
        <v>0</v>
      </c>
      <c r="P129" s="179">
        <v>0</v>
      </c>
      <c r="Q129" s="179">
        <v>0</v>
      </c>
      <c r="R129" s="179">
        <v>0</v>
      </c>
      <c r="S129" s="189">
        <v>0</v>
      </c>
      <c r="T129" s="189">
        <v>0</v>
      </c>
      <c r="U129" s="189">
        <v>0</v>
      </c>
      <c r="V129" s="189">
        <v>0</v>
      </c>
      <c r="W129" s="189">
        <v>0</v>
      </c>
      <c r="X129" s="189">
        <v>0</v>
      </c>
      <c r="Y129" s="189">
        <v>0</v>
      </c>
      <c r="Z129" s="185">
        <f aca="true" t="shared" si="68" ref="Z129:AE129">+Z130</f>
        <v>7.90663999692</v>
      </c>
      <c r="AA129" s="121">
        <f t="shared" si="68"/>
        <v>7.90664000734</v>
      </c>
      <c r="AB129" s="121">
        <f t="shared" si="68"/>
        <v>7.906639999860001</v>
      </c>
      <c r="AC129" s="121">
        <f t="shared" si="68"/>
        <v>7.90663999722</v>
      </c>
      <c r="AD129" s="121">
        <f t="shared" si="68"/>
        <v>8.28223787601</v>
      </c>
      <c r="AE129" s="121">
        <f t="shared" si="68"/>
        <v>16.16940669427</v>
      </c>
      <c r="AF129" s="121">
        <f>+AF130+AF131</f>
        <v>30.989170183199995</v>
      </c>
      <c r="AG129" s="185">
        <f>+AG130+AG131</f>
        <v>43.81630652801</v>
      </c>
    </row>
    <row r="130" spans="2:33" s="29" customFormat="1" ht="14.25">
      <c r="B130" s="73" t="s">
        <v>91</v>
      </c>
      <c r="C130" s="226"/>
      <c r="D130" s="226"/>
      <c r="E130" s="226"/>
      <c r="F130" s="226"/>
      <c r="G130" s="226"/>
      <c r="H130" s="226"/>
      <c r="I130" s="226"/>
      <c r="J130" s="226">
        <v>0</v>
      </c>
      <c r="K130" s="227">
        <v>0</v>
      </c>
      <c r="L130" s="179">
        <v>0</v>
      </c>
      <c r="M130" s="179">
        <v>0</v>
      </c>
      <c r="N130" s="253">
        <v>0</v>
      </c>
      <c r="O130" s="225">
        <v>0</v>
      </c>
      <c r="P130" s="179">
        <v>0</v>
      </c>
      <c r="Q130" s="179">
        <v>0</v>
      </c>
      <c r="R130" s="179">
        <v>0</v>
      </c>
      <c r="S130" s="189">
        <v>0</v>
      </c>
      <c r="T130" s="189">
        <v>0</v>
      </c>
      <c r="U130" s="189">
        <v>0</v>
      </c>
      <c r="V130" s="189">
        <v>0</v>
      </c>
      <c r="W130" s="189">
        <v>0</v>
      </c>
      <c r="X130" s="189">
        <v>0</v>
      </c>
      <c r="Y130" s="189">
        <v>0</v>
      </c>
      <c r="Z130" s="126">
        <f>+Z62*$Z$72</f>
        <v>7.90663999692</v>
      </c>
      <c r="AA130" s="125">
        <f>+AA62*$AA$72</f>
        <v>7.90664000734</v>
      </c>
      <c r="AB130" s="125">
        <f>+AB62*$AB$72</f>
        <v>7.906639999860001</v>
      </c>
      <c r="AC130" s="125">
        <f>+AC62*$AC$72</f>
        <v>7.90663999722</v>
      </c>
      <c r="AD130" s="125">
        <f>+AD62*$AD$72</f>
        <v>8.28223787601</v>
      </c>
      <c r="AE130" s="125">
        <f>+AE62*$AE$72</f>
        <v>16.16940669427</v>
      </c>
      <c r="AF130" s="125">
        <f>+AF62*$AF$72</f>
        <v>26.292702840599997</v>
      </c>
      <c r="AG130" s="126">
        <f>+AG62*$AG$72</f>
        <v>27.0447518406</v>
      </c>
    </row>
    <row r="131" spans="2:33" s="29" customFormat="1" ht="14.25">
      <c r="B131" s="73"/>
      <c r="C131" s="178"/>
      <c r="D131" s="178"/>
      <c r="E131" s="178"/>
      <c r="F131" s="178"/>
      <c r="G131" s="178"/>
      <c r="H131" s="178"/>
      <c r="I131" s="178"/>
      <c r="J131" s="178">
        <v>0</v>
      </c>
      <c r="K131" s="179">
        <v>0</v>
      </c>
      <c r="L131" s="179">
        <v>0</v>
      </c>
      <c r="M131" s="179">
        <v>0</v>
      </c>
      <c r="N131" s="189">
        <v>0</v>
      </c>
      <c r="O131" s="225"/>
      <c r="P131" s="179"/>
      <c r="Q131" s="227">
        <v>0</v>
      </c>
      <c r="R131" s="179"/>
      <c r="S131" s="179"/>
      <c r="T131" s="189">
        <v>0</v>
      </c>
      <c r="U131" s="179"/>
      <c r="V131" s="179"/>
      <c r="W131" s="189">
        <v>0</v>
      </c>
      <c r="X131" s="189"/>
      <c r="Y131" s="179"/>
      <c r="Z131" s="189">
        <v>0</v>
      </c>
      <c r="AA131" s="238"/>
      <c r="AB131" s="238"/>
      <c r="AC131" s="227">
        <v>0</v>
      </c>
      <c r="AD131" s="179">
        <v>0</v>
      </c>
      <c r="AE131" s="189">
        <v>0</v>
      </c>
      <c r="AF131" s="125">
        <f>+AF63*$AF$72</f>
        <v>4.6964673426</v>
      </c>
      <c r="AG131" s="126">
        <f>+AG63*$AG$72</f>
        <v>16.77155468741</v>
      </c>
    </row>
    <row r="132" spans="2:33" s="29" customFormat="1" ht="6.75" customHeight="1">
      <c r="B132" s="51"/>
      <c r="C132" s="169"/>
      <c r="D132" s="169"/>
      <c r="E132" s="169"/>
      <c r="F132" s="169"/>
      <c r="G132" s="169"/>
      <c r="H132" s="169"/>
      <c r="I132" s="169"/>
      <c r="J132" s="169"/>
      <c r="K132" s="153"/>
      <c r="L132" s="97"/>
      <c r="M132" s="158"/>
      <c r="N132" s="254"/>
      <c r="O132" s="127"/>
      <c r="P132" s="84"/>
      <c r="Q132" s="84"/>
      <c r="R132" s="128"/>
      <c r="S132" s="158"/>
      <c r="T132" s="125"/>
      <c r="U132" s="125"/>
      <c r="V132" s="197"/>
      <c r="W132" s="197"/>
      <c r="X132" s="197"/>
      <c r="Y132" s="197"/>
      <c r="Z132" s="192"/>
      <c r="AA132" s="197"/>
      <c r="AB132" s="197"/>
      <c r="AC132" s="197"/>
      <c r="AD132" s="197"/>
      <c r="AE132" s="197"/>
      <c r="AF132" s="197"/>
      <c r="AG132" s="192"/>
    </row>
    <row r="133" spans="2:33" s="29" customFormat="1" ht="15" customHeight="1">
      <c r="B133" s="647" t="s">
        <v>38</v>
      </c>
      <c r="C133" s="652"/>
      <c r="D133" s="652"/>
      <c r="E133" s="281"/>
      <c r="F133" s="652"/>
      <c r="G133" s="652"/>
      <c r="H133" s="281"/>
      <c r="I133" s="652"/>
      <c r="J133" s="652">
        <f aca="true" t="shared" si="69" ref="J133:X133">+J122+J84</f>
        <v>3549.486800442421</v>
      </c>
      <c r="K133" s="642">
        <f t="shared" si="69"/>
        <v>3371.9041625398395</v>
      </c>
      <c r="L133" s="644">
        <f t="shared" si="69"/>
        <v>3880.8706005211084</v>
      </c>
      <c r="M133" s="644">
        <f t="shared" si="69"/>
        <v>3818.1638149118394</v>
      </c>
      <c r="N133" s="670">
        <f t="shared" si="69"/>
        <v>3663.28794080896</v>
      </c>
      <c r="O133" s="642">
        <f t="shared" si="69"/>
        <v>3518.74621163053</v>
      </c>
      <c r="P133" s="644">
        <f t="shared" si="69"/>
        <v>3492.0593311244797</v>
      </c>
      <c r="Q133" s="644">
        <f t="shared" si="69"/>
        <v>3449.2276697178236</v>
      </c>
      <c r="R133" s="644">
        <f t="shared" si="69"/>
        <v>3476.46725746614</v>
      </c>
      <c r="S133" s="683">
        <f t="shared" si="69"/>
        <v>3518.7984493802605</v>
      </c>
      <c r="T133" s="635">
        <f t="shared" si="69"/>
        <v>3634.809214170859</v>
      </c>
      <c r="U133" s="635">
        <f t="shared" si="69"/>
        <v>3640.2919515072003</v>
      </c>
      <c r="V133" s="635">
        <f t="shared" si="69"/>
        <v>3610.49584707864</v>
      </c>
      <c r="W133" s="635">
        <f t="shared" si="69"/>
        <v>3561.7653096295403</v>
      </c>
      <c r="X133" s="635">
        <f t="shared" si="69"/>
        <v>3560.9851657995996</v>
      </c>
      <c r="Y133" s="635">
        <f aca="true" t="shared" si="70" ref="Y133:AD133">+Y122+Y84</f>
        <v>3562.55705020152</v>
      </c>
      <c r="Z133" s="623">
        <f t="shared" si="70"/>
        <v>3406.330143685079</v>
      </c>
      <c r="AA133" s="635">
        <f t="shared" si="70"/>
        <v>3503.4877774155193</v>
      </c>
      <c r="AB133" s="635">
        <f t="shared" si="70"/>
        <v>3455.08830313356</v>
      </c>
      <c r="AC133" s="635">
        <f t="shared" si="70"/>
        <v>3474.8849171245197</v>
      </c>
      <c r="AD133" s="635">
        <f t="shared" si="70"/>
        <v>3478.9704727082517</v>
      </c>
      <c r="AE133" s="635">
        <f>+AE122+AE84</f>
        <v>3458.9198716639994</v>
      </c>
      <c r="AF133" s="635">
        <f>+AF122+AF84</f>
        <v>3479.164305760319</v>
      </c>
      <c r="AG133" s="623">
        <f>+AG122+AG84</f>
        <v>3416.7968267027895</v>
      </c>
    </row>
    <row r="134" spans="2:33" s="29" customFormat="1" ht="15" customHeight="1">
      <c r="B134" s="648"/>
      <c r="C134" s="653"/>
      <c r="D134" s="653"/>
      <c r="E134" s="282"/>
      <c r="F134" s="653"/>
      <c r="G134" s="653"/>
      <c r="H134" s="282"/>
      <c r="I134" s="653"/>
      <c r="J134" s="653"/>
      <c r="K134" s="643"/>
      <c r="L134" s="645"/>
      <c r="M134" s="645"/>
      <c r="N134" s="671"/>
      <c r="O134" s="643"/>
      <c r="P134" s="645"/>
      <c r="Q134" s="645"/>
      <c r="R134" s="645"/>
      <c r="S134" s="684"/>
      <c r="T134" s="636"/>
      <c r="U134" s="636"/>
      <c r="V134" s="636"/>
      <c r="W134" s="636"/>
      <c r="X134" s="636"/>
      <c r="Y134" s="636"/>
      <c r="Z134" s="624"/>
      <c r="AA134" s="636"/>
      <c r="AB134" s="636"/>
      <c r="AC134" s="636"/>
      <c r="AD134" s="636"/>
      <c r="AE134" s="636"/>
      <c r="AF134" s="636"/>
      <c r="AG134" s="624"/>
    </row>
    <row r="135" spans="2:33" s="29" customFormat="1" ht="7.5" customHeight="1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2"/>
      <c r="N135" s="52"/>
      <c r="O135" s="52"/>
      <c r="P135" s="58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</row>
    <row r="136" spans="2:33" s="29" customFormat="1" ht="15">
      <c r="B136" s="28" t="s">
        <v>82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</row>
    <row r="137" spans="2:33" s="29" customFormat="1" ht="15">
      <c r="B137" s="63" t="s">
        <v>92</v>
      </c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</row>
    <row r="138" spans="2:33" s="29" customFormat="1" ht="15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O138" s="235"/>
      <c r="P138" s="235"/>
      <c r="Q138" s="235"/>
      <c r="R138" s="235"/>
      <c r="S138" s="235"/>
      <c r="T138" s="235"/>
      <c r="U138" s="235"/>
      <c r="V138" s="235"/>
      <c r="W138" s="235"/>
      <c r="X138" s="235"/>
      <c r="Y138" s="235"/>
      <c r="Z138" s="235"/>
      <c r="AA138" s="235"/>
      <c r="AB138" s="235"/>
      <c r="AC138" s="235"/>
      <c r="AD138" s="235"/>
      <c r="AE138" s="235"/>
      <c r="AF138" s="235"/>
      <c r="AG138" s="235"/>
    </row>
    <row r="139" spans="2:12" ht="15">
      <c r="B139" s="88" t="s">
        <v>71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</row>
    <row r="140" spans="2:33" ht="15">
      <c r="B140" s="88" t="s">
        <v>72</v>
      </c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234"/>
      <c r="AB140" s="233"/>
      <c r="AC140" s="233"/>
      <c r="AD140" s="233"/>
      <c r="AE140" s="233"/>
      <c r="AF140" s="233"/>
      <c r="AG140" s="233"/>
    </row>
    <row r="141" spans="3:33" ht="14.25"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</row>
    <row r="142" spans="3:22" ht="15">
      <c r="C142" s="212"/>
      <c r="D142" s="212"/>
      <c r="E142" s="212"/>
      <c r="F142" s="212"/>
      <c r="G142" s="212"/>
      <c r="H142" s="212"/>
      <c r="I142" s="212"/>
      <c r="J142" s="212"/>
      <c r="K142" s="212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  <c r="V142" s="212"/>
    </row>
    <row r="143" spans="3:33" ht="14.25"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</row>
    <row r="147" spans="2:12" ht="15">
      <c r="B147"/>
      <c r="C147"/>
      <c r="D147"/>
      <c r="E147"/>
      <c r="F147"/>
      <c r="G147"/>
      <c r="H147"/>
      <c r="I147"/>
      <c r="J147"/>
      <c r="K147"/>
      <c r="L147"/>
    </row>
  </sheetData>
  <sheetProtection/>
  <mergeCells count="130">
    <mergeCell ref="C81:C82"/>
    <mergeCell ref="D81:D82"/>
    <mergeCell ref="F81:F82"/>
    <mergeCell ref="C133:C134"/>
    <mergeCell ref="D133:D134"/>
    <mergeCell ref="F133:F134"/>
    <mergeCell ref="G10:J10"/>
    <mergeCell ref="C11:C12"/>
    <mergeCell ref="D11:D12"/>
    <mergeCell ref="F11:F12"/>
    <mergeCell ref="C65:C66"/>
    <mergeCell ref="D65:D66"/>
    <mergeCell ref="F65:F66"/>
    <mergeCell ref="E11:E12"/>
    <mergeCell ref="C10:F10"/>
    <mergeCell ref="I11:I12"/>
    <mergeCell ref="I65:I66"/>
    <mergeCell ref="I81:I82"/>
    <mergeCell ref="I133:I134"/>
    <mergeCell ref="G11:G12"/>
    <mergeCell ref="G65:G66"/>
    <mergeCell ref="G81:G82"/>
    <mergeCell ref="G133:G134"/>
    <mergeCell ref="H11:H12"/>
    <mergeCell ref="AA133:AA134"/>
    <mergeCell ref="AC11:AC12"/>
    <mergeCell ref="AC65:AC66"/>
    <mergeCell ref="AA65:AA66"/>
    <mergeCell ref="AA81:AA82"/>
    <mergeCell ref="S133:S134"/>
    <mergeCell ref="S81:S82"/>
    <mergeCell ref="X81:X82"/>
    <mergeCell ref="Z133:Z134"/>
    <mergeCell ref="W133:W134"/>
    <mergeCell ref="O10:Z10"/>
    <mergeCell ref="M81:M82"/>
    <mergeCell ref="M11:M12"/>
    <mergeCell ref="AE11:AE12"/>
    <mergeCell ref="AE65:AE66"/>
    <mergeCell ref="AE81:AE82"/>
    <mergeCell ref="P65:P66"/>
    <mergeCell ref="Q81:Q82"/>
    <mergeCell ref="O81:O82"/>
    <mergeCell ref="X65:X66"/>
    <mergeCell ref="AE133:AE134"/>
    <mergeCell ref="AB133:AB134"/>
    <mergeCell ref="L133:L134"/>
    <mergeCell ref="N133:N134"/>
    <mergeCell ref="L81:L82"/>
    <mergeCell ref="K10:N10"/>
    <mergeCell ref="Q65:Q66"/>
    <mergeCell ref="R65:R66"/>
    <mergeCell ref="O65:O66"/>
    <mergeCell ref="N65:N66"/>
    <mergeCell ref="K11:K12"/>
    <mergeCell ref="M133:M134"/>
    <mergeCell ref="M65:M66"/>
    <mergeCell ref="K80:N80"/>
    <mergeCell ref="K65:K66"/>
    <mergeCell ref="K133:K134"/>
    <mergeCell ref="L11:L12"/>
    <mergeCell ref="N11:N12"/>
    <mergeCell ref="B133:B134"/>
    <mergeCell ref="B10:B12"/>
    <mergeCell ref="J133:J134"/>
    <mergeCell ref="L65:L66"/>
    <mergeCell ref="J65:J66"/>
    <mergeCell ref="B80:B82"/>
    <mergeCell ref="B65:B66"/>
    <mergeCell ref="J11:J12"/>
    <mergeCell ref="J81:J82"/>
    <mergeCell ref="K81:K82"/>
    <mergeCell ref="T11:T12"/>
    <mergeCell ref="O11:O12"/>
    <mergeCell ref="W11:W12"/>
    <mergeCell ref="W65:W66"/>
    <mergeCell ref="X11:X12"/>
    <mergeCell ref="N81:N82"/>
    <mergeCell ref="Q11:Q12"/>
    <mergeCell ref="P11:P12"/>
    <mergeCell ref="P81:P82"/>
    <mergeCell ref="O133:O134"/>
    <mergeCell ref="Q133:Q134"/>
    <mergeCell ref="P133:P134"/>
    <mergeCell ref="S11:S12"/>
    <mergeCell ref="V11:V12"/>
    <mergeCell ref="R133:R134"/>
    <mergeCell ref="T133:T134"/>
    <mergeCell ref="O80:Z80"/>
    <mergeCell ref="Y11:Y12"/>
    <mergeCell ref="Y65:Y66"/>
    <mergeCell ref="Y133:Y134"/>
    <mergeCell ref="V133:V134"/>
    <mergeCell ref="R81:R82"/>
    <mergeCell ref="V65:V66"/>
    <mergeCell ref="V81:V82"/>
    <mergeCell ref="U81:U82"/>
    <mergeCell ref="S65:S66"/>
    <mergeCell ref="X133:X134"/>
    <mergeCell ref="U133:U134"/>
    <mergeCell ref="Y81:Y82"/>
    <mergeCell ref="Z11:Z12"/>
    <mergeCell ref="Z65:Z66"/>
    <mergeCell ref="Z81:Z82"/>
    <mergeCell ref="AA11:AA12"/>
    <mergeCell ref="R11:R12"/>
    <mergeCell ref="U65:U66"/>
    <mergeCell ref="T65:T66"/>
    <mergeCell ref="U11:U12"/>
    <mergeCell ref="W81:W82"/>
    <mergeCell ref="T81:T82"/>
    <mergeCell ref="AD133:AD134"/>
    <mergeCell ref="AC133:AC134"/>
    <mergeCell ref="AB11:AB12"/>
    <mergeCell ref="AB65:AB66"/>
    <mergeCell ref="AB81:AB82"/>
    <mergeCell ref="AC81:AC82"/>
    <mergeCell ref="AD11:AD12"/>
    <mergeCell ref="AD65:AD66"/>
    <mergeCell ref="AD81:AD82"/>
    <mergeCell ref="AG11:AG12"/>
    <mergeCell ref="AG65:AG66"/>
    <mergeCell ref="AG81:AG82"/>
    <mergeCell ref="AG133:AG134"/>
    <mergeCell ref="AC10:AG10"/>
    <mergeCell ref="AA80:AG80"/>
    <mergeCell ref="AF11:AF12"/>
    <mergeCell ref="AF65:AF66"/>
    <mergeCell ref="AF81:AF82"/>
    <mergeCell ref="AF133:AF134"/>
  </mergeCells>
  <hyperlinks>
    <hyperlink ref="AC5" location="Soles" display="En nuevos soles"/>
  </hyperlinks>
  <printOptions/>
  <pageMargins left="0.4330708661417323" right="0.2755905511811024" top="0.6299212598425197" bottom="0.31496062992125984" header="0.31496062992125984" footer="0.31496062992125984"/>
  <pageSetup horizontalDpi="600" verticalDpi="600" orientation="landscape" paperSize="9" scale="54" r:id="rId2"/>
  <ignoredErrors>
    <ignoredError sqref="L93 M108 M95:M107 V101:W101 J108:L108 M16 M86 N108:W108" formula="1"/>
    <ignoredError sqref="M25" formula="1" formulaRange="1"/>
    <ignoredError sqref="M2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B180"/>
  <sheetViews>
    <sheetView showGridLines="0" zoomScale="75" zoomScaleNormal="75" zoomScalePageLayoutView="0" workbookViewId="0" topLeftCell="A1">
      <pane xSplit="26" ySplit="12" topLeftCell="AK61" activePane="bottomRight" state="frozen"/>
      <selection pane="topLeft" activeCell="A1" sqref="A1"/>
      <selection pane="topRight" activeCell="AA1" sqref="AA1"/>
      <selection pane="bottomLeft" activeCell="A13" sqref="A13"/>
      <selection pane="bottomRight" activeCell="AL82" sqref="AL82"/>
    </sheetView>
  </sheetViews>
  <sheetFormatPr defaultColWidth="11.421875" defaultRowHeight="15"/>
  <cols>
    <col min="1" max="1" width="3.28125" style="4" customWidth="1"/>
    <col min="2" max="2" width="97.57421875" style="4" customWidth="1"/>
    <col min="3" max="5" width="14.7109375" style="370" hidden="1" customWidth="1"/>
    <col min="6" max="6" width="14.7109375" style="4" hidden="1" customWidth="1"/>
    <col min="7" max="9" width="14.7109375" style="370" hidden="1" customWidth="1"/>
    <col min="10" max="10" width="14.7109375" style="4" hidden="1" customWidth="1"/>
    <col min="11" max="13" width="14.7109375" style="370" hidden="1" customWidth="1"/>
    <col min="14" max="14" width="14.7109375" style="4" hidden="1" customWidth="1"/>
    <col min="15" max="17" width="14.7109375" style="370" hidden="1" customWidth="1"/>
    <col min="18" max="18" width="14.7109375" style="4" hidden="1" customWidth="1"/>
    <col min="19" max="21" width="14.7109375" style="370" hidden="1" customWidth="1"/>
    <col min="22" max="22" width="14.7109375" style="4" hidden="1" customWidth="1"/>
    <col min="23" max="25" width="14.7109375" style="370" hidden="1" customWidth="1"/>
    <col min="26" max="26" width="14.7109375" style="4" hidden="1" customWidth="1"/>
    <col min="27" max="31" width="13.7109375" style="4" customWidth="1"/>
    <col min="32" max="38" width="13.7109375" style="0" customWidth="1"/>
    <col min="39" max="39" width="13.7109375" style="0" hidden="1" customWidth="1"/>
    <col min="40" max="40" width="13.7109375" style="4" hidden="1" customWidth="1"/>
    <col min="41" max="41" width="13.7109375" style="4" customWidth="1"/>
    <col min="42" max="43" width="13.7109375" style="4" hidden="1" customWidth="1"/>
    <col min="44" max="44" width="13.7109375" style="4" customWidth="1"/>
    <col min="45" max="46" width="13.7109375" style="4" hidden="1" customWidth="1"/>
    <col min="47" max="49" width="13.7109375" style="4" customWidth="1"/>
    <col min="50" max="50" width="12.140625" style="4" bestFit="1" customWidth="1"/>
    <col min="51" max="16384" width="11.421875" style="4" customWidth="1"/>
  </cols>
  <sheetData>
    <row r="1" ht="14.25" customHeight="1"/>
    <row r="2" spans="2:28" ht="15">
      <c r="B2" s="56"/>
      <c r="C2" s="371"/>
      <c r="D2" s="371"/>
      <c r="E2" s="371"/>
      <c r="F2" s="56"/>
      <c r="G2" s="371"/>
      <c r="H2" s="371"/>
      <c r="I2" s="371"/>
      <c r="J2" s="56"/>
      <c r="K2" s="371"/>
      <c r="L2" s="371"/>
      <c r="M2" s="371"/>
      <c r="N2" s="56"/>
      <c r="O2" s="371"/>
      <c r="P2" s="371"/>
      <c r="Q2" s="371"/>
      <c r="R2" s="56"/>
      <c r="S2" s="371"/>
      <c r="T2" s="371"/>
      <c r="U2" s="371"/>
      <c r="V2" s="56"/>
      <c r="W2" s="371"/>
      <c r="X2" s="371"/>
      <c r="Y2" s="371"/>
      <c r="Z2" s="56"/>
      <c r="AA2" s="56"/>
      <c r="AB2" s="56"/>
    </row>
    <row r="3" spans="2:27" ht="15">
      <c r="B3" s="56"/>
      <c r="C3" s="371"/>
      <c r="D3" s="371"/>
      <c r="E3" s="371"/>
      <c r="F3" s="56"/>
      <c r="G3" s="371"/>
      <c r="H3" s="371"/>
      <c r="I3" s="371"/>
      <c r="J3" s="56"/>
      <c r="K3" s="371"/>
      <c r="L3" s="371"/>
      <c r="M3" s="371"/>
      <c r="N3" s="56"/>
      <c r="O3" s="371"/>
      <c r="P3" s="371"/>
      <c r="Q3" s="371"/>
      <c r="R3" s="56"/>
      <c r="S3" s="371"/>
      <c r="T3" s="371"/>
      <c r="U3" s="371"/>
      <c r="V3" s="56"/>
      <c r="W3" s="371"/>
      <c r="X3" s="371"/>
      <c r="Y3" s="371"/>
      <c r="Z3" s="56"/>
      <c r="AA3" s="56"/>
    </row>
    <row r="4" spans="2:49" ht="20.25" customHeight="1">
      <c r="B4" s="56"/>
      <c r="C4" s="371"/>
      <c r="D4" s="371"/>
      <c r="E4" s="371"/>
      <c r="F4" s="56"/>
      <c r="G4" s="371"/>
      <c r="H4" s="371"/>
      <c r="I4" s="371"/>
      <c r="J4" s="56"/>
      <c r="K4" s="371"/>
      <c r="L4" s="371"/>
      <c r="M4" s="371"/>
      <c r="N4" s="56"/>
      <c r="O4" s="371"/>
      <c r="P4" s="371"/>
      <c r="Q4" s="371"/>
      <c r="R4" s="56"/>
      <c r="S4" s="371"/>
      <c r="T4" s="371"/>
      <c r="U4" s="371"/>
      <c r="V4" s="56"/>
      <c r="W4" s="371"/>
      <c r="X4" s="421"/>
      <c r="Y4" s="421"/>
      <c r="Z4" s="421"/>
      <c r="AA4" s="421"/>
      <c r="AB4" s="421"/>
      <c r="AC4" s="421"/>
      <c r="AD4" s="421"/>
      <c r="AE4" s="421"/>
      <c r="AF4" s="421"/>
      <c r="AO4" s="564"/>
      <c r="AQ4" s="89"/>
      <c r="AW4" s="89" t="s">
        <v>73</v>
      </c>
    </row>
    <row r="5" spans="2:34" ht="18">
      <c r="B5" s="44" t="s">
        <v>84</v>
      </c>
      <c r="AA5" s="89"/>
      <c r="AB5" s="89"/>
      <c r="AC5" s="11"/>
      <c r="AD5" s="11"/>
      <c r="AE5" s="46"/>
      <c r="AF5" s="4"/>
      <c r="AG5" s="4"/>
      <c r="AH5" s="4"/>
    </row>
    <row r="6" spans="2:39" ht="15.75">
      <c r="B6" s="220" t="s">
        <v>88</v>
      </c>
      <c r="C6" s="422"/>
      <c r="D6" s="422"/>
      <c r="E6" s="422"/>
      <c r="F6" s="423"/>
      <c r="G6" s="422"/>
      <c r="H6" s="422"/>
      <c r="I6" s="422"/>
      <c r="J6" s="423"/>
      <c r="K6" s="422"/>
      <c r="L6" s="422"/>
      <c r="M6" s="422"/>
      <c r="N6" s="423"/>
      <c r="O6" s="422"/>
      <c r="P6" s="422"/>
      <c r="Q6" s="422"/>
      <c r="R6" s="423"/>
      <c r="S6" s="422"/>
      <c r="T6" s="422"/>
      <c r="U6" s="422"/>
      <c r="V6" s="423"/>
      <c r="W6" s="422"/>
      <c r="X6" s="394"/>
      <c r="Y6" s="394"/>
      <c r="Z6" s="353"/>
      <c r="AA6" s="138"/>
      <c r="AB6" s="138"/>
      <c r="AC6" s="99"/>
      <c r="AD6" s="451"/>
      <c r="AE6" s="87"/>
      <c r="AF6" s="121"/>
      <c r="AG6" s="423"/>
      <c r="AH6" s="423"/>
      <c r="AI6" s="423"/>
      <c r="AJ6" s="423"/>
      <c r="AK6" s="423"/>
      <c r="AL6" s="423"/>
      <c r="AM6" s="423"/>
    </row>
    <row r="7" spans="2:39" ht="16.5">
      <c r="B7" s="505" t="s">
        <v>146</v>
      </c>
      <c r="C7" s="372"/>
      <c r="D7" s="372"/>
      <c r="E7" s="372"/>
      <c r="F7" s="54"/>
      <c r="G7" s="372"/>
      <c r="H7" s="372"/>
      <c r="I7" s="372"/>
      <c r="J7" s="54"/>
      <c r="K7" s="372"/>
      <c r="L7" s="372"/>
      <c r="M7" s="372"/>
      <c r="N7" s="54"/>
      <c r="O7" s="372"/>
      <c r="P7" s="372"/>
      <c r="Q7" s="372"/>
      <c r="R7" s="54"/>
      <c r="S7" s="372"/>
      <c r="T7" s="372"/>
      <c r="U7" s="372"/>
      <c r="V7" s="54"/>
      <c r="W7" s="372"/>
      <c r="X7" s="372"/>
      <c r="Y7" s="372"/>
      <c r="Z7" s="54"/>
      <c r="AA7" s="54"/>
      <c r="AB7" s="54"/>
      <c r="AC7" s="2"/>
      <c r="AD7" s="2"/>
      <c r="AE7" s="46"/>
      <c r="AF7" s="4"/>
      <c r="AG7" s="4"/>
      <c r="AH7" s="4"/>
      <c r="AI7" s="4"/>
      <c r="AJ7" s="4"/>
      <c r="AK7" s="4"/>
      <c r="AL7" s="4"/>
      <c r="AM7" s="4"/>
    </row>
    <row r="8" spans="2:39" ht="15">
      <c r="B8" s="506" t="s">
        <v>39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</row>
    <row r="9" spans="2:39" ht="6.75" customHeight="1">
      <c r="B9" s="506"/>
      <c r="C9" s="373"/>
      <c r="D9" s="373"/>
      <c r="E9" s="373"/>
      <c r="F9" s="55"/>
      <c r="G9" s="373"/>
      <c r="H9" s="373"/>
      <c r="I9" s="373"/>
      <c r="J9" s="55"/>
      <c r="K9" s="373"/>
      <c r="L9" s="373"/>
      <c r="M9" s="373"/>
      <c r="N9" s="55"/>
      <c r="O9" s="373"/>
      <c r="P9" s="373"/>
      <c r="Q9" s="373"/>
      <c r="R9" s="55"/>
      <c r="S9" s="373"/>
      <c r="T9" s="373"/>
      <c r="U9" s="373"/>
      <c r="V9" s="55"/>
      <c r="W9" s="373"/>
      <c r="X9" s="373"/>
      <c r="Y9" s="373"/>
      <c r="Z9" s="55"/>
      <c r="AA9" s="55"/>
      <c r="AB9" s="55"/>
      <c r="AC9" s="12"/>
      <c r="AD9" s="12"/>
      <c r="AE9" s="47"/>
      <c r="AF9" s="4"/>
      <c r="AG9" s="4"/>
      <c r="AH9" s="4"/>
      <c r="AI9" s="4"/>
      <c r="AJ9" s="4"/>
      <c r="AK9" s="4"/>
      <c r="AL9" s="4"/>
      <c r="AM9" s="4"/>
    </row>
    <row r="10" spans="2:49" ht="19.5" customHeight="1">
      <c r="B10" s="694" t="s">
        <v>87</v>
      </c>
      <c r="C10" s="691">
        <v>2006</v>
      </c>
      <c r="D10" s="692"/>
      <c r="E10" s="692"/>
      <c r="F10" s="693"/>
      <c r="G10" s="691">
        <v>2007</v>
      </c>
      <c r="H10" s="692"/>
      <c r="I10" s="692"/>
      <c r="J10" s="693"/>
      <c r="K10" s="691">
        <v>2008</v>
      </c>
      <c r="L10" s="692"/>
      <c r="M10" s="692"/>
      <c r="N10" s="693"/>
      <c r="O10" s="691">
        <v>2009</v>
      </c>
      <c r="P10" s="692"/>
      <c r="Q10" s="692"/>
      <c r="R10" s="693"/>
      <c r="S10" s="691">
        <v>2010</v>
      </c>
      <c r="T10" s="692"/>
      <c r="U10" s="692"/>
      <c r="V10" s="693"/>
      <c r="W10" s="667">
        <v>2011</v>
      </c>
      <c r="X10" s="668"/>
      <c r="Y10" s="668"/>
      <c r="Z10" s="669"/>
      <c r="AA10" s="672">
        <v>2012</v>
      </c>
      <c r="AB10" s="673"/>
      <c r="AC10" s="673"/>
      <c r="AD10" s="674"/>
      <c r="AE10" s="626">
        <v>2013</v>
      </c>
      <c r="AF10" s="626"/>
      <c r="AG10" s="626"/>
      <c r="AH10" s="627"/>
      <c r="AI10" s="625">
        <v>2014</v>
      </c>
      <c r="AJ10" s="626"/>
      <c r="AK10" s="626"/>
      <c r="AL10" s="627"/>
      <c r="AM10" s="625">
        <v>2015</v>
      </c>
      <c r="AN10" s="626"/>
      <c r="AO10" s="626"/>
      <c r="AP10" s="626"/>
      <c r="AQ10" s="626"/>
      <c r="AR10" s="626"/>
      <c r="AS10" s="626"/>
      <c r="AT10" s="626"/>
      <c r="AU10" s="626"/>
      <c r="AV10" s="626"/>
      <c r="AW10" s="627"/>
    </row>
    <row r="11" spans="2:49" ht="13.5" customHeight="1">
      <c r="B11" s="695"/>
      <c r="C11" s="689" t="s">
        <v>35</v>
      </c>
      <c r="D11" s="689" t="s">
        <v>74</v>
      </c>
      <c r="E11" s="639" t="s">
        <v>77</v>
      </c>
      <c r="F11" s="690" t="s">
        <v>80</v>
      </c>
      <c r="G11" s="689" t="s">
        <v>35</v>
      </c>
      <c r="H11" s="689" t="s">
        <v>74</v>
      </c>
      <c r="I11" s="639" t="s">
        <v>77</v>
      </c>
      <c r="J11" s="690" t="s">
        <v>80</v>
      </c>
      <c r="K11" s="689" t="s">
        <v>35</v>
      </c>
      <c r="L11" s="689" t="s">
        <v>74</v>
      </c>
      <c r="M11" s="639" t="s">
        <v>77</v>
      </c>
      <c r="N11" s="690" t="s">
        <v>80</v>
      </c>
      <c r="O11" s="697" t="s">
        <v>35</v>
      </c>
      <c r="P11" s="689" t="s">
        <v>74</v>
      </c>
      <c r="Q11" s="639" t="s">
        <v>77</v>
      </c>
      <c r="R11" s="690" t="s">
        <v>80</v>
      </c>
      <c r="S11" s="699" t="s">
        <v>35</v>
      </c>
      <c r="T11" s="663" t="s">
        <v>74</v>
      </c>
      <c r="U11" s="639" t="s">
        <v>77</v>
      </c>
      <c r="V11" s="690" t="s">
        <v>80</v>
      </c>
      <c r="W11" s="663" t="s">
        <v>35</v>
      </c>
      <c r="X11" s="663" t="s">
        <v>74</v>
      </c>
      <c r="Y11" s="641" t="s">
        <v>77</v>
      </c>
      <c r="Z11" s="638" t="s">
        <v>80</v>
      </c>
      <c r="AA11" s="663" t="s">
        <v>35</v>
      </c>
      <c r="AB11" s="663" t="s">
        <v>74</v>
      </c>
      <c r="AC11" s="641" t="s">
        <v>77</v>
      </c>
      <c r="AD11" s="638" t="s">
        <v>80</v>
      </c>
      <c r="AE11" s="639" t="s">
        <v>35</v>
      </c>
      <c r="AF11" s="637" t="s">
        <v>74</v>
      </c>
      <c r="AG11" s="637" t="s">
        <v>77</v>
      </c>
      <c r="AH11" s="638" t="s">
        <v>80</v>
      </c>
      <c r="AI11" s="637" t="s">
        <v>35</v>
      </c>
      <c r="AJ11" s="637" t="s">
        <v>74</v>
      </c>
      <c r="AK11" s="637" t="s">
        <v>77</v>
      </c>
      <c r="AL11" s="619" t="s">
        <v>80</v>
      </c>
      <c r="AM11" s="637" t="s">
        <v>33</v>
      </c>
      <c r="AN11" s="637" t="s">
        <v>34</v>
      </c>
      <c r="AO11" s="637" t="s">
        <v>35</v>
      </c>
      <c r="AP11" s="637" t="s">
        <v>36</v>
      </c>
      <c r="AQ11" s="637" t="s">
        <v>37</v>
      </c>
      <c r="AR11" s="637" t="s">
        <v>74</v>
      </c>
      <c r="AS11" s="637" t="s">
        <v>75</v>
      </c>
      <c r="AT11" s="637" t="s">
        <v>76</v>
      </c>
      <c r="AU11" s="637" t="s">
        <v>77</v>
      </c>
      <c r="AV11" s="637" t="s">
        <v>78</v>
      </c>
      <c r="AW11" s="619" t="s">
        <v>79</v>
      </c>
    </row>
    <row r="12" spans="2:49" ht="11.25" customHeight="1">
      <c r="B12" s="696"/>
      <c r="C12" s="664"/>
      <c r="D12" s="664"/>
      <c r="E12" s="640"/>
      <c r="F12" s="660"/>
      <c r="G12" s="664"/>
      <c r="H12" s="664"/>
      <c r="I12" s="640"/>
      <c r="J12" s="660"/>
      <c r="K12" s="664"/>
      <c r="L12" s="664"/>
      <c r="M12" s="640"/>
      <c r="N12" s="660"/>
      <c r="O12" s="698"/>
      <c r="P12" s="664"/>
      <c r="Q12" s="640"/>
      <c r="R12" s="660"/>
      <c r="S12" s="698"/>
      <c r="T12" s="664"/>
      <c r="U12" s="640"/>
      <c r="V12" s="660"/>
      <c r="W12" s="664"/>
      <c r="X12" s="664"/>
      <c r="Y12" s="640"/>
      <c r="Z12" s="660"/>
      <c r="AA12" s="664"/>
      <c r="AB12" s="664"/>
      <c r="AC12" s="640"/>
      <c r="AD12" s="660"/>
      <c r="AE12" s="640"/>
      <c r="AF12" s="632"/>
      <c r="AG12" s="632"/>
      <c r="AH12" s="620"/>
      <c r="AI12" s="632"/>
      <c r="AJ12" s="632"/>
      <c r="AK12" s="632"/>
      <c r="AL12" s="620"/>
      <c r="AM12" s="632"/>
      <c r="AN12" s="632"/>
      <c r="AO12" s="632"/>
      <c r="AP12" s="632"/>
      <c r="AQ12" s="632"/>
      <c r="AR12" s="632"/>
      <c r="AS12" s="632"/>
      <c r="AT12" s="632"/>
      <c r="AU12" s="632"/>
      <c r="AV12" s="632"/>
      <c r="AW12" s="620"/>
    </row>
    <row r="13" spans="2:49" ht="7.5" customHeight="1">
      <c r="B13" s="507"/>
      <c r="C13" s="374"/>
      <c r="D13" s="374"/>
      <c r="E13" s="374"/>
      <c r="F13" s="344"/>
      <c r="G13" s="414"/>
      <c r="H13" s="374"/>
      <c r="I13" s="374"/>
      <c r="J13" s="368"/>
      <c r="K13" s="374"/>
      <c r="L13" s="374"/>
      <c r="M13" s="374"/>
      <c r="N13" s="344"/>
      <c r="O13" s="403"/>
      <c r="P13" s="374"/>
      <c r="Q13" s="400"/>
      <c r="R13" s="91"/>
      <c r="S13" s="400"/>
      <c r="T13" s="374"/>
      <c r="U13" s="374"/>
      <c r="V13" s="90"/>
      <c r="W13" s="403"/>
      <c r="X13" s="374"/>
      <c r="Y13" s="400"/>
      <c r="Z13" s="325"/>
      <c r="AA13" s="90"/>
      <c r="AB13" s="90"/>
      <c r="AC13" s="1"/>
      <c r="AD13" s="91"/>
      <c r="AE13" s="60"/>
      <c r="AF13" s="184"/>
      <c r="AG13" s="184"/>
      <c r="AH13" s="222"/>
      <c r="AI13" s="219"/>
      <c r="AJ13" s="219"/>
      <c r="AK13" s="219"/>
      <c r="AL13" s="222"/>
      <c r="AM13" s="219"/>
      <c r="AN13" s="7"/>
      <c r="AO13" s="7"/>
      <c r="AP13" s="7"/>
      <c r="AQ13" s="7"/>
      <c r="AR13" s="7"/>
      <c r="AS13" s="580"/>
      <c r="AT13" s="580"/>
      <c r="AU13" s="580"/>
      <c r="AV13" s="580"/>
      <c r="AW13" s="565"/>
    </row>
    <row r="14" spans="2:49" s="29" customFormat="1" ht="16.5">
      <c r="B14" s="508" t="s">
        <v>89</v>
      </c>
      <c r="C14" s="389">
        <f aca="true" t="shared" si="0" ref="C14:AR14">+C16+C24+C27+C56</f>
        <v>802.86782153</v>
      </c>
      <c r="D14" s="389">
        <f t="shared" si="0"/>
        <v>810.0039333000001</v>
      </c>
      <c r="E14" s="389">
        <f t="shared" si="0"/>
        <v>792.8422169099999</v>
      </c>
      <c r="F14" s="470">
        <f t="shared" si="0"/>
        <v>799.6521314799999</v>
      </c>
      <c r="G14" s="404">
        <f t="shared" si="0"/>
        <v>796.90295694</v>
      </c>
      <c r="H14" s="389">
        <f t="shared" si="0"/>
        <v>779.55914272</v>
      </c>
      <c r="I14" s="389">
        <f t="shared" si="0"/>
        <v>851.20916274</v>
      </c>
      <c r="J14" s="475">
        <f t="shared" si="0"/>
        <v>835.92632592</v>
      </c>
      <c r="K14" s="404">
        <f t="shared" si="0"/>
        <v>877.0189841299998</v>
      </c>
      <c r="L14" s="389">
        <f t="shared" si="0"/>
        <v>839.39059834</v>
      </c>
      <c r="M14" s="389">
        <f t="shared" si="0"/>
        <v>846.7581844499999</v>
      </c>
      <c r="N14" s="475">
        <f t="shared" si="0"/>
        <v>936.3425380300002</v>
      </c>
      <c r="O14" s="404">
        <f t="shared" si="0"/>
        <v>897.9956143300001</v>
      </c>
      <c r="P14" s="389">
        <f t="shared" si="0"/>
        <v>922.3444531700001</v>
      </c>
      <c r="Q14" s="389">
        <f t="shared" si="0"/>
        <v>953.3543929700002</v>
      </c>
      <c r="R14" s="475">
        <f t="shared" si="0"/>
        <v>955.48702339</v>
      </c>
      <c r="S14" s="389">
        <f t="shared" si="0"/>
        <v>1022.29001389</v>
      </c>
      <c r="T14" s="389">
        <f t="shared" si="0"/>
        <v>1162.6213926700002</v>
      </c>
      <c r="U14" s="389">
        <f t="shared" si="0"/>
        <v>1216.61928387</v>
      </c>
      <c r="V14" s="470">
        <f t="shared" si="0"/>
        <v>1302.04219434</v>
      </c>
      <c r="W14" s="404">
        <f t="shared" si="0"/>
        <v>1260.9571044200002</v>
      </c>
      <c r="X14" s="389">
        <f t="shared" si="0"/>
        <v>1250.96245804</v>
      </c>
      <c r="Y14" s="389">
        <f t="shared" si="0"/>
        <v>1281.6866220400002</v>
      </c>
      <c r="Z14" s="104">
        <f t="shared" si="0"/>
        <v>1301.1473698700001</v>
      </c>
      <c r="AA14" s="98">
        <f t="shared" si="0"/>
        <v>1246.90351418</v>
      </c>
      <c r="AB14" s="98">
        <f t="shared" si="0"/>
        <v>1418.7912238600002</v>
      </c>
      <c r="AC14" s="98">
        <f t="shared" si="0"/>
        <v>1425.06262535</v>
      </c>
      <c r="AD14" s="104">
        <f t="shared" si="0"/>
        <v>1366.36434636</v>
      </c>
      <c r="AE14" s="76">
        <f t="shared" si="0"/>
        <v>1262.19999572</v>
      </c>
      <c r="AF14" s="77">
        <f t="shared" si="0"/>
        <v>1233.5412196</v>
      </c>
      <c r="AG14" s="77">
        <f t="shared" si="0"/>
        <v>1207.8517973</v>
      </c>
      <c r="AH14" s="119">
        <f t="shared" si="0"/>
        <v>1143.1605487199997</v>
      </c>
      <c r="AI14" s="77">
        <f t="shared" si="0"/>
        <v>1159.92186838</v>
      </c>
      <c r="AJ14" s="444">
        <f t="shared" si="0"/>
        <v>1157.7650261100002</v>
      </c>
      <c r="AK14" s="77">
        <f t="shared" si="0"/>
        <v>1074.7673271300002</v>
      </c>
      <c r="AL14" s="119">
        <f t="shared" si="0"/>
        <v>1009.0605525599998</v>
      </c>
      <c r="AM14" s="77">
        <f t="shared" si="0"/>
        <v>916.29661225</v>
      </c>
      <c r="AN14" s="77">
        <f t="shared" si="0"/>
        <v>908.7281179099998</v>
      </c>
      <c r="AO14" s="77">
        <f>+AO16+AO24+AO27+AO56</f>
        <v>916.12485539</v>
      </c>
      <c r="AP14" s="77">
        <f t="shared" si="0"/>
        <v>899.2442673299997</v>
      </c>
      <c r="AQ14" s="77">
        <f t="shared" si="0"/>
        <v>885.88266763</v>
      </c>
      <c r="AR14" s="77">
        <f t="shared" si="0"/>
        <v>897.7662349299999</v>
      </c>
      <c r="AS14" s="77">
        <f>+AS16+AS24+AS27+AS56</f>
        <v>896.1472109499999</v>
      </c>
      <c r="AT14" s="77">
        <f>+AT16+AT24+AT27+AT56</f>
        <v>926.41264042</v>
      </c>
      <c r="AU14" s="77">
        <f>+AU16+AU24+AU27+AU56</f>
        <v>908.1644330199999</v>
      </c>
      <c r="AV14" s="77">
        <f>+AV16+AV24+AV27+AV56</f>
        <v>947.00254327</v>
      </c>
      <c r="AW14" s="431">
        <f>+AW16+AW24+AW27+AW56</f>
        <v>988.2290862800002</v>
      </c>
    </row>
    <row r="15" spans="2:49" s="29" customFormat="1" ht="10.5" customHeight="1">
      <c r="B15" s="50"/>
      <c r="C15" s="389"/>
      <c r="D15" s="389"/>
      <c r="E15" s="389"/>
      <c r="F15" s="470"/>
      <c r="G15" s="404"/>
      <c r="H15" s="389"/>
      <c r="I15" s="389"/>
      <c r="J15" s="475"/>
      <c r="K15" s="404"/>
      <c r="L15" s="389"/>
      <c r="M15" s="389"/>
      <c r="N15" s="475"/>
      <c r="O15" s="404"/>
      <c r="P15" s="389"/>
      <c r="Q15" s="389"/>
      <c r="R15" s="475"/>
      <c r="S15" s="389"/>
      <c r="T15" s="389"/>
      <c r="U15" s="389"/>
      <c r="V15" s="470"/>
      <c r="W15" s="404"/>
      <c r="X15" s="389"/>
      <c r="Y15" s="389"/>
      <c r="Z15" s="104"/>
      <c r="AA15" s="98"/>
      <c r="AB15" s="98"/>
      <c r="AC15" s="76"/>
      <c r="AD15" s="104"/>
      <c r="AE15" s="76"/>
      <c r="AF15" s="77"/>
      <c r="AG15" s="77"/>
      <c r="AH15" s="119"/>
      <c r="AI15" s="77"/>
      <c r="AJ15" s="77"/>
      <c r="AK15" s="77"/>
      <c r="AL15" s="119"/>
      <c r="AM15" s="77"/>
      <c r="AN15" s="559"/>
      <c r="AO15" s="559"/>
      <c r="AP15" s="559"/>
      <c r="AQ15" s="559"/>
      <c r="AR15" s="559"/>
      <c r="AS15" s="559"/>
      <c r="AT15" s="559"/>
      <c r="AU15" s="559"/>
      <c r="AV15" s="559"/>
      <c r="AW15" s="566"/>
    </row>
    <row r="16" spans="2:50" s="29" customFormat="1" ht="15.75">
      <c r="B16" s="85" t="s">
        <v>101</v>
      </c>
      <c r="C16" s="375">
        <f aca="true" t="shared" si="1" ref="C16:Y16">SUM(C17:C22)</f>
        <v>0</v>
      </c>
      <c r="D16" s="375">
        <f t="shared" si="1"/>
        <v>0</v>
      </c>
      <c r="E16" s="375">
        <f t="shared" si="1"/>
        <v>0</v>
      </c>
      <c r="F16" s="369">
        <f t="shared" si="1"/>
        <v>0</v>
      </c>
      <c r="G16" s="424">
        <f t="shared" si="1"/>
        <v>0</v>
      </c>
      <c r="H16" s="375">
        <f t="shared" si="1"/>
        <v>0</v>
      </c>
      <c r="I16" s="375">
        <f t="shared" si="1"/>
        <v>0</v>
      </c>
      <c r="J16" s="476">
        <f t="shared" si="1"/>
        <v>0.20972605</v>
      </c>
      <c r="K16" s="155">
        <f t="shared" si="1"/>
        <v>0.30894131</v>
      </c>
      <c r="L16" s="155">
        <f t="shared" si="1"/>
        <v>0.38083214</v>
      </c>
      <c r="M16" s="155">
        <f t="shared" si="1"/>
        <v>0.73889313</v>
      </c>
      <c r="N16" s="159">
        <f t="shared" si="1"/>
        <v>0.73169902</v>
      </c>
      <c r="O16" s="152">
        <f t="shared" si="1"/>
        <v>0.69698874</v>
      </c>
      <c r="P16" s="155">
        <f t="shared" si="1"/>
        <v>3.43033758</v>
      </c>
      <c r="Q16" s="155">
        <f t="shared" si="1"/>
        <v>7.08757262</v>
      </c>
      <c r="R16" s="476">
        <f t="shared" si="1"/>
        <v>8.86127293</v>
      </c>
      <c r="S16" s="155">
        <f t="shared" si="1"/>
        <v>11.059942090000002</v>
      </c>
      <c r="T16" s="155">
        <f t="shared" si="1"/>
        <v>14.249732380000001</v>
      </c>
      <c r="U16" s="390">
        <f t="shared" si="1"/>
        <v>62.142155849999995</v>
      </c>
      <c r="V16" s="451">
        <f t="shared" si="1"/>
        <v>81.6992614</v>
      </c>
      <c r="W16" s="405">
        <f t="shared" si="1"/>
        <v>109.11614598000001</v>
      </c>
      <c r="X16" s="390">
        <f t="shared" si="1"/>
        <v>124.0667145</v>
      </c>
      <c r="Y16" s="390">
        <f t="shared" si="1"/>
        <v>150.29959201</v>
      </c>
      <c r="Z16" s="105">
        <f>+Z17+Z18+Z22+Z21</f>
        <v>170.07109050000003</v>
      </c>
      <c r="AA16" s="99">
        <f>+AA17+AA18+AA22+AA21</f>
        <v>172.69590245999999</v>
      </c>
      <c r="AB16" s="99">
        <f>+AB17+AB18+AB22+AB21</f>
        <v>187.29101649</v>
      </c>
      <c r="AC16" s="99">
        <f>+AC17+AC18+AC22+AC21</f>
        <v>198.91226417</v>
      </c>
      <c r="AD16" s="105">
        <f>+AD17+AD18+AD22+AD21</f>
        <v>199.92709663</v>
      </c>
      <c r="AE16" s="87">
        <f aca="true" t="shared" si="2" ref="AE16:AN16">SUM(AE17:AE22)</f>
        <v>182.72828151</v>
      </c>
      <c r="AF16" s="121">
        <f t="shared" si="2"/>
        <v>177.66330198000003</v>
      </c>
      <c r="AG16" s="121">
        <f t="shared" si="2"/>
        <v>180.37205709</v>
      </c>
      <c r="AH16" s="185">
        <f t="shared" si="2"/>
        <v>165.23778424000002</v>
      </c>
      <c r="AI16" s="121">
        <f t="shared" si="2"/>
        <v>165.87196677999998</v>
      </c>
      <c r="AJ16" s="121">
        <f t="shared" si="2"/>
        <v>164.52791181</v>
      </c>
      <c r="AK16" s="121">
        <f t="shared" si="2"/>
        <v>150.19510652</v>
      </c>
      <c r="AL16" s="185">
        <f t="shared" si="2"/>
        <v>134.18914338</v>
      </c>
      <c r="AM16" s="121">
        <f t="shared" si="2"/>
        <v>144.52806109000002</v>
      </c>
      <c r="AN16" s="121">
        <f t="shared" si="2"/>
        <v>142.77863654</v>
      </c>
      <c r="AO16" s="121">
        <f aca="true" t="shared" si="3" ref="AO16:AT16">SUM(AO17:AO22)</f>
        <v>161.54690452999998</v>
      </c>
      <c r="AP16" s="121">
        <f t="shared" si="3"/>
        <v>157.00120894</v>
      </c>
      <c r="AQ16" s="121">
        <f t="shared" si="3"/>
        <v>164.2748476</v>
      </c>
      <c r="AR16" s="121">
        <f t="shared" si="3"/>
        <v>165.10151915</v>
      </c>
      <c r="AS16" s="121">
        <f t="shared" si="3"/>
        <v>164.51335575000002</v>
      </c>
      <c r="AT16" s="121">
        <f t="shared" si="3"/>
        <v>185.85421994</v>
      </c>
      <c r="AU16" s="121">
        <f>SUM(AU17:AU22)</f>
        <v>182.27305638</v>
      </c>
      <c r="AV16" s="121">
        <f>SUM(AV17:AV22)</f>
        <v>213.14354639000004</v>
      </c>
      <c r="AW16" s="214">
        <f>SUM(AW17:AW22)</f>
        <v>252.05122328000004</v>
      </c>
      <c r="AX16" s="599"/>
    </row>
    <row r="17" spans="2:49" s="29" customFormat="1" ht="15">
      <c r="B17" s="74" t="s">
        <v>61</v>
      </c>
      <c r="C17" s="204">
        <v>0</v>
      </c>
      <c r="D17" s="204">
        <v>0</v>
      </c>
      <c r="E17" s="204">
        <v>0</v>
      </c>
      <c r="F17" s="217">
        <v>0</v>
      </c>
      <c r="G17" s="204">
        <v>0</v>
      </c>
      <c r="H17" s="204">
        <v>0</v>
      </c>
      <c r="I17" s="204">
        <v>0</v>
      </c>
      <c r="J17" s="466">
        <v>0</v>
      </c>
      <c r="K17" s="204">
        <v>0</v>
      </c>
      <c r="L17" s="204">
        <v>0</v>
      </c>
      <c r="M17" s="204">
        <v>0</v>
      </c>
      <c r="N17" s="203">
        <v>0</v>
      </c>
      <c r="O17" s="181">
        <v>0</v>
      </c>
      <c r="P17" s="204">
        <v>0</v>
      </c>
      <c r="Q17" s="96">
        <v>1.95286026</v>
      </c>
      <c r="R17" s="432">
        <v>3.28921339</v>
      </c>
      <c r="S17" s="395">
        <v>4.75308078</v>
      </c>
      <c r="T17" s="443">
        <v>7.2286002</v>
      </c>
      <c r="U17" s="391">
        <v>22.72345621</v>
      </c>
      <c r="V17" s="173">
        <v>33.78968262</v>
      </c>
      <c r="W17" s="406">
        <v>45.79799104</v>
      </c>
      <c r="X17" s="395">
        <v>54.96729802</v>
      </c>
      <c r="Y17" s="395">
        <v>70.17287612</v>
      </c>
      <c r="Z17" s="106">
        <v>83.87508684000001</v>
      </c>
      <c r="AA17" s="140">
        <v>86.25411892</v>
      </c>
      <c r="AB17" s="75">
        <v>95.33152910000001</v>
      </c>
      <c r="AC17" s="79">
        <v>102.88129933</v>
      </c>
      <c r="AD17" s="106">
        <v>103.57233937</v>
      </c>
      <c r="AE17" s="71">
        <v>93.99377033</v>
      </c>
      <c r="AF17" s="125">
        <v>91.41787062</v>
      </c>
      <c r="AG17" s="125">
        <v>91.4507311</v>
      </c>
      <c r="AH17" s="126">
        <v>84.72926159000002</v>
      </c>
      <c r="AI17" s="125">
        <v>83.10992815</v>
      </c>
      <c r="AJ17" s="125">
        <v>84.00616322</v>
      </c>
      <c r="AK17" s="125">
        <v>74.24227384</v>
      </c>
      <c r="AL17" s="126">
        <v>66.51198094</v>
      </c>
      <c r="AM17" s="125">
        <v>72.81256651000001</v>
      </c>
      <c r="AN17" s="125">
        <v>71.94210933</v>
      </c>
      <c r="AO17" s="125">
        <v>67.94976571</v>
      </c>
      <c r="AP17" s="125">
        <v>65.43265924</v>
      </c>
      <c r="AQ17" s="125">
        <v>62.39070742999999</v>
      </c>
      <c r="AR17" s="125">
        <v>64.36235464</v>
      </c>
      <c r="AS17" s="125">
        <v>64.10022727</v>
      </c>
      <c r="AT17" s="125">
        <v>65.5501998</v>
      </c>
      <c r="AU17" s="125">
        <v>62.17714924</v>
      </c>
      <c r="AV17" s="125">
        <v>63.14389595</v>
      </c>
      <c r="AW17" s="257">
        <v>61.47926126</v>
      </c>
    </row>
    <row r="18" spans="2:49" s="29" customFormat="1" ht="14.25">
      <c r="B18" s="74" t="s">
        <v>62</v>
      </c>
      <c r="C18" s="204">
        <v>0</v>
      </c>
      <c r="D18" s="204">
        <v>0</v>
      </c>
      <c r="E18" s="204">
        <v>0</v>
      </c>
      <c r="F18" s="217">
        <v>0</v>
      </c>
      <c r="G18" s="204">
        <v>0</v>
      </c>
      <c r="H18" s="204">
        <v>0</v>
      </c>
      <c r="I18" s="204">
        <v>0</v>
      </c>
      <c r="J18" s="466">
        <v>0</v>
      </c>
      <c r="K18" s="204">
        <v>0</v>
      </c>
      <c r="L18" s="204">
        <v>0</v>
      </c>
      <c r="M18" s="204">
        <v>0</v>
      </c>
      <c r="N18" s="203">
        <v>0</v>
      </c>
      <c r="O18" s="181">
        <v>0</v>
      </c>
      <c r="P18" s="96">
        <v>2.72068309</v>
      </c>
      <c r="Q18" s="96">
        <v>4.14630241</v>
      </c>
      <c r="R18" s="432">
        <v>4.59868314</v>
      </c>
      <c r="S18" s="395">
        <v>5.37530645</v>
      </c>
      <c r="T18" s="395">
        <v>6.00430233</v>
      </c>
      <c r="U18" s="391">
        <v>38.24642188</v>
      </c>
      <c r="V18" s="173">
        <v>46.75601729</v>
      </c>
      <c r="W18" s="406">
        <v>61.73764467</v>
      </c>
      <c r="X18" s="395">
        <v>66.57568746</v>
      </c>
      <c r="Y18" s="395">
        <v>77.31905735</v>
      </c>
      <c r="Z18" s="106">
        <v>83.26125879000001</v>
      </c>
      <c r="AA18" s="140">
        <v>83.48210291</v>
      </c>
      <c r="AB18" s="75">
        <v>88.77008379</v>
      </c>
      <c r="AC18" s="79">
        <v>92.68106406999999</v>
      </c>
      <c r="AD18" s="106">
        <v>89.58939975999999</v>
      </c>
      <c r="AE18" s="71">
        <v>80.18350427999998</v>
      </c>
      <c r="AF18" s="125">
        <v>77.25806793</v>
      </c>
      <c r="AG18" s="125">
        <v>77.28583861999999</v>
      </c>
      <c r="AH18" s="126">
        <v>68.54137339</v>
      </c>
      <c r="AI18" s="125">
        <v>70.39233890999999</v>
      </c>
      <c r="AJ18" s="125">
        <v>67.54367097</v>
      </c>
      <c r="AK18" s="125">
        <v>62.6337168</v>
      </c>
      <c r="AL18" s="126">
        <v>53.45956005</v>
      </c>
      <c r="AM18" s="125">
        <v>58.52370831</v>
      </c>
      <c r="AN18" s="125">
        <v>57.824071090000004</v>
      </c>
      <c r="AO18" s="125">
        <v>57.46169584</v>
      </c>
      <c r="AP18" s="125">
        <v>54.87790151000001</v>
      </c>
      <c r="AQ18" s="125">
        <v>52.32663838</v>
      </c>
      <c r="AR18" s="125">
        <v>51.28668261</v>
      </c>
      <c r="AS18" s="125">
        <v>51.07780828</v>
      </c>
      <c r="AT18" s="125">
        <v>52.23320854000001</v>
      </c>
      <c r="AU18" s="125">
        <v>52.147771629999994</v>
      </c>
      <c r="AV18" s="125">
        <v>52.95857894</v>
      </c>
      <c r="AW18" s="257">
        <v>51.56245528</v>
      </c>
    </row>
    <row r="19" spans="2:49" s="29" customFormat="1" ht="14.25">
      <c r="B19" s="74" t="s">
        <v>127</v>
      </c>
      <c r="C19" s="204">
        <v>0</v>
      </c>
      <c r="D19" s="204">
        <v>0</v>
      </c>
      <c r="E19" s="204">
        <v>0</v>
      </c>
      <c r="F19" s="217">
        <v>0</v>
      </c>
      <c r="G19" s="204">
        <v>0</v>
      </c>
      <c r="H19" s="204">
        <v>0</v>
      </c>
      <c r="I19" s="204">
        <v>0</v>
      </c>
      <c r="J19" s="217">
        <v>0</v>
      </c>
      <c r="K19" s="204">
        <v>0</v>
      </c>
      <c r="L19" s="204">
        <v>0</v>
      </c>
      <c r="M19" s="204">
        <v>0</v>
      </c>
      <c r="N19" s="217">
        <v>0</v>
      </c>
      <c r="O19" s="204">
        <v>0</v>
      </c>
      <c r="P19" s="204">
        <v>0</v>
      </c>
      <c r="Q19" s="204">
        <v>0</v>
      </c>
      <c r="R19" s="217">
        <v>0</v>
      </c>
      <c r="S19" s="204">
        <v>0</v>
      </c>
      <c r="T19" s="204">
        <v>0</v>
      </c>
      <c r="U19" s="204">
        <v>0</v>
      </c>
      <c r="V19" s="217">
        <v>0</v>
      </c>
      <c r="W19" s="204">
        <v>0</v>
      </c>
      <c r="X19" s="204">
        <v>0</v>
      </c>
      <c r="Y19" s="204">
        <v>0</v>
      </c>
      <c r="Z19" s="217">
        <v>0</v>
      </c>
      <c r="AA19" s="194">
        <v>0</v>
      </c>
      <c r="AB19" s="177">
        <v>0</v>
      </c>
      <c r="AC19" s="177">
        <v>0</v>
      </c>
      <c r="AD19" s="466">
        <v>0</v>
      </c>
      <c r="AE19" s="176">
        <v>0</v>
      </c>
      <c r="AF19" s="203">
        <v>0</v>
      </c>
      <c r="AG19" s="203">
        <v>0</v>
      </c>
      <c r="AH19" s="466">
        <v>0</v>
      </c>
      <c r="AI19" s="203">
        <v>0</v>
      </c>
      <c r="AJ19" s="203">
        <v>0</v>
      </c>
      <c r="AK19" s="203">
        <v>0</v>
      </c>
      <c r="AL19" s="466">
        <v>0</v>
      </c>
      <c r="AM19" s="203">
        <v>0</v>
      </c>
      <c r="AN19" s="203">
        <v>0</v>
      </c>
      <c r="AO19" s="125">
        <v>23.75842751</v>
      </c>
      <c r="AP19" s="125">
        <v>23.75842751</v>
      </c>
      <c r="AQ19" s="125">
        <v>36.39331644</v>
      </c>
      <c r="AR19" s="125">
        <v>36.39331644</v>
      </c>
      <c r="AS19" s="125">
        <v>36.39331644</v>
      </c>
      <c r="AT19" s="125">
        <v>54.80156371</v>
      </c>
      <c r="AU19" s="125">
        <v>54.80156371</v>
      </c>
      <c r="AV19" s="125">
        <v>54.80156371</v>
      </c>
      <c r="AW19" s="257">
        <v>97.27679279</v>
      </c>
    </row>
    <row r="20" spans="2:49" s="29" customFormat="1" ht="14.25">
      <c r="B20" s="117" t="s">
        <v>142</v>
      </c>
      <c r="C20" s="204">
        <v>0</v>
      </c>
      <c r="D20" s="204">
        <v>0</v>
      </c>
      <c r="E20" s="204">
        <v>0</v>
      </c>
      <c r="F20" s="217">
        <v>0</v>
      </c>
      <c r="G20" s="204">
        <v>0</v>
      </c>
      <c r="H20" s="204">
        <v>0</v>
      </c>
      <c r="I20" s="204">
        <v>0</v>
      </c>
      <c r="J20" s="217">
        <v>0</v>
      </c>
      <c r="K20" s="204">
        <v>0</v>
      </c>
      <c r="L20" s="204">
        <v>0</v>
      </c>
      <c r="M20" s="204">
        <v>0</v>
      </c>
      <c r="N20" s="217">
        <v>0</v>
      </c>
      <c r="O20" s="204">
        <v>0</v>
      </c>
      <c r="P20" s="204">
        <v>0</v>
      </c>
      <c r="Q20" s="204">
        <v>0</v>
      </c>
      <c r="R20" s="217">
        <v>0</v>
      </c>
      <c r="S20" s="204">
        <v>0</v>
      </c>
      <c r="T20" s="204">
        <v>0</v>
      </c>
      <c r="U20" s="204">
        <v>0</v>
      </c>
      <c r="V20" s="217">
        <v>0</v>
      </c>
      <c r="W20" s="204">
        <v>0</v>
      </c>
      <c r="X20" s="204">
        <v>0</v>
      </c>
      <c r="Y20" s="204">
        <v>0</v>
      </c>
      <c r="Z20" s="217">
        <v>0</v>
      </c>
      <c r="AA20" s="586">
        <v>0</v>
      </c>
      <c r="AB20" s="176">
        <v>0</v>
      </c>
      <c r="AC20" s="176">
        <v>0</v>
      </c>
      <c r="AD20" s="466">
        <v>0</v>
      </c>
      <c r="AE20" s="176">
        <v>0</v>
      </c>
      <c r="AF20" s="203">
        <v>0</v>
      </c>
      <c r="AG20" s="203">
        <v>0</v>
      </c>
      <c r="AH20" s="203">
        <v>0</v>
      </c>
      <c r="AI20" s="202">
        <v>0</v>
      </c>
      <c r="AJ20" s="203">
        <v>0</v>
      </c>
      <c r="AK20" s="203">
        <v>0</v>
      </c>
      <c r="AL20" s="466">
        <v>0</v>
      </c>
      <c r="AM20" s="203">
        <v>0</v>
      </c>
      <c r="AN20" s="203">
        <v>0</v>
      </c>
      <c r="AO20" s="203">
        <v>0</v>
      </c>
      <c r="AP20" s="203">
        <v>0</v>
      </c>
      <c r="AQ20" s="203">
        <v>0</v>
      </c>
      <c r="AR20" s="203">
        <v>0</v>
      </c>
      <c r="AS20" s="203">
        <v>0</v>
      </c>
      <c r="AT20" s="203">
        <v>0</v>
      </c>
      <c r="AU20" s="203">
        <v>0</v>
      </c>
      <c r="AV20" s="125">
        <v>29.16261145</v>
      </c>
      <c r="AW20" s="257">
        <v>29.16261145</v>
      </c>
    </row>
    <row r="21" spans="2:49" s="29" customFormat="1" ht="14.25">
      <c r="B21" s="74" t="s">
        <v>64</v>
      </c>
      <c r="C21" s="204">
        <v>0</v>
      </c>
      <c r="D21" s="204">
        <v>0</v>
      </c>
      <c r="E21" s="204">
        <v>0</v>
      </c>
      <c r="F21" s="217">
        <v>0</v>
      </c>
      <c r="G21" s="204">
        <v>0</v>
      </c>
      <c r="H21" s="204">
        <v>0</v>
      </c>
      <c r="I21" s="204">
        <v>0</v>
      </c>
      <c r="J21" s="217">
        <v>0</v>
      </c>
      <c r="K21" s="204">
        <v>0</v>
      </c>
      <c r="L21" s="204">
        <v>0</v>
      </c>
      <c r="M21" s="204">
        <v>0</v>
      </c>
      <c r="N21" s="203">
        <v>0</v>
      </c>
      <c r="O21" s="181">
        <v>0</v>
      </c>
      <c r="P21" s="204">
        <v>0</v>
      </c>
      <c r="Q21" s="204">
        <v>0</v>
      </c>
      <c r="R21" s="466">
        <v>0</v>
      </c>
      <c r="S21" s="204">
        <v>0</v>
      </c>
      <c r="T21" s="204">
        <v>0</v>
      </c>
      <c r="U21" s="204">
        <v>0</v>
      </c>
      <c r="V21" s="203">
        <v>0</v>
      </c>
      <c r="W21" s="407">
        <v>0</v>
      </c>
      <c r="X21" s="204">
        <v>0</v>
      </c>
      <c r="Y21" s="204">
        <v>0</v>
      </c>
      <c r="Z21" s="466">
        <v>0</v>
      </c>
      <c r="AA21" s="176">
        <v>0</v>
      </c>
      <c r="AB21" s="177">
        <v>0</v>
      </c>
      <c r="AC21" s="177">
        <v>0</v>
      </c>
      <c r="AD21" s="107">
        <v>3.2080859</v>
      </c>
      <c r="AE21" s="71">
        <v>3.0903927700000002</v>
      </c>
      <c r="AF21" s="125">
        <v>3.45116744</v>
      </c>
      <c r="AG21" s="125">
        <v>5.93361286</v>
      </c>
      <c r="AH21" s="126">
        <v>6.08121987</v>
      </c>
      <c r="AI21" s="125">
        <v>6.07456268</v>
      </c>
      <c r="AJ21" s="125">
        <v>6.54459756</v>
      </c>
      <c r="AK21" s="125">
        <v>6.21633936</v>
      </c>
      <c r="AL21" s="126">
        <v>6.1775907199999995</v>
      </c>
      <c r="AM21" s="125">
        <v>5.767235530000001</v>
      </c>
      <c r="AN21" s="125">
        <v>5.68086362</v>
      </c>
      <c r="AO21" s="125">
        <v>5.37481233</v>
      </c>
      <c r="AP21" s="125">
        <v>5.59136945</v>
      </c>
      <c r="AQ21" s="125">
        <v>5.8324342</v>
      </c>
      <c r="AR21" s="125">
        <v>5.78101634</v>
      </c>
      <c r="AS21" s="125">
        <v>5.8088207999999995</v>
      </c>
      <c r="AT21" s="125">
        <v>5.968583519999999</v>
      </c>
      <c r="AU21" s="125">
        <v>5.90869225</v>
      </c>
      <c r="AV21" s="125">
        <v>5.87467624</v>
      </c>
      <c r="AW21" s="257">
        <v>5.62725617</v>
      </c>
    </row>
    <row r="22" spans="2:49" s="29" customFormat="1" ht="14.25">
      <c r="B22" s="74" t="s">
        <v>63</v>
      </c>
      <c r="C22" s="204">
        <v>0</v>
      </c>
      <c r="D22" s="204">
        <v>0</v>
      </c>
      <c r="E22" s="204">
        <v>0</v>
      </c>
      <c r="F22" s="217">
        <v>0</v>
      </c>
      <c r="G22" s="204">
        <v>0</v>
      </c>
      <c r="H22" s="204">
        <v>0</v>
      </c>
      <c r="I22" s="204">
        <v>0</v>
      </c>
      <c r="J22" s="216">
        <v>0.20972605</v>
      </c>
      <c r="K22" s="149">
        <v>0.30894131</v>
      </c>
      <c r="L22" s="96">
        <v>0.38083214</v>
      </c>
      <c r="M22" s="96">
        <v>0.73889313</v>
      </c>
      <c r="N22" s="432">
        <v>0.73169902</v>
      </c>
      <c r="O22" s="149">
        <v>0.69698874</v>
      </c>
      <c r="P22" s="96">
        <v>0.70965449</v>
      </c>
      <c r="Q22" s="96">
        <f>0.73840995+0.25</f>
        <v>0.98840995</v>
      </c>
      <c r="R22" s="432">
        <f>0.25+0.7233764</f>
        <v>0.9733764</v>
      </c>
      <c r="S22" s="156">
        <v>0.93155486</v>
      </c>
      <c r="T22" s="395">
        <v>1.01682985</v>
      </c>
      <c r="U22" s="395">
        <v>1.17227776</v>
      </c>
      <c r="V22" s="173">
        <v>1.15356149</v>
      </c>
      <c r="W22" s="406">
        <v>1.58051027</v>
      </c>
      <c r="X22" s="395">
        <v>2.52372902</v>
      </c>
      <c r="Y22" s="395">
        <v>2.80765854</v>
      </c>
      <c r="Z22" s="106">
        <v>2.9347448700000003</v>
      </c>
      <c r="AA22" s="140">
        <v>2.95968063</v>
      </c>
      <c r="AB22" s="75">
        <v>3.1894035999999995</v>
      </c>
      <c r="AC22" s="79">
        <v>3.34990077</v>
      </c>
      <c r="AD22" s="106">
        <v>3.5572715999999995</v>
      </c>
      <c r="AE22" s="71">
        <v>5.46061413</v>
      </c>
      <c r="AF22" s="125">
        <v>5.53619599</v>
      </c>
      <c r="AG22" s="125">
        <v>5.70187451</v>
      </c>
      <c r="AH22" s="126">
        <v>5.88592939</v>
      </c>
      <c r="AI22" s="125">
        <v>6.29513704</v>
      </c>
      <c r="AJ22" s="125">
        <v>6.43348006</v>
      </c>
      <c r="AK22" s="125">
        <v>7.102776520000001</v>
      </c>
      <c r="AL22" s="126">
        <v>8.04001167</v>
      </c>
      <c r="AM22" s="125">
        <v>7.424550740000001</v>
      </c>
      <c r="AN22" s="125">
        <v>7.331592500000001</v>
      </c>
      <c r="AO22" s="125">
        <v>7.002203140000001</v>
      </c>
      <c r="AP22" s="125">
        <v>7.34085123</v>
      </c>
      <c r="AQ22" s="125">
        <v>7.3317511500000005</v>
      </c>
      <c r="AR22" s="125">
        <v>7.27814912</v>
      </c>
      <c r="AS22" s="125">
        <v>7.13318296</v>
      </c>
      <c r="AT22" s="125">
        <v>7.30066437</v>
      </c>
      <c r="AU22" s="125">
        <v>7.237879550000001</v>
      </c>
      <c r="AV22" s="125">
        <v>7.2022201</v>
      </c>
      <c r="AW22" s="257">
        <v>6.94284633</v>
      </c>
    </row>
    <row r="23" spans="2:49" s="29" customFormat="1" ht="12" customHeight="1">
      <c r="B23" s="49"/>
      <c r="C23" s="392"/>
      <c r="D23" s="392"/>
      <c r="E23" s="392"/>
      <c r="F23" s="471"/>
      <c r="G23" s="415"/>
      <c r="H23" s="392"/>
      <c r="I23" s="392"/>
      <c r="J23" s="477"/>
      <c r="K23" s="415"/>
      <c r="L23" s="392"/>
      <c r="M23" s="392"/>
      <c r="N23" s="477"/>
      <c r="O23" s="415"/>
      <c r="P23" s="392"/>
      <c r="Q23" s="392"/>
      <c r="R23" s="477"/>
      <c r="S23" s="392"/>
      <c r="T23" s="392"/>
      <c r="U23" s="392"/>
      <c r="V23" s="471"/>
      <c r="W23" s="408"/>
      <c r="X23" s="392"/>
      <c r="Y23" s="392"/>
      <c r="Z23" s="108"/>
      <c r="AA23" s="62"/>
      <c r="AB23" s="62"/>
      <c r="AC23" s="78"/>
      <c r="AD23" s="108"/>
      <c r="AE23" s="69"/>
      <c r="AF23" s="170"/>
      <c r="AG23" s="170"/>
      <c r="AH23" s="123"/>
      <c r="AI23" s="170"/>
      <c r="AJ23" s="170"/>
      <c r="AK23" s="170"/>
      <c r="AL23" s="123"/>
      <c r="AM23" s="170"/>
      <c r="AN23" s="559"/>
      <c r="AO23" s="559"/>
      <c r="AP23" s="559"/>
      <c r="AQ23" s="559"/>
      <c r="AR23" s="559"/>
      <c r="AS23" s="559"/>
      <c r="AT23" s="559"/>
      <c r="AU23" s="559"/>
      <c r="AV23" s="559"/>
      <c r="AW23" s="566"/>
    </row>
    <row r="24" spans="2:49" s="29" customFormat="1" ht="15.75">
      <c r="B24" s="85" t="s">
        <v>102</v>
      </c>
      <c r="C24" s="155">
        <f aca="true" t="shared" si="4" ref="C24:AR24">+C25</f>
        <v>1.9407512000000002</v>
      </c>
      <c r="D24" s="155">
        <f t="shared" si="4"/>
        <v>1.85626713</v>
      </c>
      <c r="E24" s="155">
        <f t="shared" si="4"/>
        <v>1.85626713</v>
      </c>
      <c r="F24" s="159">
        <f t="shared" si="4"/>
        <v>1.7686961499999998</v>
      </c>
      <c r="G24" s="152">
        <f t="shared" si="4"/>
        <v>1.7686961499999998</v>
      </c>
      <c r="H24" s="155">
        <f t="shared" si="4"/>
        <v>1.6779501200000002</v>
      </c>
      <c r="I24" s="155">
        <f t="shared" si="4"/>
        <v>1.6779501200000002</v>
      </c>
      <c r="J24" s="476">
        <f t="shared" si="4"/>
        <v>1.58393281</v>
      </c>
      <c r="K24" s="152">
        <f t="shared" si="4"/>
        <v>1.58393281</v>
      </c>
      <c r="L24" s="155">
        <f t="shared" si="4"/>
        <v>1.4864598199999999</v>
      </c>
      <c r="M24" s="155">
        <f t="shared" si="4"/>
        <v>1.4864598199999999</v>
      </c>
      <c r="N24" s="476">
        <f t="shared" si="4"/>
        <v>1.38543493</v>
      </c>
      <c r="O24" s="152">
        <f t="shared" si="4"/>
        <v>1.38543493</v>
      </c>
      <c r="P24" s="155">
        <f t="shared" si="4"/>
        <v>1.2807618699999999</v>
      </c>
      <c r="Q24" s="155">
        <f t="shared" si="4"/>
        <v>1.2807618699999999</v>
      </c>
      <c r="R24" s="476">
        <f t="shared" si="4"/>
        <v>1.17225628</v>
      </c>
      <c r="S24" s="155">
        <f t="shared" si="4"/>
        <v>1.17225628</v>
      </c>
      <c r="T24" s="155">
        <f t="shared" si="4"/>
        <v>1.0598299899999999</v>
      </c>
      <c r="U24" s="155">
        <f t="shared" si="4"/>
        <v>1.05982999</v>
      </c>
      <c r="V24" s="159">
        <f t="shared" si="4"/>
        <v>0.94329055</v>
      </c>
      <c r="W24" s="152">
        <f t="shared" si="4"/>
        <v>0.943291</v>
      </c>
      <c r="X24" s="155">
        <f t="shared" si="4"/>
        <v>0.82254168</v>
      </c>
      <c r="Y24" s="155">
        <f t="shared" si="4"/>
        <v>0.82254168</v>
      </c>
      <c r="Z24" s="109">
        <f t="shared" si="4"/>
        <v>0.6973990400000001</v>
      </c>
      <c r="AA24" s="92">
        <f t="shared" si="4"/>
        <v>0.697399</v>
      </c>
      <c r="AB24" s="92">
        <f t="shared" si="4"/>
        <v>0.56767821</v>
      </c>
      <c r="AC24" s="92">
        <f t="shared" si="4"/>
        <v>0.56767821</v>
      </c>
      <c r="AD24" s="109">
        <f t="shared" si="4"/>
        <v>0.43328295999999994</v>
      </c>
      <c r="AE24" s="92">
        <f t="shared" si="4"/>
        <v>0.43328295999999994</v>
      </c>
      <c r="AF24" s="159">
        <f t="shared" si="4"/>
        <v>0.29402889</v>
      </c>
      <c r="AG24" s="159">
        <f t="shared" si="4"/>
        <v>0.29402889</v>
      </c>
      <c r="AH24" s="109">
        <f t="shared" si="4"/>
        <v>0.1496354</v>
      </c>
      <c r="AI24" s="159">
        <f t="shared" si="4"/>
        <v>0.1496354</v>
      </c>
      <c r="AJ24" s="203">
        <f t="shared" si="4"/>
        <v>0</v>
      </c>
      <c r="AK24" s="203">
        <f t="shared" si="4"/>
        <v>0</v>
      </c>
      <c r="AL24" s="196">
        <f t="shared" si="4"/>
        <v>0</v>
      </c>
      <c r="AM24" s="203">
        <f t="shared" si="4"/>
        <v>0</v>
      </c>
      <c r="AN24" s="203">
        <f t="shared" si="4"/>
        <v>0</v>
      </c>
      <c r="AO24" s="203">
        <f t="shared" si="4"/>
        <v>0</v>
      </c>
      <c r="AP24" s="203">
        <f t="shared" si="4"/>
        <v>0</v>
      </c>
      <c r="AQ24" s="203">
        <f t="shared" si="4"/>
        <v>0</v>
      </c>
      <c r="AR24" s="203">
        <f t="shared" si="4"/>
        <v>0</v>
      </c>
      <c r="AS24" s="203">
        <f>+AS25</f>
        <v>0</v>
      </c>
      <c r="AT24" s="203">
        <f>+AT25</f>
        <v>0</v>
      </c>
      <c r="AU24" s="203">
        <f>+AU25</f>
        <v>0</v>
      </c>
      <c r="AV24" s="203">
        <f>+AV25</f>
        <v>0</v>
      </c>
      <c r="AW24" s="217">
        <f>+AW25</f>
        <v>0</v>
      </c>
    </row>
    <row r="25" spans="2:49" s="29" customFormat="1" ht="14.25">
      <c r="B25" s="74" t="s">
        <v>83</v>
      </c>
      <c r="C25" s="96">
        <v>1.9407512000000002</v>
      </c>
      <c r="D25" s="96">
        <v>1.85626713</v>
      </c>
      <c r="E25" s="96">
        <v>1.85626713</v>
      </c>
      <c r="F25" s="129">
        <v>1.7686961499999998</v>
      </c>
      <c r="G25" s="149">
        <v>1.7686961499999998</v>
      </c>
      <c r="H25" s="96">
        <v>1.6779501200000002</v>
      </c>
      <c r="I25" s="96">
        <v>1.6779501200000002</v>
      </c>
      <c r="J25" s="432">
        <v>1.58393281</v>
      </c>
      <c r="K25" s="149">
        <v>1.58393281</v>
      </c>
      <c r="L25" s="96">
        <v>1.4864598199999999</v>
      </c>
      <c r="M25" s="96">
        <v>1.4864598199999999</v>
      </c>
      <c r="N25" s="432">
        <v>1.38543493</v>
      </c>
      <c r="O25" s="149">
        <v>1.38543493</v>
      </c>
      <c r="P25" s="96">
        <v>1.2807618699999999</v>
      </c>
      <c r="Q25" s="96">
        <v>1.2807618699999999</v>
      </c>
      <c r="R25" s="432">
        <v>1.17225628</v>
      </c>
      <c r="S25" s="96">
        <v>1.17225628</v>
      </c>
      <c r="T25" s="96">
        <v>1.0598299899999999</v>
      </c>
      <c r="U25" s="96">
        <v>1.05982999</v>
      </c>
      <c r="V25" s="129">
        <v>0.94329055</v>
      </c>
      <c r="W25" s="146">
        <v>0.943291</v>
      </c>
      <c r="X25" s="96">
        <v>0.82254168</v>
      </c>
      <c r="Y25" s="96">
        <v>0.82254168</v>
      </c>
      <c r="Z25" s="107">
        <v>0.6973990400000001</v>
      </c>
      <c r="AA25" s="70">
        <v>0.697399</v>
      </c>
      <c r="AB25" s="70">
        <v>0.56767821</v>
      </c>
      <c r="AC25" s="75">
        <v>0.56767821</v>
      </c>
      <c r="AD25" s="107">
        <v>0.43328295999999994</v>
      </c>
      <c r="AE25" s="244">
        <v>0.43328295999999994</v>
      </c>
      <c r="AF25" s="129">
        <v>0.29402889</v>
      </c>
      <c r="AG25" s="129">
        <v>0.29402889</v>
      </c>
      <c r="AH25" s="107">
        <v>0.1496354</v>
      </c>
      <c r="AI25" s="129">
        <v>0.1496354</v>
      </c>
      <c r="AJ25" s="203">
        <v>0</v>
      </c>
      <c r="AK25" s="203">
        <v>0</v>
      </c>
      <c r="AL25" s="196">
        <v>0</v>
      </c>
      <c r="AM25" s="203">
        <v>0</v>
      </c>
      <c r="AN25" s="203">
        <v>0</v>
      </c>
      <c r="AO25" s="203">
        <v>0</v>
      </c>
      <c r="AP25" s="203">
        <v>0</v>
      </c>
      <c r="AQ25" s="203">
        <v>0</v>
      </c>
      <c r="AR25" s="203">
        <v>0</v>
      </c>
      <c r="AS25" s="203">
        <v>0</v>
      </c>
      <c r="AT25" s="203">
        <v>0</v>
      </c>
      <c r="AU25" s="203">
        <v>0</v>
      </c>
      <c r="AV25" s="203">
        <v>0</v>
      </c>
      <c r="AW25" s="217">
        <v>0</v>
      </c>
    </row>
    <row r="26" spans="2:49" s="29" customFormat="1" ht="11.25" customHeight="1">
      <c r="B26" s="49"/>
      <c r="C26" s="393"/>
      <c r="D26" s="393"/>
      <c r="E26" s="393"/>
      <c r="F26" s="472"/>
      <c r="G26" s="416"/>
      <c r="H26" s="393"/>
      <c r="I26" s="393"/>
      <c r="J26" s="478"/>
      <c r="K26" s="416"/>
      <c r="L26" s="393"/>
      <c r="M26" s="393"/>
      <c r="N26" s="478"/>
      <c r="O26" s="416"/>
      <c r="P26" s="393"/>
      <c r="Q26" s="393"/>
      <c r="R26" s="478"/>
      <c r="S26" s="393"/>
      <c r="T26" s="393"/>
      <c r="U26" s="393"/>
      <c r="V26" s="472"/>
      <c r="W26" s="409"/>
      <c r="X26" s="393"/>
      <c r="Y26" s="393"/>
      <c r="Z26" s="110"/>
      <c r="AA26" s="139"/>
      <c r="AB26" s="139"/>
      <c r="AC26" s="78"/>
      <c r="AD26" s="110"/>
      <c r="AE26" s="245"/>
      <c r="AF26" s="170"/>
      <c r="AG26" s="170"/>
      <c r="AH26" s="123"/>
      <c r="AI26" s="170"/>
      <c r="AJ26" s="170"/>
      <c r="AK26" s="170"/>
      <c r="AL26" s="123"/>
      <c r="AM26" s="170"/>
      <c r="AN26" s="559"/>
      <c r="AO26" s="559"/>
      <c r="AP26" s="559"/>
      <c r="AQ26" s="559"/>
      <c r="AR26" s="559"/>
      <c r="AS26" s="559"/>
      <c r="AT26" s="559"/>
      <c r="AU26" s="559"/>
      <c r="AV26" s="559"/>
      <c r="AW26" s="566"/>
    </row>
    <row r="27" spans="2:50" s="29" customFormat="1" ht="15.75">
      <c r="B27" s="85" t="s">
        <v>105</v>
      </c>
      <c r="C27" s="394">
        <f aca="true" t="shared" si="5" ref="C27:AK27">SUM(C28:C54)</f>
        <v>429.35730250999995</v>
      </c>
      <c r="D27" s="394">
        <f t="shared" si="5"/>
        <v>433.5654961100001</v>
      </c>
      <c r="E27" s="394">
        <f t="shared" si="5"/>
        <v>432.42203599</v>
      </c>
      <c r="F27" s="451">
        <f t="shared" si="5"/>
        <v>442.0789790299999</v>
      </c>
      <c r="G27" s="417">
        <f t="shared" si="5"/>
        <v>449.70982265</v>
      </c>
      <c r="H27" s="394">
        <f t="shared" si="5"/>
        <v>439.80550464999993</v>
      </c>
      <c r="I27" s="394">
        <f t="shared" si="5"/>
        <v>514.5006442600001</v>
      </c>
      <c r="J27" s="479">
        <f t="shared" si="5"/>
        <v>496.36830517</v>
      </c>
      <c r="K27" s="417">
        <f t="shared" si="5"/>
        <v>533.7301885899999</v>
      </c>
      <c r="L27" s="394">
        <f t="shared" si="5"/>
        <v>505.52660625999994</v>
      </c>
      <c r="M27" s="394">
        <f t="shared" si="5"/>
        <v>526.3351877499999</v>
      </c>
      <c r="N27" s="479">
        <f t="shared" si="5"/>
        <v>596.3995497300001</v>
      </c>
      <c r="O27" s="417">
        <f t="shared" si="5"/>
        <v>579.45428797</v>
      </c>
      <c r="P27" s="394">
        <f t="shared" si="5"/>
        <v>597.0145800700001</v>
      </c>
      <c r="Q27" s="394">
        <f t="shared" si="5"/>
        <v>629.1252804900001</v>
      </c>
      <c r="R27" s="479">
        <f t="shared" si="5"/>
        <v>635.41877304</v>
      </c>
      <c r="S27" s="394">
        <f t="shared" si="5"/>
        <v>715.69434268</v>
      </c>
      <c r="T27" s="394">
        <f t="shared" si="5"/>
        <v>848.9160069300001</v>
      </c>
      <c r="U27" s="394">
        <f t="shared" si="5"/>
        <v>860.1170751299999</v>
      </c>
      <c r="V27" s="451">
        <f t="shared" si="5"/>
        <v>924.9894452</v>
      </c>
      <c r="W27" s="410">
        <f t="shared" si="5"/>
        <v>872.6764284400002</v>
      </c>
      <c r="X27" s="394">
        <f t="shared" si="5"/>
        <v>845.0401275700001</v>
      </c>
      <c r="Y27" s="394">
        <f t="shared" si="5"/>
        <v>859.9988164700003</v>
      </c>
      <c r="Z27" s="111">
        <f t="shared" si="5"/>
        <v>862.9210094700002</v>
      </c>
      <c r="AA27" s="138">
        <f t="shared" si="5"/>
        <v>827.63708672</v>
      </c>
      <c r="AB27" s="138">
        <f t="shared" si="5"/>
        <v>981.3201253899999</v>
      </c>
      <c r="AC27" s="99">
        <f t="shared" si="5"/>
        <v>987.4279598399999</v>
      </c>
      <c r="AD27" s="111">
        <f t="shared" si="5"/>
        <v>937.0645729599999</v>
      </c>
      <c r="AE27" s="246">
        <f t="shared" si="5"/>
        <v>845.3107444000001</v>
      </c>
      <c r="AF27" s="121">
        <f t="shared" si="5"/>
        <v>827.6277556499999</v>
      </c>
      <c r="AG27" s="121">
        <f t="shared" si="5"/>
        <v>811.9673705300002</v>
      </c>
      <c r="AH27" s="185">
        <f t="shared" si="5"/>
        <v>771.6790471799998</v>
      </c>
      <c r="AI27" s="121">
        <f t="shared" si="5"/>
        <v>779.4773094899999</v>
      </c>
      <c r="AJ27" s="445">
        <f t="shared" si="5"/>
        <v>780.2217416800003</v>
      </c>
      <c r="AK27" s="121">
        <f t="shared" si="5"/>
        <v>732.2897986600002</v>
      </c>
      <c r="AL27" s="185">
        <f aca="true" t="shared" si="6" ref="AL27:AS27">SUM(AL28:AL54)</f>
        <v>684.0289419499998</v>
      </c>
      <c r="AM27" s="121">
        <f t="shared" si="6"/>
        <v>718.9515715999999</v>
      </c>
      <c r="AN27" s="121">
        <f t="shared" si="6"/>
        <v>713.6313652399998</v>
      </c>
      <c r="AO27" s="121">
        <f>SUM(AO28:AO54)</f>
        <v>702.2864607399999</v>
      </c>
      <c r="AP27" s="121">
        <f t="shared" si="6"/>
        <v>685.8043163499998</v>
      </c>
      <c r="AQ27" s="121">
        <f t="shared" si="6"/>
        <v>666.9984990800001</v>
      </c>
      <c r="AR27" s="121">
        <f t="shared" si="6"/>
        <v>676.86965185</v>
      </c>
      <c r="AS27" s="121">
        <f t="shared" si="6"/>
        <v>675.9964339199998</v>
      </c>
      <c r="AT27" s="121">
        <f>SUM(AT28:AT54)</f>
        <v>684.04898989</v>
      </c>
      <c r="AU27" s="121">
        <f>SUM(AU28:AU54)</f>
        <v>669.21070688</v>
      </c>
      <c r="AV27" s="121">
        <f>SUM(AV28:AV54)</f>
        <v>676.5627256199999</v>
      </c>
      <c r="AW27" s="214">
        <f>SUM(AW28:AW54)</f>
        <v>664.1918200200001</v>
      </c>
      <c r="AX27" s="600"/>
    </row>
    <row r="28" spans="2:49" s="29" customFormat="1" ht="14.25">
      <c r="B28" s="117" t="s">
        <v>42</v>
      </c>
      <c r="C28" s="395">
        <v>228.56973595</v>
      </c>
      <c r="D28" s="395">
        <v>227.4303396</v>
      </c>
      <c r="E28" s="395">
        <v>231.32744586</v>
      </c>
      <c r="F28" s="173">
        <v>234.78459262</v>
      </c>
      <c r="G28" s="418">
        <v>244.79038077</v>
      </c>
      <c r="H28" s="395">
        <v>236.31298833</v>
      </c>
      <c r="I28" s="395">
        <f>4.46301789+6.31369142+9.88790365+65.94271616+74.01851834+93.02233869</f>
        <v>253.64818615</v>
      </c>
      <c r="J28" s="480">
        <f>2.23150898+5.95480898+13.63666315+68.11598383+86.14938617+88.2173944</f>
        <v>264.30574551</v>
      </c>
      <c r="K28" s="418">
        <v>282.8214369</v>
      </c>
      <c r="L28" s="395">
        <v>269.7437738</v>
      </c>
      <c r="M28" s="395">
        <v>299.75362599</v>
      </c>
      <c r="N28" s="480">
        <v>348.60421629</v>
      </c>
      <c r="O28" s="418">
        <v>351.72477598</v>
      </c>
      <c r="P28" s="395">
        <v>364.58177525</v>
      </c>
      <c r="Q28" s="395">
        <f>206.90245478+75.50636722+72.51916594+19+10.02218255+3.7715217</f>
        <v>387.72169219</v>
      </c>
      <c r="R28" s="480">
        <v>405.35982401</v>
      </c>
      <c r="S28" s="395">
        <v>493.65198101</v>
      </c>
      <c r="T28" s="395">
        <v>524.5096546</v>
      </c>
      <c r="U28" s="395">
        <v>566.50529166</v>
      </c>
      <c r="V28" s="173">
        <f>238.8942124+114.151173+78.13720816+55.41558906+52.8607845+49.96563484+20+17+6.23497221+1.95387796</f>
        <v>634.61345213</v>
      </c>
      <c r="W28" s="411">
        <v>646.14011079</v>
      </c>
      <c r="X28" s="395">
        <v>666.85333231</v>
      </c>
      <c r="Y28" s="395">
        <v>682.39970684</v>
      </c>
      <c r="Z28" s="112">
        <v>683.59675612</v>
      </c>
      <c r="AA28" s="140">
        <v>644.56389585</v>
      </c>
      <c r="AB28" s="140">
        <v>661.08387214</v>
      </c>
      <c r="AC28" s="79">
        <v>669.57580207</v>
      </c>
      <c r="AD28" s="112">
        <v>633.55792193</v>
      </c>
      <c r="AE28" s="198">
        <f>603.50547913-22.34753313</f>
        <v>581.157946</v>
      </c>
      <c r="AF28" s="125">
        <v>570.22771718</v>
      </c>
      <c r="AG28" s="125">
        <v>563.3728531200001</v>
      </c>
      <c r="AH28" s="126">
        <v>535.1436143</v>
      </c>
      <c r="AI28" s="125">
        <v>547.3391039999999</v>
      </c>
      <c r="AJ28" s="188">
        <f>549.30618574+1.10644716000024</f>
        <v>550.4126329000003</v>
      </c>
      <c r="AK28" s="125">
        <v>527.7187151100001</v>
      </c>
      <c r="AL28" s="126">
        <v>498.51996345999993</v>
      </c>
      <c r="AM28" s="125">
        <v>524.4995479</v>
      </c>
      <c r="AN28" s="125">
        <v>521.64565407</v>
      </c>
      <c r="AO28" s="125">
        <v>522.01525427</v>
      </c>
      <c r="AP28" s="125">
        <v>509.69009304</v>
      </c>
      <c r="AQ28" s="125">
        <v>496.90327811000003</v>
      </c>
      <c r="AR28" s="125">
        <v>505.07311064</v>
      </c>
      <c r="AS28" s="125">
        <v>504.19185283999997</v>
      </c>
      <c r="AT28" s="125">
        <v>507.99207023</v>
      </c>
      <c r="AU28" s="125">
        <v>501.43181469000007</v>
      </c>
      <c r="AV28" s="125">
        <v>507.17343826</v>
      </c>
      <c r="AW28" s="257">
        <v>500.0329732</v>
      </c>
    </row>
    <row r="29" spans="2:49" s="29" customFormat="1" ht="14.25">
      <c r="B29" s="117" t="s">
        <v>43</v>
      </c>
      <c r="C29" s="395">
        <v>54.03533</v>
      </c>
      <c r="D29" s="395">
        <v>57.62968711</v>
      </c>
      <c r="E29" s="395">
        <v>53.32752478</v>
      </c>
      <c r="F29" s="173">
        <v>53.07414576</v>
      </c>
      <c r="G29" s="418">
        <v>50.95563538</v>
      </c>
      <c r="H29" s="395">
        <v>49.43578496</v>
      </c>
      <c r="I29" s="395">
        <v>93.952013</v>
      </c>
      <c r="J29" s="480">
        <v>72.12366662</v>
      </c>
      <c r="K29" s="418">
        <v>77.34613293</v>
      </c>
      <c r="L29" s="395">
        <v>72.6557907</v>
      </c>
      <c r="M29" s="395">
        <v>69.86065268</v>
      </c>
      <c r="N29" s="480">
        <v>81.7244831</v>
      </c>
      <c r="O29" s="418">
        <v>72.181017</v>
      </c>
      <c r="P29" s="395">
        <v>75.02397025</v>
      </c>
      <c r="Q29" s="395">
        <v>76.39801704</v>
      </c>
      <c r="R29" s="480">
        <v>74.27223072</v>
      </c>
      <c r="S29" s="395">
        <v>70.31666812</v>
      </c>
      <c r="T29" s="395">
        <v>181.09600275</v>
      </c>
      <c r="U29" s="395">
        <v>137.1026151</v>
      </c>
      <c r="V29" s="173">
        <v>140.4323481</v>
      </c>
      <c r="W29" s="411">
        <v>72.0426882</v>
      </c>
      <c r="X29" s="395">
        <v>74.45230317000001</v>
      </c>
      <c r="Y29" s="395">
        <v>74.02387</v>
      </c>
      <c r="Z29" s="112">
        <v>73.5671792</v>
      </c>
      <c r="AA29" s="140">
        <v>65.45806318</v>
      </c>
      <c r="AB29" s="140">
        <v>194.82547359999998</v>
      </c>
      <c r="AC29" s="79">
        <v>189.75769052999996</v>
      </c>
      <c r="AD29" s="112">
        <v>176.20200706</v>
      </c>
      <c r="AE29" s="198">
        <v>148.10237157</v>
      </c>
      <c r="AF29" s="125">
        <v>142.69896515</v>
      </c>
      <c r="AG29" s="125">
        <v>134.35318475999998</v>
      </c>
      <c r="AH29" s="126">
        <v>124.46111588999999</v>
      </c>
      <c r="AI29" s="125">
        <v>120.44385901999999</v>
      </c>
      <c r="AJ29" s="125">
        <v>121.00386266000001</v>
      </c>
      <c r="AK29" s="125">
        <v>105.28842323999999</v>
      </c>
      <c r="AL29" s="126">
        <v>94.32552693000001</v>
      </c>
      <c r="AM29" s="125">
        <v>103.26085024</v>
      </c>
      <c r="AN29" s="125">
        <v>102.02639094999999</v>
      </c>
      <c r="AO29" s="125">
        <v>94.67761059</v>
      </c>
      <c r="AP29" s="125">
        <v>90.42038375999999</v>
      </c>
      <c r="AQ29" s="125">
        <v>86.21675744</v>
      </c>
      <c r="AR29" s="125">
        <v>88.94134634000001</v>
      </c>
      <c r="AS29" s="125">
        <v>88.57911654</v>
      </c>
      <c r="AT29" s="125">
        <v>90.58281124999999</v>
      </c>
      <c r="AU29" s="125">
        <v>83.97810736000001</v>
      </c>
      <c r="AV29" s="125">
        <v>85.28382111</v>
      </c>
      <c r="AW29" s="257">
        <v>83.03552133000001</v>
      </c>
    </row>
    <row r="30" spans="2:49" s="29" customFormat="1" ht="14.25">
      <c r="B30" s="117" t="s">
        <v>44</v>
      </c>
      <c r="C30" s="156">
        <v>0.92775</v>
      </c>
      <c r="D30" s="395">
        <v>1.1125397</v>
      </c>
      <c r="E30" s="395">
        <v>1.37819276</v>
      </c>
      <c r="F30" s="173">
        <v>7.413931</v>
      </c>
      <c r="G30" s="418">
        <v>7.56983705</v>
      </c>
      <c r="H30" s="395">
        <v>14.05706269</v>
      </c>
      <c r="I30" s="395">
        <f>2.3871171+16.77208562</f>
        <v>19.15920272</v>
      </c>
      <c r="J30" s="480">
        <f>3.05799059+17.32484161</f>
        <v>20.3828322</v>
      </c>
      <c r="K30" s="418">
        <v>21.92839147</v>
      </c>
      <c r="L30" s="395">
        <v>21.21262288</v>
      </c>
      <c r="M30" s="395">
        <v>22.55317124</v>
      </c>
      <c r="N30" s="480">
        <v>29.08789357</v>
      </c>
      <c r="O30" s="418">
        <v>26.06416981</v>
      </c>
      <c r="P30" s="395">
        <v>27.53005546</v>
      </c>
      <c r="Q30" s="395">
        <f>22.60424516+5.79035146</f>
        <v>28.39459662</v>
      </c>
      <c r="R30" s="480">
        <v>27.60464226</v>
      </c>
      <c r="S30" s="395">
        <v>26.62780668</v>
      </c>
      <c r="T30" s="395">
        <v>28.25223463</v>
      </c>
      <c r="U30" s="395">
        <v>33.31033236</v>
      </c>
      <c r="V30" s="173">
        <f>27.76761505+6.78902778</f>
        <v>34.55664283</v>
      </c>
      <c r="W30" s="411">
        <v>33.98320865</v>
      </c>
      <c r="X30" s="395">
        <v>36.26410141</v>
      </c>
      <c r="Y30" s="395">
        <v>38.78727639</v>
      </c>
      <c r="Z30" s="112">
        <v>44.144750789999996</v>
      </c>
      <c r="AA30" s="140">
        <v>42.613081539999996</v>
      </c>
      <c r="AB30" s="140">
        <v>45.642099210000005</v>
      </c>
      <c r="AC30" s="79">
        <v>46.83580343</v>
      </c>
      <c r="AD30" s="112">
        <v>45.085313330000005</v>
      </c>
      <c r="AE30" s="198">
        <v>38.71642951</v>
      </c>
      <c r="AF30" s="125">
        <v>37.30388896</v>
      </c>
      <c r="AG30" s="125">
        <v>35.96072969</v>
      </c>
      <c r="AH30" s="126">
        <v>33.31303649</v>
      </c>
      <c r="AI30" s="433">
        <v>33.089770030000004</v>
      </c>
      <c r="AJ30" s="125">
        <v>33.243620889999995</v>
      </c>
      <c r="AK30" s="125">
        <v>29.77726557</v>
      </c>
      <c r="AL30" s="126">
        <v>26.67678154</v>
      </c>
      <c r="AM30" s="125">
        <v>29.20383518</v>
      </c>
      <c r="AN30" s="125">
        <v>28.854710179999994</v>
      </c>
      <c r="AO30" s="125">
        <v>27.65950661</v>
      </c>
      <c r="AP30" s="125">
        <v>26.415782859999997</v>
      </c>
      <c r="AQ30" s="125">
        <v>25.187718180000005</v>
      </c>
      <c r="AR30" s="125">
        <v>25.98369078</v>
      </c>
      <c r="AS30" s="125">
        <v>25.87786748</v>
      </c>
      <c r="AT30" s="125">
        <v>26.46323509</v>
      </c>
      <c r="AU30" s="125">
        <v>25.447612789999997</v>
      </c>
      <c r="AV30" s="125">
        <v>25.843278979999997</v>
      </c>
      <c r="AW30" s="257">
        <v>25.161983999999997</v>
      </c>
    </row>
    <row r="31" spans="2:49" ht="14.25">
      <c r="B31" s="117" t="s">
        <v>45</v>
      </c>
      <c r="C31" s="395">
        <v>5.38583277</v>
      </c>
      <c r="D31" s="395">
        <v>5.54542502</v>
      </c>
      <c r="E31" s="395">
        <v>5.36203384</v>
      </c>
      <c r="F31" s="173">
        <v>5.41858735</v>
      </c>
      <c r="G31" s="418">
        <v>5.32906781</v>
      </c>
      <c r="H31" s="395">
        <v>5.20657802</v>
      </c>
      <c r="I31" s="395">
        <f>0.30046747+5.25268041</f>
        <v>5.55314788</v>
      </c>
      <c r="J31" s="480">
        <f>0.29715049+5.02122275</f>
        <v>5.31837324</v>
      </c>
      <c r="K31" s="418">
        <v>5.57196926</v>
      </c>
      <c r="L31" s="395">
        <v>5.37126407</v>
      </c>
      <c r="M31" s="395">
        <v>4.64066653</v>
      </c>
      <c r="N31" s="480">
        <v>4.43372871</v>
      </c>
      <c r="O31" s="418">
        <v>4.0711953</v>
      </c>
      <c r="P31" s="395">
        <v>4.1514383</v>
      </c>
      <c r="Q31" s="395">
        <f>3.88828121+0.26352682</f>
        <v>4.15180803</v>
      </c>
      <c r="R31" s="480">
        <v>4.32762802</v>
      </c>
      <c r="S31" s="395">
        <v>4.09728912</v>
      </c>
      <c r="T31" s="395">
        <v>3.89634876</v>
      </c>
      <c r="U31" s="395">
        <v>4.35422749</v>
      </c>
      <c r="V31" s="173">
        <f>2.78173418+1.69587349+0.21583804</f>
        <v>4.693445710000001</v>
      </c>
      <c r="W31" s="411">
        <v>4.6810776800000005</v>
      </c>
      <c r="X31" s="395">
        <v>4.641298740000001</v>
      </c>
      <c r="Y31" s="395">
        <v>4.31680131</v>
      </c>
      <c r="Z31" s="112">
        <v>4.07306885</v>
      </c>
      <c r="AA31" s="140">
        <v>15.18353139</v>
      </c>
      <c r="AB31" s="140">
        <v>15.69431996</v>
      </c>
      <c r="AC31" s="81">
        <v>16.097874140000002</v>
      </c>
      <c r="AD31" s="112">
        <v>17.709469629999997</v>
      </c>
      <c r="AE31" s="247">
        <v>15.491154049999999</v>
      </c>
      <c r="AF31" s="187">
        <v>14.86268957</v>
      </c>
      <c r="AG31" s="187">
        <v>14.49911889</v>
      </c>
      <c r="AH31" s="215">
        <v>13.402115929999999</v>
      </c>
      <c r="AI31" s="434">
        <v>13.3988658</v>
      </c>
      <c r="AJ31" s="187">
        <v>13.2936102</v>
      </c>
      <c r="AK31" s="187">
        <v>12.0202316</v>
      </c>
      <c r="AL31" s="215">
        <v>10.718833870000001</v>
      </c>
      <c r="AM31" s="187">
        <v>11.642459789999998</v>
      </c>
      <c r="AN31" s="187">
        <v>11.50167086</v>
      </c>
      <c r="AO31" s="187">
        <v>11.12968547</v>
      </c>
      <c r="AP31" s="187">
        <v>10.66074923</v>
      </c>
      <c r="AQ31" s="187">
        <v>10.18243921</v>
      </c>
      <c r="AR31" s="125">
        <v>10.4017607</v>
      </c>
      <c r="AS31" s="125">
        <v>10.36200596</v>
      </c>
      <c r="AT31" s="125">
        <v>10.59783947</v>
      </c>
      <c r="AU31" s="125">
        <v>10.30449629</v>
      </c>
      <c r="AV31" s="125">
        <v>10.461137149999999</v>
      </c>
      <c r="AW31" s="257">
        <v>10.182725709999998</v>
      </c>
    </row>
    <row r="32" spans="2:49" ht="14.25">
      <c r="B32" s="117" t="s">
        <v>85</v>
      </c>
      <c r="C32" s="395">
        <v>20.06664506</v>
      </c>
      <c r="D32" s="395">
        <v>21.53498882</v>
      </c>
      <c r="E32" s="395">
        <v>20.51612474</v>
      </c>
      <c r="F32" s="173">
        <v>21.64041544</v>
      </c>
      <c r="G32" s="418">
        <v>20.98669051</v>
      </c>
      <c r="H32" s="395">
        <v>21.43625403</v>
      </c>
      <c r="I32" s="395">
        <v>21.67539497</v>
      </c>
      <c r="J32" s="480">
        <v>21.66518548</v>
      </c>
      <c r="K32" s="419">
        <v>23.43586208</v>
      </c>
      <c r="L32" s="156">
        <v>22.67373866</v>
      </c>
      <c r="M32" s="156">
        <v>20.27080353</v>
      </c>
      <c r="N32" s="172">
        <v>19.46573386</v>
      </c>
      <c r="O32" s="418">
        <v>18.5423199</v>
      </c>
      <c r="P32" s="395">
        <v>19.03802741</v>
      </c>
      <c r="Q32" s="395">
        <v>19.80945526</v>
      </c>
      <c r="R32" s="480">
        <v>18.78077773</v>
      </c>
      <c r="S32" s="420">
        <v>17.69497923</v>
      </c>
      <c r="T32" s="420">
        <v>16.25476378</v>
      </c>
      <c r="U32" s="420">
        <v>16.67670373</v>
      </c>
      <c r="V32" s="173">
        <v>15.06564618</v>
      </c>
      <c r="W32" s="411">
        <v>17.3099808</v>
      </c>
      <c r="X32" s="395">
        <v>11.40299534</v>
      </c>
      <c r="Y32" s="395">
        <v>10.5286241</v>
      </c>
      <c r="Z32" s="112">
        <v>10.18972675</v>
      </c>
      <c r="AA32" s="140">
        <v>10.48930886</v>
      </c>
      <c r="AB32" s="140">
        <v>14.27607654</v>
      </c>
      <c r="AC32" s="81">
        <v>14.38308088</v>
      </c>
      <c r="AD32" s="112">
        <v>14.34563921</v>
      </c>
      <c r="AE32" s="247">
        <v>13.8193493</v>
      </c>
      <c r="AF32" s="187">
        <v>13.52570421</v>
      </c>
      <c r="AG32" s="187">
        <v>13.82298225</v>
      </c>
      <c r="AH32" s="215">
        <v>14.379351199999999</v>
      </c>
      <c r="AI32" s="434">
        <v>14.36360994</v>
      </c>
      <c r="AJ32" s="187">
        <v>12.93500223</v>
      </c>
      <c r="AK32" s="187">
        <v>11.982443009999999</v>
      </c>
      <c r="AL32" s="215">
        <v>11.003552130000001</v>
      </c>
      <c r="AM32" s="187">
        <v>10.272625640000001</v>
      </c>
      <c r="AN32" s="187">
        <v>10.1187796</v>
      </c>
      <c r="AO32" s="187">
        <f>9.57363968</f>
        <v>9.57363968</v>
      </c>
      <c r="AP32" s="187">
        <v>9.959372179999999</v>
      </c>
      <c r="AQ32" s="187">
        <v>9.94457122</v>
      </c>
      <c r="AR32" s="125">
        <v>9.36408098</v>
      </c>
      <c r="AS32" s="125">
        <v>9.40911858</v>
      </c>
      <c r="AT32" s="125">
        <v>9.66790199</v>
      </c>
      <c r="AU32" s="125">
        <v>9.5708902</v>
      </c>
      <c r="AV32" s="125">
        <v>9.51579112</v>
      </c>
      <c r="AW32" s="257">
        <v>9.1150205</v>
      </c>
    </row>
    <row r="33" spans="2:49" s="133" customFormat="1" ht="14.25">
      <c r="B33" s="117" t="s">
        <v>51</v>
      </c>
      <c r="C33" s="395">
        <f>9.62176724+1.81255132</f>
        <v>11.434318560000001</v>
      </c>
      <c r="D33" s="395">
        <f>9.90858912+1.91622842</f>
        <v>11.82481754</v>
      </c>
      <c r="E33" s="395">
        <f>9.84118902+1.90319387</f>
        <v>11.74438289</v>
      </c>
      <c r="F33" s="173">
        <f>9.95423493+1.9776556</f>
        <v>11.93189053</v>
      </c>
      <c r="G33" s="418">
        <f>10.07112178+2.00087807</f>
        <v>12.071999850000001</v>
      </c>
      <c r="H33" s="395">
        <f>9.85755547+2.01346315</f>
        <v>11.87101862</v>
      </c>
      <c r="I33" s="395">
        <f>2.1255303+10.40621619</f>
        <v>12.53174649</v>
      </c>
      <c r="J33" s="480">
        <f>2.18695749+3.81009164</f>
        <v>5.997049130000001</v>
      </c>
      <c r="K33" s="418">
        <f>11.2566686+2.3656956</f>
        <v>13.6223642</v>
      </c>
      <c r="L33" s="395">
        <f>10.89600768+2.35805466</f>
        <v>13.25406234</v>
      </c>
      <c r="M33" s="395">
        <f>10.23815462+2.10815091</f>
        <v>12.346305529999999</v>
      </c>
      <c r="N33" s="173">
        <f>9.91445636+2.08762524</f>
        <v>12.0020816</v>
      </c>
      <c r="O33" s="418">
        <f>9.47260321+1.98859264</f>
        <v>11.461195850000001</v>
      </c>
      <c r="P33" s="395">
        <f>9.90303848+2.10755162</f>
        <v>12.0105901</v>
      </c>
      <c r="Q33" s="395">
        <f>2.19295038+10.72987937</f>
        <v>12.922829750000002</v>
      </c>
      <c r="R33" s="480">
        <f>10.88038819+2.09524901</f>
        <v>12.9756372</v>
      </c>
      <c r="S33" s="395">
        <f>10.25134559+1.97411354</f>
        <v>12.225459129999999</v>
      </c>
      <c r="T33" s="395">
        <f>9.09810059+1.8045049</f>
        <v>10.90260549</v>
      </c>
      <c r="U33" s="395">
        <f>10.2274545+1.94278388</f>
        <v>12.17023838</v>
      </c>
      <c r="V33" s="173">
        <f>1.90884462+9.67586494</f>
        <v>11.58470956</v>
      </c>
      <c r="W33" s="411">
        <v>12.28825264</v>
      </c>
      <c r="X33" s="395">
        <v>12.30723692</v>
      </c>
      <c r="Y33" s="395">
        <v>11.29541141</v>
      </c>
      <c r="Z33" s="112">
        <v>10.61686313</v>
      </c>
      <c r="AA33" s="140">
        <v>10.92900334</v>
      </c>
      <c r="AB33" s="140">
        <v>10.3960959</v>
      </c>
      <c r="AC33" s="135">
        <v>10.47401838</v>
      </c>
      <c r="AD33" s="173">
        <v>10.54930998</v>
      </c>
      <c r="AE33" s="174">
        <f>1.6341099+8.52818383</f>
        <v>10.16229373</v>
      </c>
      <c r="AF33" s="188">
        <v>10.0514603</v>
      </c>
      <c r="AG33" s="188">
        <v>10.272378830000001</v>
      </c>
      <c r="AH33" s="429">
        <v>10.55131468</v>
      </c>
      <c r="AI33" s="435">
        <v>10.53976401</v>
      </c>
      <c r="AJ33" s="188">
        <f>8.25077335+1.59145752</f>
        <v>9.84223087</v>
      </c>
      <c r="AK33" s="188">
        <f>7.64317003+1.47425943</f>
        <v>9.11742946</v>
      </c>
      <c r="AL33" s="223">
        <f>7.10878912+1.37489105</f>
        <v>8.48368017</v>
      </c>
      <c r="AM33" s="188">
        <f>6.63657776+1.28356197</f>
        <v>7.92013973</v>
      </c>
      <c r="AN33" s="188">
        <f>6.53718632+1.26433895</f>
        <v>7.80152527</v>
      </c>
      <c r="AO33" s="188">
        <f>6.18500143+1.19622385</f>
        <v>7.38122528</v>
      </c>
      <c r="AP33" s="188">
        <f>6.43420196+1.24442103</f>
        <v>7.67862299</v>
      </c>
      <c r="AQ33" s="188">
        <f>6.42463987+1.24257166</f>
        <v>7.66721153</v>
      </c>
      <c r="AR33" s="125">
        <f>6.13428662+1.18985703</f>
        <v>7.32414365</v>
      </c>
      <c r="AS33" s="125">
        <f>6.16379017+1.19557978</f>
        <v>7.3593699500000005</v>
      </c>
      <c r="AT33" s="125">
        <f>6.33331578+1.22846237</f>
        <v>7.56177815</v>
      </c>
      <c r="AU33" s="125">
        <f>6.26976463+1.21613547</f>
        <v>7.4859001</v>
      </c>
      <c r="AV33" s="125">
        <f>6.23366995+1.20913424</f>
        <v>7.44280419</v>
      </c>
      <c r="AW33" s="257">
        <f>5.97113037+1.15820989</f>
        <v>7.12934026</v>
      </c>
    </row>
    <row r="34" spans="2:49" s="133" customFormat="1" ht="14.25">
      <c r="B34" s="117" t="s">
        <v>46</v>
      </c>
      <c r="C34" s="395">
        <v>8.55068322</v>
      </c>
      <c r="D34" s="395">
        <v>9.07229826</v>
      </c>
      <c r="E34" s="395">
        <v>9.27987635</v>
      </c>
      <c r="F34" s="173">
        <v>9.55945224</v>
      </c>
      <c r="G34" s="418">
        <v>9.67170338</v>
      </c>
      <c r="H34" s="395">
        <v>9.76742088</v>
      </c>
      <c r="I34" s="395">
        <v>10.45765907</v>
      </c>
      <c r="J34" s="480">
        <v>10.90788524</v>
      </c>
      <c r="K34" s="418">
        <v>12.08570301</v>
      </c>
      <c r="L34" s="395">
        <v>12.18678961</v>
      </c>
      <c r="M34" s="395">
        <v>11.17129895</v>
      </c>
      <c r="N34" s="173">
        <v>11.24279283</v>
      </c>
      <c r="O34" s="418">
        <v>10.72751236</v>
      </c>
      <c r="P34" s="395">
        <v>11.36923953</v>
      </c>
      <c r="Q34" s="395">
        <v>11.82992529</v>
      </c>
      <c r="R34" s="480">
        <v>11.23203566</v>
      </c>
      <c r="S34" s="395">
        <v>10.58266279</v>
      </c>
      <c r="T34" s="395">
        <v>9.27321106</v>
      </c>
      <c r="U34" s="395">
        <v>10.34561806</v>
      </c>
      <c r="V34" s="173">
        <v>9.73382208</v>
      </c>
      <c r="W34" s="418">
        <v>10.38592214</v>
      </c>
      <c r="X34" s="395">
        <v>10.27642123</v>
      </c>
      <c r="Y34" s="395">
        <v>9.48843472</v>
      </c>
      <c r="Z34" s="480">
        <v>8.86034109</v>
      </c>
      <c r="AA34" s="140">
        <v>9.12083887</v>
      </c>
      <c r="AB34" s="140">
        <v>8.690214460000002</v>
      </c>
      <c r="AC34" s="135">
        <v>8.75535074</v>
      </c>
      <c r="AD34" s="112">
        <v>8.800613519999999</v>
      </c>
      <c r="AE34" s="174">
        <v>8.47775066</v>
      </c>
      <c r="AF34" s="188">
        <v>8.32301907</v>
      </c>
      <c r="AG34" s="188">
        <v>8.505948609999999</v>
      </c>
      <c r="AH34" s="429">
        <v>8.43743312</v>
      </c>
      <c r="AI34" s="435">
        <v>8.428196550000001</v>
      </c>
      <c r="AJ34" s="188">
        <v>8.12477001</v>
      </c>
      <c r="AK34" s="188">
        <v>7.52644583</v>
      </c>
      <c r="AL34" s="223">
        <v>7.02405262</v>
      </c>
      <c r="AM34" s="188">
        <v>6.55747</v>
      </c>
      <c r="AN34" s="188">
        <v>6.45926329</v>
      </c>
      <c r="AO34" s="188">
        <v>6.111276429999999</v>
      </c>
      <c r="AP34" s="188">
        <v>6.3575065</v>
      </c>
      <c r="AQ34" s="188">
        <v>6.348058389999999</v>
      </c>
      <c r="AR34" s="125">
        <v>6.083293360000001</v>
      </c>
      <c r="AS34" s="125">
        <v>6.11255165</v>
      </c>
      <c r="AT34" s="125">
        <v>6.280668019999999</v>
      </c>
      <c r="AU34" s="125">
        <v>6.21764517</v>
      </c>
      <c r="AV34" s="125">
        <v>6.18185053</v>
      </c>
      <c r="AW34" s="257">
        <v>5.921493389999999</v>
      </c>
    </row>
    <row r="35" spans="2:49" s="133" customFormat="1" ht="14.25">
      <c r="B35" s="117" t="s">
        <v>47</v>
      </c>
      <c r="C35" s="395">
        <v>10.04674694</v>
      </c>
      <c r="D35" s="395">
        <v>10.40459255</v>
      </c>
      <c r="E35" s="395">
        <v>10.24963969</v>
      </c>
      <c r="F35" s="173">
        <v>10.42788348</v>
      </c>
      <c r="G35" s="418">
        <v>10.4608161</v>
      </c>
      <c r="H35" s="395">
        <v>10.3008324</v>
      </c>
      <c r="I35" s="395">
        <v>10.77799268</v>
      </c>
      <c r="J35" s="480">
        <v>10.64770968</v>
      </c>
      <c r="K35" s="418">
        <v>11.29339862</v>
      </c>
      <c r="L35" s="395">
        <v>11.11297883</v>
      </c>
      <c r="M35" s="395">
        <v>9.73514461</v>
      </c>
      <c r="N35" s="173">
        <v>9.51292454</v>
      </c>
      <c r="O35" s="418">
        <v>8.87290471</v>
      </c>
      <c r="P35" s="395">
        <v>9.27503616</v>
      </c>
      <c r="Q35" s="395">
        <v>9.44272102</v>
      </c>
      <c r="R35" s="480">
        <v>9.11933381</v>
      </c>
      <c r="S35" s="395">
        <v>8.39998876</v>
      </c>
      <c r="T35" s="395">
        <v>7.49044581</v>
      </c>
      <c r="U35" s="395">
        <v>6.7630072</v>
      </c>
      <c r="V35" s="173">
        <v>6.57907082</v>
      </c>
      <c r="W35" s="418">
        <v>7.01982404</v>
      </c>
      <c r="X35" s="395">
        <v>5.15674711</v>
      </c>
      <c r="Y35" s="395">
        <v>6.2846198200000005</v>
      </c>
      <c r="Z35" s="480">
        <v>7.03048098</v>
      </c>
      <c r="AA35" s="140">
        <v>7.047480480000001</v>
      </c>
      <c r="AB35" s="140">
        <v>6.78920021</v>
      </c>
      <c r="AC35" s="135">
        <v>6.65272745</v>
      </c>
      <c r="AD35" s="112">
        <v>6.786680639999999</v>
      </c>
      <c r="AE35" s="174">
        <v>6.3501845</v>
      </c>
      <c r="AF35" s="188">
        <v>6.36229816</v>
      </c>
      <c r="AG35" s="188">
        <v>6.306412269999998</v>
      </c>
      <c r="AH35" s="429">
        <v>6.33428592</v>
      </c>
      <c r="AI35" s="435">
        <v>6.12698121</v>
      </c>
      <c r="AJ35" s="188">
        <v>6.004688580000001</v>
      </c>
      <c r="AK35" s="188">
        <v>5.376673190000001</v>
      </c>
      <c r="AL35" s="223">
        <v>5.069060919999999</v>
      </c>
      <c r="AM35" s="188">
        <v>4.732341379999999</v>
      </c>
      <c r="AN35" s="188">
        <v>4.661468360000001</v>
      </c>
      <c r="AO35" s="188">
        <v>4.25444964</v>
      </c>
      <c r="AP35" s="188">
        <v>4.425866109999999</v>
      </c>
      <c r="AQ35" s="188">
        <v>4.419288659999999</v>
      </c>
      <c r="AR35" s="125">
        <v>4.27710591</v>
      </c>
      <c r="AS35" s="125">
        <v>4.29767714</v>
      </c>
      <c r="AT35" s="125">
        <v>4.415878180000001</v>
      </c>
      <c r="AU35" s="125">
        <v>4.20752399</v>
      </c>
      <c r="AV35" s="125">
        <v>4.183301510000001</v>
      </c>
      <c r="AW35" s="257">
        <v>4.00711601</v>
      </c>
    </row>
    <row r="36" spans="2:49" s="133" customFormat="1" ht="14.25">
      <c r="B36" s="117" t="s">
        <v>128</v>
      </c>
      <c r="C36" s="204">
        <v>0</v>
      </c>
      <c r="D36" s="204">
        <v>0</v>
      </c>
      <c r="E36" s="156">
        <v>0.05563594</v>
      </c>
      <c r="F36" s="172">
        <v>0.29700821</v>
      </c>
      <c r="G36" s="419">
        <v>0.34509076</v>
      </c>
      <c r="H36" s="156">
        <v>0.47275087</v>
      </c>
      <c r="I36" s="156">
        <v>0.54135708</v>
      </c>
      <c r="J36" s="216">
        <v>0.89892012</v>
      </c>
      <c r="K36" s="395">
        <v>1.22986182</v>
      </c>
      <c r="L36" s="395">
        <v>1.91921912</v>
      </c>
      <c r="M36" s="395">
        <v>2.12198276</v>
      </c>
      <c r="N36" s="173">
        <v>2.36713123</v>
      </c>
      <c r="O36" s="418">
        <v>2.91420686</v>
      </c>
      <c r="P36" s="395">
        <v>3.42701884</v>
      </c>
      <c r="Q36" s="395">
        <v>3.81712741</v>
      </c>
      <c r="R36" s="480">
        <v>4.06579011</v>
      </c>
      <c r="S36" s="395">
        <v>3.94884355</v>
      </c>
      <c r="T36" s="395">
        <v>3.57383494</v>
      </c>
      <c r="U36" s="156">
        <v>4.1459392</v>
      </c>
      <c r="V36" s="173">
        <v>4.05290934</v>
      </c>
      <c r="W36" s="419">
        <v>4.3907964900000005</v>
      </c>
      <c r="X36" s="156">
        <v>4.497162980000001</v>
      </c>
      <c r="Y36" s="156">
        <v>4.28269274</v>
      </c>
      <c r="Z36" s="480">
        <v>4.1448405699999995</v>
      </c>
      <c r="AA36" s="140">
        <v>4.2667005300000005</v>
      </c>
      <c r="AB36" s="140">
        <v>4.182741610000001</v>
      </c>
      <c r="AC36" s="137">
        <v>4.21409277</v>
      </c>
      <c r="AD36" s="172">
        <v>5.04445483</v>
      </c>
      <c r="AE36" s="174">
        <v>4.85939192</v>
      </c>
      <c r="AF36" s="188">
        <v>5.1632885</v>
      </c>
      <c r="AG36" s="188">
        <v>5.3873657</v>
      </c>
      <c r="AH36" s="429">
        <v>5.76870692</v>
      </c>
      <c r="AI36" s="435">
        <v>5.867116189999999</v>
      </c>
      <c r="AJ36" s="188">
        <v>5.87354605</v>
      </c>
      <c r="AK36" s="188">
        <v>5.4410064700000005</v>
      </c>
      <c r="AL36" s="223">
        <v>5.24632316</v>
      </c>
      <c r="AM36" s="188">
        <v>4.89782874</v>
      </c>
      <c r="AN36" s="188">
        <v>4.83385075</v>
      </c>
      <c r="AO36" s="188">
        <v>4.5734315</v>
      </c>
      <c r="AP36" s="188">
        <v>4.7577001</v>
      </c>
      <c r="AQ36" s="188">
        <v>4.75062952</v>
      </c>
      <c r="AR36" s="125">
        <v>4.48076</v>
      </c>
      <c r="AS36" s="125">
        <v>4.5023107300000005</v>
      </c>
      <c r="AT36" s="125">
        <v>4.7678245399999994</v>
      </c>
      <c r="AU36" s="125">
        <v>4.7199822000000005</v>
      </c>
      <c r="AV36" s="125">
        <v>4.69280952</v>
      </c>
      <c r="AW36" s="257">
        <v>4.4951653899999995</v>
      </c>
    </row>
    <row r="37" spans="2:49" s="133" customFormat="1" ht="14.25">
      <c r="B37" s="117" t="s">
        <v>48</v>
      </c>
      <c r="C37" s="156">
        <v>0.4146263</v>
      </c>
      <c r="D37" s="156">
        <v>0.43834273</v>
      </c>
      <c r="E37" s="156">
        <v>2.73937358</v>
      </c>
      <c r="F37" s="172">
        <v>4.20739381</v>
      </c>
      <c r="G37" s="419">
        <v>4.36747368</v>
      </c>
      <c r="H37" s="156">
        <v>4.89129057</v>
      </c>
      <c r="I37" s="156">
        <v>5.28491494</v>
      </c>
      <c r="J37" s="216">
        <v>5.43764738</v>
      </c>
      <c r="K37" s="156">
        <v>6.13126463</v>
      </c>
      <c r="L37" s="156">
        <v>6.1114613</v>
      </c>
      <c r="M37" s="156">
        <v>5.54585314</v>
      </c>
      <c r="N37" s="172">
        <v>5.49525988</v>
      </c>
      <c r="O37" s="419">
        <v>5.86964724</v>
      </c>
      <c r="P37" s="156">
        <v>6.22077357</v>
      </c>
      <c r="Q37" s="156">
        <v>6.4728416</v>
      </c>
      <c r="R37" s="216">
        <v>6.39263634</v>
      </c>
      <c r="S37" s="156">
        <v>6.02305021</v>
      </c>
      <c r="T37" s="156">
        <v>5.45106106</v>
      </c>
      <c r="U37" s="156">
        <v>6.11980112</v>
      </c>
      <c r="V37" s="172">
        <v>5.95335832</v>
      </c>
      <c r="W37" s="419">
        <v>6.42045622</v>
      </c>
      <c r="X37" s="156">
        <v>5.42519264</v>
      </c>
      <c r="Y37" s="156">
        <v>5.00919366</v>
      </c>
      <c r="Z37" s="216">
        <v>4.847956969999999</v>
      </c>
      <c r="AA37" s="134">
        <v>4.99048892</v>
      </c>
      <c r="AB37" s="134">
        <v>5.930045219999999</v>
      </c>
      <c r="AC37" s="137">
        <v>5.9744930400000005</v>
      </c>
      <c r="AD37" s="113">
        <v>6.05253635</v>
      </c>
      <c r="AE37" s="174">
        <v>5.830490559999999</v>
      </c>
      <c r="AF37" s="188">
        <v>5.8025191</v>
      </c>
      <c r="AG37" s="188">
        <v>5.93005121</v>
      </c>
      <c r="AH37" s="429">
        <v>5.91817333</v>
      </c>
      <c r="AI37" s="435">
        <v>5.9116946299999995</v>
      </c>
      <c r="AJ37" s="188">
        <v>5.75877705</v>
      </c>
      <c r="AK37" s="188">
        <v>5.33468929</v>
      </c>
      <c r="AL37" s="223">
        <v>5.001435389999999</v>
      </c>
      <c r="AM37" s="188">
        <v>4.66920798</v>
      </c>
      <c r="AN37" s="188">
        <v>4.59928047</v>
      </c>
      <c r="AO37" s="188">
        <v>4.35149848</v>
      </c>
      <c r="AP37" s="188">
        <v>4.5268251500000005</v>
      </c>
      <c r="AQ37" s="188">
        <v>4.52009768</v>
      </c>
      <c r="AR37" s="125">
        <v>4.35271096</v>
      </c>
      <c r="AS37" s="125">
        <v>4.37364582</v>
      </c>
      <c r="AT37" s="125">
        <v>4.49393625</v>
      </c>
      <c r="AU37" s="125">
        <v>4.44884221</v>
      </c>
      <c r="AV37" s="125">
        <v>4.42323047</v>
      </c>
      <c r="AW37" s="257">
        <v>4.23694004</v>
      </c>
    </row>
    <row r="38" spans="2:49" s="133" customFormat="1" ht="14.25">
      <c r="B38" s="117" t="s">
        <v>49</v>
      </c>
      <c r="C38" s="395">
        <v>3.6249057</v>
      </c>
      <c r="D38" s="395">
        <v>3.87526365</v>
      </c>
      <c r="E38" s="395">
        <v>3.95415436</v>
      </c>
      <c r="F38" s="173">
        <v>4.10885913</v>
      </c>
      <c r="G38" s="418">
        <v>4.21765542</v>
      </c>
      <c r="H38" s="395">
        <v>4.24418355</v>
      </c>
      <c r="I38" s="395">
        <v>4.48041015</v>
      </c>
      <c r="J38" s="480">
        <v>4.60989264</v>
      </c>
      <c r="K38" s="395">
        <v>4.98665512</v>
      </c>
      <c r="L38" s="395">
        <v>4.97054876</v>
      </c>
      <c r="M38" s="395">
        <v>4.44377607</v>
      </c>
      <c r="N38" s="173">
        <v>4.40050997</v>
      </c>
      <c r="O38" s="418">
        <v>4.19175893</v>
      </c>
      <c r="P38" s="395">
        <v>4.44251283</v>
      </c>
      <c r="Q38" s="395">
        <v>4.75396361</v>
      </c>
      <c r="R38" s="480">
        <v>5.02774275</v>
      </c>
      <c r="S38" s="395">
        <v>4.92353081</v>
      </c>
      <c r="T38" s="395">
        <v>4.45595938</v>
      </c>
      <c r="U38" s="395">
        <v>4.97127193</v>
      </c>
      <c r="V38" s="173">
        <v>4.92341942</v>
      </c>
      <c r="W38" s="418">
        <v>5.25325513</v>
      </c>
      <c r="X38" s="395">
        <v>3.9791550499999997</v>
      </c>
      <c r="Y38" s="395">
        <v>4.02609885</v>
      </c>
      <c r="Z38" s="480">
        <v>3.89982681</v>
      </c>
      <c r="AA38" s="140">
        <v>4.01448335</v>
      </c>
      <c r="AB38" s="140">
        <v>4.85091235</v>
      </c>
      <c r="AC38" s="137">
        <v>4.88727169</v>
      </c>
      <c r="AD38" s="173">
        <v>4.940759519999999</v>
      </c>
      <c r="AE38" s="174">
        <v>4.75950082</v>
      </c>
      <c r="AF38" s="188">
        <v>4.72622104</v>
      </c>
      <c r="AG38" s="188">
        <v>4.83009746</v>
      </c>
      <c r="AH38" s="429">
        <v>4.80919431</v>
      </c>
      <c r="AI38" s="435">
        <v>4.80392962</v>
      </c>
      <c r="AJ38" s="188">
        <v>4.66813565</v>
      </c>
      <c r="AK38" s="188">
        <v>4.32436488</v>
      </c>
      <c r="AL38" s="223">
        <v>4.04364054</v>
      </c>
      <c r="AM38" s="188">
        <v>3.77503601</v>
      </c>
      <c r="AN38" s="188">
        <v>3.7184999</v>
      </c>
      <c r="AO38" s="188">
        <v>3.51816914</v>
      </c>
      <c r="AP38" s="188">
        <v>3.65992006</v>
      </c>
      <c r="AQ38" s="188">
        <v>3.65448092</v>
      </c>
      <c r="AR38" s="125">
        <v>3.5093978900000002</v>
      </c>
      <c r="AS38" s="125">
        <v>3.52627674</v>
      </c>
      <c r="AT38" s="125">
        <v>3.62326158</v>
      </c>
      <c r="AU38" s="125">
        <v>3.58690425</v>
      </c>
      <c r="AV38" s="125">
        <v>3.56625465</v>
      </c>
      <c r="AW38" s="257">
        <v>3.4160569300000003</v>
      </c>
    </row>
    <row r="39" spans="2:49" s="133" customFormat="1" ht="14.25">
      <c r="B39" s="117" t="s">
        <v>50</v>
      </c>
      <c r="C39" s="395">
        <v>3.76567651</v>
      </c>
      <c r="D39" s="395">
        <v>3.98107146</v>
      </c>
      <c r="E39" s="395">
        <v>3.99210351</v>
      </c>
      <c r="F39" s="173">
        <v>4.14829302</v>
      </c>
      <c r="G39" s="418">
        <v>4.29709772</v>
      </c>
      <c r="H39" s="395">
        <v>4.32412552</v>
      </c>
      <c r="I39" s="395">
        <v>4.5648016</v>
      </c>
      <c r="J39" s="480">
        <v>4.69672298</v>
      </c>
      <c r="K39" s="395">
        <v>5.08058203</v>
      </c>
      <c r="L39" s="395">
        <v>5.06748202</v>
      </c>
      <c r="M39" s="395">
        <v>4.75860191</v>
      </c>
      <c r="N39" s="173">
        <v>4.71227056</v>
      </c>
      <c r="O39" s="418">
        <v>4.6019567</v>
      </c>
      <c r="P39" s="395">
        <v>4.87724892</v>
      </c>
      <c r="Q39" s="395">
        <v>5.07487684</v>
      </c>
      <c r="R39" s="480">
        <v>4.78827022</v>
      </c>
      <c r="S39" s="395">
        <v>4.51143948</v>
      </c>
      <c r="T39" s="395">
        <v>3.92671385</v>
      </c>
      <c r="U39" s="395">
        <v>4.38082143</v>
      </c>
      <c r="V39" s="173">
        <v>4.09205331</v>
      </c>
      <c r="W39" s="418">
        <v>4.36619313</v>
      </c>
      <c r="X39" s="395">
        <v>4.35159701</v>
      </c>
      <c r="Y39" s="395">
        <v>4.01792056</v>
      </c>
      <c r="Z39" s="480">
        <v>3.78103123</v>
      </c>
      <c r="AA39" s="140">
        <v>3.8921951299999997</v>
      </c>
      <c r="AB39" s="140">
        <v>3.70706231</v>
      </c>
      <c r="AC39" s="137">
        <v>3.73484808</v>
      </c>
      <c r="AD39" s="173">
        <v>3.76671609</v>
      </c>
      <c r="AE39" s="174">
        <v>3.62852882</v>
      </c>
      <c r="AF39" s="188">
        <v>3.5940498599999997</v>
      </c>
      <c r="AG39" s="188">
        <v>3.67304257</v>
      </c>
      <c r="AH39" s="429">
        <v>3.64733602</v>
      </c>
      <c r="AI39" s="435">
        <v>3.64334323</v>
      </c>
      <c r="AJ39" s="188">
        <v>3.53025733</v>
      </c>
      <c r="AK39" s="188">
        <v>3.27028218</v>
      </c>
      <c r="AL39" s="223">
        <v>3.04869292</v>
      </c>
      <c r="AM39" s="188">
        <v>2.84617918</v>
      </c>
      <c r="AN39" s="188">
        <v>2.80355392</v>
      </c>
      <c r="AO39" s="188">
        <v>2.65251503</v>
      </c>
      <c r="AP39" s="188">
        <v>2.75938779</v>
      </c>
      <c r="AQ39" s="188">
        <v>2.7552869700000002</v>
      </c>
      <c r="AR39" s="125">
        <v>2.63731826</v>
      </c>
      <c r="AS39" s="125">
        <v>2.65000274</v>
      </c>
      <c r="AT39" s="125">
        <v>2.72288701</v>
      </c>
      <c r="AU39" s="125">
        <v>2.6955644199999997</v>
      </c>
      <c r="AV39" s="125">
        <v>2.6800462</v>
      </c>
      <c r="AW39" s="257">
        <v>2.56717237</v>
      </c>
    </row>
    <row r="40" spans="2:49" s="133" customFormat="1" ht="14.25">
      <c r="B40" s="117" t="s">
        <v>54</v>
      </c>
      <c r="C40" s="204">
        <v>0</v>
      </c>
      <c r="D40" s="204">
        <v>0</v>
      </c>
      <c r="E40" s="204">
        <v>0</v>
      </c>
      <c r="F40" s="203">
        <v>0</v>
      </c>
      <c r="G40" s="181">
        <v>0</v>
      </c>
      <c r="H40" s="204">
        <v>0</v>
      </c>
      <c r="I40" s="204">
        <v>0</v>
      </c>
      <c r="J40" s="466">
        <v>0</v>
      </c>
      <c r="K40" s="204">
        <v>0</v>
      </c>
      <c r="L40" s="204">
        <v>0</v>
      </c>
      <c r="M40" s="204">
        <v>0</v>
      </c>
      <c r="N40" s="203">
        <v>0</v>
      </c>
      <c r="O40" s="181">
        <v>0</v>
      </c>
      <c r="P40" s="204">
        <v>0</v>
      </c>
      <c r="Q40" s="204">
        <v>0</v>
      </c>
      <c r="R40" s="466">
        <v>0</v>
      </c>
      <c r="S40" s="156">
        <v>0.33537629</v>
      </c>
      <c r="T40" s="156">
        <v>0.30352672</v>
      </c>
      <c r="U40" s="156">
        <v>0.33862828</v>
      </c>
      <c r="V40" s="172">
        <v>0.32941846</v>
      </c>
      <c r="W40" s="419">
        <v>0.35148726</v>
      </c>
      <c r="X40" s="156">
        <v>0.360002</v>
      </c>
      <c r="Y40" s="156">
        <v>0.33239738</v>
      </c>
      <c r="Z40" s="216">
        <v>0.14610365</v>
      </c>
      <c r="AA40" s="134">
        <v>0.21486070999999998</v>
      </c>
      <c r="AB40" s="134">
        <v>0.21063273999999998</v>
      </c>
      <c r="AC40" s="210">
        <v>0.21221151000000002</v>
      </c>
      <c r="AD40" s="172">
        <v>0.6995840799999999</v>
      </c>
      <c r="AE40" s="200">
        <v>0.6739188500000001</v>
      </c>
      <c r="AF40" s="172">
        <v>1.6983369099999999</v>
      </c>
      <c r="AG40" s="172">
        <v>1.73566423</v>
      </c>
      <c r="AH40" s="216">
        <v>2.1314879700000002</v>
      </c>
      <c r="AI40" s="436">
        <v>2.1291546</v>
      </c>
      <c r="AJ40" s="172">
        <v>2.1314879700000002</v>
      </c>
      <c r="AK40" s="172">
        <v>1.97452097</v>
      </c>
      <c r="AL40" s="113">
        <v>1.90387112</v>
      </c>
      <c r="AM40" s="172">
        <v>1.77740379</v>
      </c>
      <c r="AN40" s="172">
        <v>1.7507848400000001</v>
      </c>
      <c r="AO40" s="172">
        <v>1.6564629199999998</v>
      </c>
      <c r="AP40" s="172">
        <v>1.72320364</v>
      </c>
      <c r="AQ40" s="172">
        <v>1.72064273</v>
      </c>
      <c r="AR40" s="125">
        <v>1.7054738</v>
      </c>
      <c r="AS40" s="125">
        <v>1.71367647</v>
      </c>
      <c r="AT40" s="125">
        <v>1.76080852</v>
      </c>
      <c r="AU40" s="125">
        <v>1.74313983</v>
      </c>
      <c r="AV40" s="125">
        <v>1.73310467</v>
      </c>
      <c r="AW40" s="257">
        <v>1.66011258</v>
      </c>
    </row>
    <row r="41" spans="2:49" s="133" customFormat="1" ht="14.25">
      <c r="B41" s="117" t="s">
        <v>52</v>
      </c>
      <c r="C41" s="204">
        <v>0</v>
      </c>
      <c r="D41" s="204">
        <v>0</v>
      </c>
      <c r="E41" s="204">
        <v>0</v>
      </c>
      <c r="F41" s="203">
        <v>0</v>
      </c>
      <c r="G41" s="181">
        <v>0</v>
      </c>
      <c r="H41" s="204">
        <v>0</v>
      </c>
      <c r="I41" s="204">
        <v>0</v>
      </c>
      <c r="J41" s="466">
        <v>0</v>
      </c>
      <c r="K41" s="204">
        <v>0</v>
      </c>
      <c r="L41" s="204">
        <v>0</v>
      </c>
      <c r="M41" s="204">
        <v>0</v>
      </c>
      <c r="N41" s="203">
        <v>0</v>
      </c>
      <c r="O41" s="181">
        <v>0</v>
      </c>
      <c r="P41" s="204">
        <v>0</v>
      </c>
      <c r="Q41" s="204">
        <v>0</v>
      </c>
      <c r="R41" s="466">
        <v>0</v>
      </c>
      <c r="S41" s="156">
        <v>0</v>
      </c>
      <c r="T41" s="156">
        <v>0.32042809</v>
      </c>
      <c r="U41" s="156">
        <v>0.74007185</v>
      </c>
      <c r="V41" s="172">
        <v>0.7582626</v>
      </c>
      <c r="W41" s="419">
        <v>0.73454609</v>
      </c>
      <c r="X41" s="156">
        <v>0.75911448</v>
      </c>
      <c r="Y41" s="156">
        <v>0.78243407</v>
      </c>
      <c r="Z41" s="216">
        <v>0.8023475600000001</v>
      </c>
      <c r="AA41" s="134">
        <v>0.7421266999999999</v>
      </c>
      <c r="AB41" s="134">
        <v>0.9540280800000001</v>
      </c>
      <c r="AC41" s="135">
        <v>1.12822981</v>
      </c>
      <c r="AD41" s="172">
        <v>1.26222511</v>
      </c>
      <c r="AE41" s="174">
        <v>1.1030529199999999</v>
      </c>
      <c r="AF41" s="188">
        <v>1.0628088399999998</v>
      </c>
      <c r="AG41" s="188">
        <v>1.04385407</v>
      </c>
      <c r="AH41" s="429">
        <v>0.96699786</v>
      </c>
      <c r="AI41" s="435">
        <v>0.9796810300000001</v>
      </c>
      <c r="AJ41" s="188">
        <v>0.98423605</v>
      </c>
      <c r="AK41" s="172">
        <v>0.9002614099999999</v>
      </c>
      <c r="AL41" s="113">
        <v>0.80652393</v>
      </c>
      <c r="AM41" s="172">
        <v>0.8829247800000001</v>
      </c>
      <c r="AN41" s="172">
        <v>0.87236963</v>
      </c>
      <c r="AO41" s="172">
        <v>0.8550352</v>
      </c>
      <c r="AP41" s="172">
        <v>0.8165881</v>
      </c>
      <c r="AQ41" s="172">
        <v>0.7786250800000001</v>
      </c>
      <c r="AR41" s="129">
        <v>0.80323089</v>
      </c>
      <c r="AS41" s="129">
        <v>0.79995959</v>
      </c>
      <c r="AT41" s="129">
        <v>0.81805499</v>
      </c>
      <c r="AU41" s="129">
        <v>0.80549302</v>
      </c>
      <c r="AV41" s="129">
        <v>0.81801704</v>
      </c>
      <c r="AW41" s="432">
        <v>0.79645201</v>
      </c>
    </row>
    <row r="42" spans="2:49" s="133" customFormat="1" ht="14.25">
      <c r="B42" s="117" t="s">
        <v>53</v>
      </c>
      <c r="C42" s="204">
        <v>0</v>
      </c>
      <c r="D42" s="204">
        <v>0</v>
      </c>
      <c r="E42" s="204">
        <v>0</v>
      </c>
      <c r="F42" s="203">
        <v>0</v>
      </c>
      <c r="G42" s="181">
        <v>0</v>
      </c>
      <c r="H42" s="204">
        <v>0</v>
      </c>
      <c r="I42" s="204">
        <v>0</v>
      </c>
      <c r="J42" s="466">
        <v>0</v>
      </c>
      <c r="K42" s="204">
        <v>0</v>
      </c>
      <c r="L42" s="204">
        <v>0</v>
      </c>
      <c r="M42" s="204">
        <v>0</v>
      </c>
      <c r="N42" s="203">
        <v>0</v>
      </c>
      <c r="O42" s="181">
        <v>0</v>
      </c>
      <c r="P42" s="204">
        <v>0</v>
      </c>
      <c r="Q42" s="204">
        <v>0</v>
      </c>
      <c r="R42" s="466">
        <v>0</v>
      </c>
      <c r="S42" s="156">
        <v>0.13170764</v>
      </c>
      <c r="T42" s="156">
        <v>0.1191998</v>
      </c>
      <c r="U42" s="156">
        <v>0.13298474</v>
      </c>
      <c r="V42" s="172">
        <v>0.1293679</v>
      </c>
      <c r="W42" s="419">
        <v>0.13803468</v>
      </c>
      <c r="X42" s="156">
        <v>0.14137855</v>
      </c>
      <c r="Y42" s="156">
        <v>0.13053777</v>
      </c>
      <c r="Z42" s="216">
        <v>0.0822754</v>
      </c>
      <c r="AA42" s="134">
        <v>0.36998422</v>
      </c>
      <c r="AB42" s="134">
        <v>0.36270377000000004</v>
      </c>
      <c r="AC42" s="210">
        <v>0.76068795</v>
      </c>
      <c r="AD42" s="172">
        <v>0.79031925</v>
      </c>
      <c r="AE42" s="200">
        <v>0.76132528</v>
      </c>
      <c r="AF42" s="172">
        <v>0.77754434</v>
      </c>
      <c r="AG42" s="172">
        <v>0.79463379</v>
      </c>
      <c r="AH42" s="216">
        <v>0.8144014300000001</v>
      </c>
      <c r="AI42" s="436">
        <v>0.8135098900000001</v>
      </c>
      <c r="AJ42" s="172">
        <v>0.8144014300000001</v>
      </c>
      <c r="AK42" s="172">
        <v>0.7544272900000001</v>
      </c>
      <c r="AL42" s="113">
        <v>0.7274333199999999</v>
      </c>
      <c r="AM42" s="172">
        <v>0.67911253</v>
      </c>
      <c r="AN42" s="172">
        <v>0.66894193</v>
      </c>
      <c r="AO42" s="172">
        <v>0.6329033000000001</v>
      </c>
      <c r="AP42" s="172">
        <v>0.65840367</v>
      </c>
      <c r="AQ42" s="172">
        <v>0.6574251999999999</v>
      </c>
      <c r="AR42" s="129">
        <v>0.6516294300000001</v>
      </c>
      <c r="AS42" s="129">
        <v>0.65476352</v>
      </c>
      <c r="AT42" s="129">
        <v>0.6727717900000001</v>
      </c>
      <c r="AU42" s="129">
        <v>0.6660209100000001</v>
      </c>
      <c r="AV42" s="129">
        <v>0.6621866700000001</v>
      </c>
      <c r="AW42" s="432">
        <v>0.63429777</v>
      </c>
    </row>
    <row r="43" spans="2:49" s="133" customFormat="1" ht="14.25">
      <c r="B43" s="117" t="s">
        <v>55</v>
      </c>
      <c r="C43" s="204">
        <v>0</v>
      </c>
      <c r="D43" s="204">
        <v>0</v>
      </c>
      <c r="E43" s="204">
        <v>0</v>
      </c>
      <c r="F43" s="203">
        <v>0</v>
      </c>
      <c r="G43" s="181">
        <v>0</v>
      </c>
      <c r="H43" s="204">
        <v>0</v>
      </c>
      <c r="I43" s="204">
        <v>0</v>
      </c>
      <c r="J43" s="466">
        <v>0</v>
      </c>
      <c r="K43" s="204">
        <v>0</v>
      </c>
      <c r="L43" s="204">
        <v>0</v>
      </c>
      <c r="M43" s="204">
        <v>0</v>
      </c>
      <c r="N43" s="203">
        <v>0</v>
      </c>
      <c r="O43" s="181">
        <v>0</v>
      </c>
      <c r="P43" s="204">
        <v>0</v>
      </c>
      <c r="Q43" s="204">
        <v>0</v>
      </c>
      <c r="R43" s="466">
        <v>0</v>
      </c>
      <c r="S43" s="156">
        <v>0.22153698</v>
      </c>
      <c r="T43" s="156">
        <v>0.20049835</v>
      </c>
      <c r="U43" s="156">
        <v>0.22368512</v>
      </c>
      <c r="V43" s="172">
        <v>0.21760146</v>
      </c>
      <c r="W43" s="419">
        <v>0.23217928</v>
      </c>
      <c r="X43" s="156">
        <v>0.23780379999999998</v>
      </c>
      <c r="Y43" s="156">
        <v>0.21956922</v>
      </c>
      <c r="Z43" s="216">
        <v>0.048311150000000004</v>
      </c>
      <c r="AA43" s="134">
        <v>0.18458515</v>
      </c>
      <c r="AB43" s="134">
        <v>0.18095294</v>
      </c>
      <c r="AC43" s="210">
        <v>0.57757483</v>
      </c>
      <c r="AD43" s="172">
        <v>0.60007327</v>
      </c>
      <c r="AE43" s="200">
        <v>0.5780587399999999</v>
      </c>
      <c r="AF43" s="172">
        <v>0.5903735400000001</v>
      </c>
      <c r="AG43" s="172">
        <v>0.60334921</v>
      </c>
      <c r="AH43" s="216">
        <v>0.61835838</v>
      </c>
      <c r="AI43" s="436">
        <v>0.61768145</v>
      </c>
      <c r="AJ43" s="172">
        <v>0.61835838</v>
      </c>
      <c r="AK43" s="172">
        <v>0.57282124</v>
      </c>
      <c r="AL43" s="113">
        <v>0.55232526</v>
      </c>
      <c r="AM43" s="172">
        <v>0.5156362800000001</v>
      </c>
      <c r="AN43" s="172">
        <v>0.5079139500000001</v>
      </c>
      <c r="AO43" s="172">
        <v>0.48055054999999997</v>
      </c>
      <c r="AP43" s="172">
        <v>0.49991247</v>
      </c>
      <c r="AQ43" s="172">
        <v>0.49916953000000003</v>
      </c>
      <c r="AR43" s="129">
        <v>0.49476892</v>
      </c>
      <c r="AS43" s="129">
        <v>0.49714857</v>
      </c>
      <c r="AT43" s="129">
        <v>0.51082188</v>
      </c>
      <c r="AU43" s="129">
        <v>0.50569608</v>
      </c>
      <c r="AV43" s="129">
        <v>0.50278482</v>
      </c>
      <c r="AW43" s="432">
        <v>0.48160934000000005</v>
      </c>
    </row>
    <row r="44" spans="2:49" s="133" customFormat="1" ht="14.25">
      <c r="B44" s="117" t="s">
        <v>56</v>
      </c>
      <c r="C44" s="204">
        <v>0</v>
      </c>
      <c r="D44" s="204">
        <v>0</v>
      </c>
      <c r="E44" s="204">
        <v>0</v>
      </c>
      <c r="F44" s="203">
        <v>0</v>
      </c>
      <c r="G44" s="181">
        <v>0</v>
      </c>
      <c r="H44" s="204">
        <v>0</v>
      </c>
      <c r="I44" s="204">
        <v>0</v>
      </c>
      <c r="J44" s="466">
        <v>0</v>
      </c>
      <c r="K44" s="204">
        <v>0</v>
      </c>
      <c r="L44" s="204">
        <v>0</v>
      </c>
      <c r="M44" s="204">
        <v>0</v>
      </c>
      <c r="N44" s="203">
        <v>0</v>
      </c>
      <c r="O44" s="181">
        <v>0</v>
      </c>
      <c r="P44" s="204">
        <v>0</v>
      </c>
      <c r="Q44" s="204">
        <v>0</v>
      </c>
      <c r="R44" s="466">
        <v>0</v>
      </c>
      <c r="S44" s="156">
        <v>0.51624547</v>
      </c>
      <c r="T44" s="156">
        <v>0.46721935</v>
      </c>
      <c r="U44" s="156">
        <v>0.52125126</v>
      </c>
      <c r="V44" s="172">
        <v>0.50707457</v>
      </c>
      <c r="W44" s="419">
        <v>0.54104512</v>
      </c>
      <c r="X44" s="156">
        <v>0.55415187</v>
      </c>
      <c r="Y44" s="156">
        <v>0.51166002</v>
      </c>
      <c r="Z44" s="216">
        <v>0.0014527000000000001</v>
      </c>
      <c r="AA44" s="134">
        <v>0.46574209000000005</v>
      </c>
      <c r="AB44" s="134">
        <v>0.45657734</v>
      </c>
      <c r="AC44" s="210">
        <v>0.45999955</v>
      </c>
      <c r="AD44" s="172">
        <v>0.47791805</v>
      </c>
      <c r="AE44" s="200">
        <v>0.46038495</v>
      </c>
      <c r="AF44" s="172">
        <v>0.47019286</v>
      </c>
      <c r="AG44" s="172">
        <v>0.48052711</v>
      </c>
      <c r="AH44" s="216">
        <v>0.4924809</v>
      </c>
      <c r="AI44" s="436">
        <v>0.49194178000000005</v>
      </c>
      <c r="AJ44" s="172">
        <v>0.4924809</v>
      </c>
      <c r="AK44" s="172">
        <v>0.45621363</v>
      </c>
      <c r="AL44" s="113">
        <v>0.43988996999999996</v>
      </c>
      <c r="AM44" s="172">
        <v>0.41066965</v>
      </c>
      <c r="AN44" s="172">
        <v>0.40451934</v>
      </c>
      <c r="AO44" s="172">
        <v>0.38272623</v>
      </c>
      <c r="AP44" s="172">
        <v>0.39814669</v>
      </c>
      <c r="AQ44" s="172">
        <v>0.39755499</v>
      </c>
      <c r="AR44" s="129">
        <v>0.39405021</v>
      </c>
      <c r="AS44" s="129">
        <v>0.39594544</v>
      </c>
      <c r="AT44" s="129">
        <v>0.40683531</v>
      </c>
      <c r="AU44" s="129">
        <v>0.40275296000000005</v>
      </c>
      <c r="AV44" s="129">
        <v>0.40043433</v>
      </c>
      <c r="AW44" s="432">
        <v>0.38356949</v>
      </c>
    </row>
    <row r="45" spans="2:49" s="133" customFormat="1" ht="14.25">
      <c r="B45" s="117" t="s">
        <v>57</v>
      </c>
      <c r="C45" s="204">
        <v>0</v>
      </c>
      <c r="D45" s="204">
        <v>0</v>
      </c>
      <c r="E45" s="204">
        <v>0</v>
      </c>
      <c r="F45" s="203">
        <v>0</v>
      </c>
      <c r="G45" s="181">
        <v>0</v>
      </c>
      <c r="H45" s="204">
        <v>0</v>
      </c>
      <c r="I45" s="204">
        <v>0</v>
      </c>
      <c r="J45" s="466">
        <v>0</v>
      </c>
      <c r="K45" s="204">
        <v>0</v>
      </c>
      <c r="L45" s="204">
        <v>0</v>
      </c>
      <c r="M45" s="204">
        <v>0</v>
      </c>
      <c r="N45" s="203">
        <v>0</v>
      </c>
      <c r="O45" s="181">
        <v>0</v>
      </c>
      <c r="P45" s="204">
        <v>0</v>
      </c>
      <c r="Q45" s="204">
        <v>0</v>
      </c>
      <c r="R45" s="466">
        <v>0</v>
      </c>
      <c r="S45" s="156">
        <v>0.51018489</v>
      </c>
      <c r="T45" s="156">
        <v>0.46173431</v>
      </c>
      <c r="U45" s="156">
        <v>0.5151319</v>
      </c>
      <c r="V45" s="172">
        <v>0.50112165</v>
      </c>
      <c r="W45" s="419">
        <v>0.53469341</v>
      </c>
      <c r="X45" s="156">
        <v>0.54764628</v>
      </c>
      <c r="Y45" s="156">
        <v>0.50565327</v>
      </c>
      <c r="Z45" s="216">
        <v>0.02648172</v>
      </c>
      <c r="AA45" s="134">
        <v>0.08881505</v>
      </c>
      <c r="AB45" s="134">
        <v>0.08706736999999999</v>
      </c>
      <c r="AC45" s="210">
        <v>0.08771997</v>
      </c>
      <c r="AD45" s="113">
        <v>0.15958070000000002</v>
      </c>
      <c r="AE45" s="200">
        <v>0.15372626</v>
      </c>
      <c r="AF45" s="172">
        <v>0.1570012</v>
      </c>
      <c r="AG45" s="172">
        <v>0.16045189</v>
      </c>
      <c r="AH45" s="216">
        <v>0.24907854999999998</v>
      </c>
      <c r="AI45" s="436">
        <v>0.24880588</v>
      </c>
      <c r="AJ45" s="172">
        <v>0.24907854999999998</v>
      </c>
      <c r="AK45" s="172">
        <v>0.23073591000000002</v>
      </c>
      <c r="AL45" s="113">
        <v>0.22248001</v>
      </c>
      <c r="AM45" s="172">
        <v>0.20770146</v>
      </c>
      <c r="AN45" s="172">
        <v>0.20459085999999999</v>
      </c>
      <c r="AO45" s="172">
        <v>0.19356871</v>
      </c>
      <c r="AP45" s="172">
        <v>0.20136781</v>
      </c>
      <c r="AQ45" s="172">
        <v>0.20106854999999998</v>
      </c>
      <c r="AR45" s="129">
        <v>0.19929596</v>
      </c>
      <c r="AS45" s="129">
        <v>0.2002545</v>
      </c>
      <c r="AT45" s="129">
        <v>0.20576219</v>
      </c>
      <c r="AU45" s="129">
        <v>0.20369748999999998</v>
      </c>
      <c r="AV45" s="129">
        <v>0.20252481</v>
      </c>
      <c r="AW45" s="432">
        <v>0.1939952</v>
      </c>
    </row>
    <row r="46" spans="2:49" s="133" customFormat="1" ht="14.25">
      <c r="B46" s="117" t="s">
        <v>58</v>
      </c>
      <c r="C46" s="204">
        <v>0</v>
      </c>
      <c r="D46" s="204">
        <v>0</v>
      </c>
      <c r="E46" s="204">
        <v>0</v>
      </c>
      <c r="F46" s="203">
        <v>0</v>
      </c>
      <c r="G46" s="181">
        <v>0</v>
      </c>
      <c r="H46" s="204">
        <v>0</v>
      </c>
      <c r="I46" s="204">
        <v>0</v>
      </c>
      <c r="J46" s="466">
        <v>0</v>
      </c>
      <c r="K46" s="204">
        <v>0</v>
      </c>
      <c r="L46" s="204">
        <v>0</v>
      </c>
      <c r="M46" s="204">
        <v>0</v>
      </c>
      <c r="N46" s="203">
        <v>0</v>
      </c>
      <c r="O46" s="181">
        <v>0</v>
      </c>
      <c r="P46" s="204">
        <v>0</v>
      </c>
      <c r="Q46" s="204">
        <v>0</v>
      </c>
      <c r="R46" s="466">
        <v>0</v>
      </c>
      <c r="S46" s="204">
        <v>0</v>
      </c>
      <c r="T46" s="204">
        <v>0</v>
      </c>
      <c r="U46" s="204">
        <v>0</v>
      </c>
      <c r="V46" s="203">
        <v>0</v>
      </c>
      <c r="W46" s="428">
        <v>0</v>
      </c>
      <c r="X46" s="204">
        <v>0</v>
      </c>
      <c r="Y46" s="204">
        <v>0</v>
      </c>
      <c r="Z46" s="217">
        <v>0</v>
      </c>
      <c r="AA46" s="134">
        <v>0.034917199999999995</v>
      </c>
      <c r="AB46" s="134">
        <v>0.03423011</v>
      </c>
      <c r="AC46" s="210">
        <v>0.03448667</v>
      </c>
      <c r="AD46" s="113">
        <v>0.10427378999999999</v>
      </c>
      <c r="AE46" s="200">
        <v>0.10044836</v>
      </c>
      <c r="AF46" s="172">
        <v>0.10258828</v>
      </c>
      <c r="AG46" s="172">
        <v>0.10484304</v>
      </c>
      <c r="AH46" s="216">
        <v>0.10745116</v>
      </c>
      <c r="AI46" s="436">
        <v>0.10733353</v>
      </c>
      <c r="AJ46" s="172">
        <v>0.10745116</v>
      </c>
      <c r="AK46" s="172">
        <v>0.09953825</v>
      </c>
      <c r="AL46" s="113">
        <v>0.09597669</v>
      </c>
      <c r="AM46" s="172">
        <v>0.08960131</v>
      </c>
      <c r="AN46" s="172">
        <v>0.08825941000000001</v>
      </c>
      <c r="AO46" s="172">
        <v>0.08350450999999999</v>
      </c>
      <c r="AP46" s="172">
        <v>0.086869</v>
      </c>
      <c r="AQ46" s="172">
        <v>0.0867399</v>
      </c>
      <c r="AR46" s="129">
        <v>0.08597522</v>
      </c>
      <c r="AS46" s="129">
        <v>0.08638873</v>
      </c>
      <c r="AT46" s="129">
        <v>0.08876472</v>
      </c>
      <c r="AU46" s="129">
        <v>0.08787400999999999</v>
      </c>
      <c r="AV46" s="129">
        <v>0.08736813</v>
      </c>
      <c r="AW46" s="432">
        <v>0.0836885</v>
      </c>
    </row>
    <row r="47" spans="2:49" s="133" customFormat="1" ht="14.25">
      <c r="B47" s="117" t="s">
        <v>59</v>
      </c>
      <c r="C47" s="204">
        <v>0</v>
      </c>
      <c r="D47" s="204">
        <v>0</v>
      </c>
      <c r="E47" s="204">
        <v>0</v>
      </c>
      <c r="F47" s="203">
        <v>0</v>
      </c>
      <c r="G47" s="181">
        <v>0</v>
      </c>
      <c r="H47" s="204">
        <v>0</v>
      </c>
      <c r="I47" s="204">
        <v>0</v>
      </c>
      <c r="J47" s="466">
        <v>0</v>
      </c>
      <c r="K47" s="204">
        <v>0</v>
      </c>
      <c r="L47" s="204">
        <v>0</v>
      </c>
      <c r="M47" s="204">
        <v>0</v>
      </c>
      <c r="N47" s="203">
        <v>0</v>
      </c>
      <c r="O47" s="181">
        <v>0</v>
      </c>
      <c r="P47" s="204">
        <v>0</v>
      </c>
      <c r="Q47" s="204">
        <v>0</v>
      </c>
      <c r="R47" s="466">
        <v>0</v>
      </c>
      <c r="S47" s="156">
        <v>0.02291972</v>
      </c>
      <c r="T47" s="156">
        <v>0.02074311</v>
      </c>
      <c r="U47" s="156">
        <v>0.02314196</v>
      </c>
      <c r="V47" s="172">
        <v>0.02251256</v>
      </c>
      <c r="W47" s="419">
        <v>0.024020740000000002</v>
      </c>
      <c r="X47" s="156">
        <v>0.02460264</v>
      </c>
      <c r="Y47" s="156">
        <v>0.02271614</v>
      </c>
      <c r="Z47" s="216">
        <v>0.00153482</v>
      </c>
      <c r="AA47" s="134">
        <v>0.02548073</v>
      </c>
      <c r="AB47" s="134">
        <v>0.02497933</v>
      </c>
      <c r="AC47" s="210">
        <v>0.02516656</v>
      </c>
      <c r="AD47" s="113">
        <v>0.09459063000000001</v>
      </c>
      <c r="AE47" s="200">
        <v>0.09112044</v>
      </c>
      <c r="AF47" s="172">
        <v>0.09306164</v>
      </c>
      <c r="AG47" s="172">
        <v>0.09510702</v>
      </c>
      <c r="AH47" s="216">
        <v>0.09747294000000001</v>
      </c>
      <c r="AI47" s="436">
        <v>0.09736624</v>
      </c>
      <c r="AJ47" s="172">
        <v>0.09747294000000001</v>
      </c>
      <c r="AK47" s="172">
        <v>0.09029484</v>
      </c>
      <c r="AL47" s="113">
        <v>0.08706402</v>
      </c>
      <c r="AM47" s="172">
        <v>0.08128067</v>
      </c>
      <c r="AN47" s="172">
        <v>0.08006339</v>
      </c>
      <c r="AO47" s="172">
        <v>0.07575005</v>
      </c>
      <c r="AP47" s="172">
        <v>0.0788021</v>
      </c>
      <c r="AQ47" s="172">
        <v>0.07868499000000001</v>
      </c>
      <c r="AR47" s="129">
        <v>0.07799131</v>
      </c>
      <c r="AS47" s="129">
        <v>0.07836641999999999</v>
      </c>
      <c r="AT47" s="129">
        <v>0.08052177</v>
      </c>
      <c r="AU47" s="129">
        <v>0.07971378</v>
      </c>
      <c r="AV47" s="129">
        <v>0.07925486999999999</v>
      </c>
      <c r="AW47" s="432">
        <v>0.07591695</v>
      </c>
    </row>
    <row r="48" spans="2:49" s="133" customFormat="1" ht="14.25">
      <c r="B48" s="117" t="s">
        <v>60</v>
      </c>
      <c r="C48" s="204">
        <v>0</v>
      </c>
      <c r="D48" s="204">
        <v>0</v>
      </c>
      <c r="E48" s="204">
        <v>0</v>
      </c>
      <c r="F48" s="203">
        <v>0</v>
      </c>
      <c r="G48" s="181">
        <v>0</v>
      </c>
      <c r="H48" s="204">
        <v>0</v>
      </c>
      <c r="I48" s="204">
        <v>0</v>
      </c>
      <c r="J48" s="466">
        <v>0</v>
      </c>
      <c r="K48" s="204">
        <v>0</v>
      </c>
      <c r="L48" s="204">
        <v>0</v>
      </c>
      <c r="M48" s="204">
        <v>0</v>
      </c>
      <c r="N48" s="203">
        <v>0</v>
      </c>
      <c r="O48" s="181">
        <v>0</v>
      </c>
      <c r="P48" s="204">
        <v>0</v>
      </c>
      <c r="Q48" s="204">
        <v>0</v>
      </c>
      <c r="R48" s="466">
        <v>0</v>
      </c>
      <c r="S48" s="156">
        <v>0.05950209</v>
      </c>
      <c r="T48" s="156">
        <v>0.05385138</v>
      </c>
      <c r="U48" s="156">
        <v>0.06007906</v>
      </c>
      <c r="V48" s="172">
        <v>0.05844506</v>
      </c>
      <c r="W48" s="419">
        <v>0.06236048</v>
      </c>
      <c r="X48" s="156">
        <v>0.06387116000000001</v>
      </c>
      <c r="Y48" s="156">
        <v>0.058973580000000005</v>
      </c>
      <c r="Z48" s="216">
        <v>0.02545536</v>
      </c>
      <c r="AA48" s="134">
        <v>0.03370484</v>
      </c>
      <c r="AB48" s="134">
        <v>0.03304161</v>
      </c>
      <c r="AC48" s="210">
        <v>0.033289269999999996</v>
      </c>
      <c r="AD48" s="113">
        <v>0.03458599</v>
      </c>
      <c r="AE48" s="200">
        <v>0.03331716</v>
      </c>
      <c r="AF48" s="172">
        <v>0.034026940000000006</v>
      </c>
      <c r="AG48" s="172">
        <v>0.034774809999999996</v>
      </c>
      <c r="AH48" s="216">
        <v>0.03563988</v>
      </c>
      <c r="AI48" s="436">
        <v>0.03560086</v>
      </c>
      <c r="AJ48" s="172">
        <v>0.03563988</v>
      </c>
      <c r="AK48" s="172">
        <v>0.03301529</v>
      </c>
      <c r="AL48" s="113">
        <v>0.03183398</v>
      </c>
      <c r="AM48" s="172">
        <v>0.02971936</v>
      </c>
      <c r="AN48" s="172">
        <v>0.02927427</v>
      </c>
      <c r="AO48" s="172">
        <v>0.02769715</v>
      </c>
      <c r="AP48" s="172">
        <v>0.028813099999999998</v>
      </c>
      <c r="AQ48" s="172">
        <v>0.02877028</v>
      </c>
      <c r="AR48" s="129">
        <v>0.02851664</v>
      </c>
      <c r="AS48" s="129">
        <v>0.0286538</v>
      </c>
      <c r="AT48" s="129">
        <v>0.02944188</v>
      </c>
      <c r="AU48" s="129">
        <v>0.02914644</v>
      </c>
      <c r="AV48" s="129">
        <v>0.02897865</v>
      </c>
      <c r="AW48" s="432">
        <v>0.02775817</v>
      </c>
    </row>
    <row r="49" spans="2:49" s="133" customFormat="1" ht="14.25">
      <c r="B49" s="117" t="s">
        <v>126</v>
      </c>
      <c r="C49" s="204"/>
      <c r="D49" s="204"/>
      <c r="E49" s="204"/>
      <c r="F49" s="203"/>
      <c r="G49" s="181"/>
      <c r="H49" s="204"/>
      <c r="I49" s="204"/>
      <c r="J49" s="466"/>
      <c r="K49" s="204"/>
      <c r="L49" s="204"/>
      <c r="M49" s="204"/>
      <c r="N49" s="203"/>
      <c r="O49" s="181"/>
      <c r="P49" s="204"/>
      <c r="Q49" s="204"/>
      <c r="R49" s="466"/>
      <c r="S49" s="156"/>
      <c r="T49" s="156"/>
      <c r="U49" s="156"/>
      <c r="V49" s="172"/>
      <c r="W49" s="419"/>
      <c r="X49" s="156"/>
      <c r="Y49" s="156"/>
      <c r="Z49" s="216"/>
      <c r="AA49" s="204">
        <v>0</v>
      </c>
      <c r="AB49" s="204">
        <v>0</v>
      </c>
      <c r="AC49" s="204">
        <v>0</v>
      </c>
      <c r="AD49" s="201">
        <v>0</v>
      </c>
      <c r="AE49" s="181">
        <v>0</v>
      </c>
      <c r="AF49" s="203">
        <v>0</v>
      </c>
      <c r="AG49" s="203">
        <v>0</v>
      </c>
      <c r="AH49" s="217">
        <v>0</v>
      </c>
      <c r="AI49" s="202">
        <v>0</v>
      </c>
      <c r="AJ49" s="203">
        <v>0</v>
      </c>
      <c r="AK49" s="203">
        <v>0</v>
      </c>
      <c r="AL49" s="196">
        <v>0</v>
      </c>
      <c r="AM49" s="172"/>
      <c r="AN49" s="172"/>
      <c r="AO49" s="203">
        <v>0</v>
      </c>
      <c r="AP49" s="203">
        <v>0</v>
      </c>
      <c r="AQ49" s="203">
        <v>0</v>
      </c>
      <c r="AR49" s="203">
        <v>0</v>
      </c>
      <c r="AS49" s="129">
        <v>0.24908370999999999</v>
      </c>
      <c r="AT49" s="129">
        <v>0.25471808</v>
      </c>
      <c r="AU49" s="129">
        <v>0.54149169</v>
      </c>
      <c r="AV49" s="129">
        <v>0.54991094</v>
      </c>
      <c r="AW49" s="432">
        <v>0.53541388</v>
      </c>
    </row>
    <row r="50" spans="2:49" s="133" customFormat="1" ht="14.25">
      <c r="B50" s="117" t="s">
        <v>97</v>
      </c>
      <c r="C50" s="156">
        <v>74.481748</v>
      </c>
      <c r="D50" s="156">
        <v>72.2331139</v>
      </c>
      <c r="E50" s="156">
        <v>70.17474295</v>
      </c>
      <c r="F50" s="172">
        <v>65.13769938</v>
      </c>
      <c r="G50" s="419">
        <v>65.780939</v>
      </c>
      <c r="H50" s="156">
        <v>58.733584</v>
      </c>
      <c r="I50" s="156">
        <v>62.7697096</v>
      </c>
      <c r="J50" s="216">
        <v>60.2069301</v>
      </c>
      <c r="K50" s="156">
        <v>67.33987965</v>
      </c>
      <c r="L50" s="156">
        <v>58.3901873</v>
      </c>
      <c r="M50" s="156">
        <v>58.3033894</v>
      </c>
      <c r="N50" s="172">
        <v>62.52060818</v>
      </c>
      <c r="O50" s="419">
        <v>57.42848338</v>
      </c>
      <c r="P50" s="156">
        <v>54.2637495</v>
      </c>
      <c r="Q50" s="156">
        <v>57.5599765</v>
      </c>
      <c r="R50" s="216">
        <v>50.36225458</v>
      </c>
      <c r="S50" s="156">
        <v>49.7531275</v>
      </c>
      <c r="T50" s="156">
        <v>46.7459265</v>
      </c>
      <c r="U50" s="156">
        <v>49.5234033</v>
      </c>
      <c r="V50" s="172">
        <v>44.38499768</v>
      </c>
      <c r="W50" s="419">
        <v>43.46641303</v>
      </c>
      <c r="X50" s="204">
        <v>0</v>
      </c>
      <c r="Y50" s="204">
        <v>0</v>
      </c>
      <c r="Z50" s="466">
        <v>0</v>
      </c>
      <c r="AA50" s="204">
        <v>0</v>
      </c>
      <c r="AB50" s="204">
        <v>0</v>
      </c>
      <c r="AC50" s="204">
        <v>0</v>
      </c>
      <c r="AD50" s="201">
        <v>0</v>
      </c>
      <c r="AE50" s="181">
        <v>0</v>
      </c>
      <c r="AF50" s="203">
        <v>0</v>
      </c>
      <c r="AG50" s="203">
        <v>0</v>
      </c>
      <c r="AH50" s="217">
        <v>0</v>
      </c>
      <c r="AI50" s="202">
        <v>0</v>
      </c>
      <c r="AJ50" s="203">
        <v>0</v>
      </c>
      <c r="AK50" s="203">
        <v>0</v>
      </c>
      <c r="AL50" s="196">
        <v>0</v>
      </c>
      <c r="AM50" s="203">
        <v>0</v>
      </c>
      <c r="AN50" s="203">
        <v>0</v>
      </c>
      <c r="AO50" s="203">
        <v>0</v>
      </c>
      <c r="AP50" s="203">
        <v>0</v>
      </c>
      <c r="AQ50" s="203">
        <v>0</v>
      </c>
      <c r="AR50" s="203">
        <v>0</v>
      </c>
      <c r="AS50" s="203">
        <v>0</v>
      </c>
      <c r="AT50" s="203">
        <v>0</v>
      </c>
      <c r="AU50" s="203">
        <v>0</v>
      </c>
      <c r="AV50" s="203">
        <v>0</v>
      </c>
      <c r="AW50" s="217">
        <v>0</v>
      </c>
    </row>
    <row r="51" spans="2:49" s="133" customFormat="1" ht="14.25">
      <c r="B51" s="117" t="s">
        <v>98</v>
      </c>
      <c r="C51" s="395">
        <v>6.64225105</v>
      </c>
      <c r="D51" s="395">
        <v>7.05077548</v>
      </c>
      <c r="E51" s="395">
        <v>6.97441851</v>
      </c>
      <c r="F51" s="173">
        <v>7.27679721</v>
      </c>
      <c r="G51" s="418">
        <v>7.33239071</v>
      </c>
      <c r="H51" s="395">
        <v>7.22596804</v>
      </c>
      <c r="I51" s="395">
        <v>7.6281575</v>
      </c>
      <c r="J51" s="480">
        <v>7.68292306</v>
      </c>
      <c r="K51" s="204">
        <v>0</v>
      </c>
      <c r="L51" s="204">
        <v>0</v>
      </c>
      <c r="M51" s="204">
        <v>0</v>
      </c>
      <c r="N51" s="203">
        <v>0</v>
      </c>
      <c r="O51" s="181">
        <v>0</v>
      </c>
      <c r="P51" s="204">
        <v>0</v>
      </c>
      <c r="Q51" s="204">
        <v>0</v>
      </c>
      <c r="R51" s="466">
        <v>0</v>
      </c>
      <c r="S51" s="204">
        <v>0</v>
      </c>
      <c r="T51" s="204">
        <v>0</v>
      </c>
      <c r="U51" s="204">
        <v>0</v>
      </c>
      <c r="V51" s="203">
        <v>0</v>
      </c>
      <c r="W51" s="181">
        <v>0</v>
      </c>
      <c r="X51" s="204">
        <v>0</v>
      </c>
      <c r="Y51" s="204">
        <v>0</v>
      </c>
      <c r="Z51" s="466">
        <v>0</v>
      </c>
      <c r="AA51" s="204">
        <v>0</v>
      </c>
      <c r="AB51" s="204">
        <v>0</v>
      </c>
      <c r="AC51" s="204">
        <v>0</v>
      </c>
      <c r="AD51" s="201">
        <v>0</v>
      </c>
      <c r="AE51" s="181">
        <v>0</v>
      </c>
      <c r="AF51" s="203">
        <v>0</v>
      </c>
      <c r="AG51" s="203">
        <v>0</v>
      </c>
      <c r="AH51" s="217">
        <v>0</v>
      </c>
      <c r="AI51" s="202">
        <v>0</v>
      </c>
      <c r="AJ51" s="203">
        <v>0</v>
      </c>
      <c r="AK51" s="203">
        <v>0</v>
      </c>
      <c r="AL51" s="196">
        <v>0</v>
      </c>
      <c r="AM51" s="203">
        <v>0</v>
      </c>
      <c r="AN51" s="203">
        <v>0</v>
      </c>
      <c r="AO51" s="203">
        <v>0</v>
      </c>
      <c r="AP51" s="203">
        <v>0</v>
      </c>
      <c r="AQ51" s="203">
        <v>0</v>
      </c>
      <c r="AR51" s="203">
        <v>0</v>
      </c>
      <c r="AS51" s="203">
        <v>0</v>
      </c>
      <c r="AT51" s="203">
        <v>0</v>
      </c>
      <c r="AU51" s="203">
        <v>0</v>
      </c>
      <c r="AV51" s="203">
        <v>0</v>
      </c>
      <c r="AW51" s="217">
        <v>0</v>
      </c>
    </row>
    <row r="52" spans="2:49" s="133" customFormat="1" ht="14.25">
      <c r="B52" s="117" t="s">
        <v>100</v>
      </c>
      <c r="C52" s="204">
        <v>0</v>
      </c>
      <c r="D52" s="204">
        <v>0</v>
      </c>
      <c r="E52" s="204">
        <v>0</v>
      </c>
      <c r="F52" s="173">
        <v>1.04669061</v>
      </c>
      <c r="G52" s="181">
        <v>0</v>
      </c>
      <c r="H52" s="204">
        <v>0</v>
      </c>
      <c r="I52" s="204">
        <v>0</v>
      </c>
      <c r="J52" s="466">
        <v>0</v>
      </c>
      <c r="K52" s="204">
        <v>0</v>
      </c>
      <c r="L52" s="204">
        <v>0</v>
      </c>
      <c r="M52" s="204">
        <v>0</v>
      </c>
      <c r="N52" s="203">
        <v>0</v>
      </c>
      <c r="O52" s="181">
        <v>0</v>
      </c>
      <c r="P52" s="204">
        <v>0</v>
      </c>
      <c r="Q52" s="204">
        <v>0</v>
      </c>
      <c r="R52" s="466">
        <v>0</v>
      </c>
      <c r="S52" s="204">
        <v>0</v>
      </c>
      <c r="T52" s="204">
        <v>0</v>
      </c>
      <c r="U52" s="204">
        <v>0</v>
      </c>
      <c r="V52" s="203">
        <v>0</v>
      </c>
      <c r="W52" s="181">
        <v>0</v>
      </c>
      <c r="X52" s="204">
        <v>0</v>
      </c>
      <c r="Y52" s="204">
        <v>0</v>
      </c>
      <c r="Z52" s="466">
        <v>0</v>
      </c>
      <c r="AA52" s="204">
        <v>0</v>
      </c>
      <c r="AB52" s="204">
        <v>0</v>
      </c>
      <c r="AC52" s="204">
        <v>0</v>
      </c>
      <c r="AD52" s="201">
        <v>0</v>
      </c>
      <c r="AE52" s="181">
        <v>0</v>
      </c>
      <c r="AF52" s="203">
        <v>0</v>
      </c>
      <c r="AG52" s="203">
        <v>0</v>
      </c>
      <c r="AH52" s="217">
        <v>0</v>
      </c>
      <c r="AI52" s="202">
        <v>0</v>
      </c>
      <c r="AJ52" s="203">
        <v>0</v>
      </c>
      <c r="AK52" s="203">
        <v>0</v>
      </c>
      <c r="AL52" s="196">
        <v>0</v>
      </c>
      <c r="AM52" s="203">
        <v>0</v>
      </c>
      <c r="AN52" s="203">
        <v>0</v>
      </c>
      <c r="AO52" s="203">
        <v>0</v>
      </c>
      <c r="AP52" s="203">
        <v>0</v>
      </c>
      <c r="AQ52" s="203">
        <v>0</v>
      </c>
      <c r="AR52" s="203">
        <v>0</v>
      </c>
      <c r="AS52" s="203">
        <v>0</v>
      </c>
      <c r="AT52" s="203">
        <v>0</v>
      </c>
      <c r="AU52" s="203">
        <v>0</v>
      </c>
      <c r="AV52" s="203">
        <v>0</v>
      </c>
      <c r="AW52" s="217">
        <v>0</v>
      </c>
    </row>
    <row r="53" spans="2:49" s="133" customFormat="1" ht="14.25">
      <c r="B53" s="117" t="s">
        <v>99</v>
      </c>
      <c r="C53" s="156">
        <v>0.96905245</v>
      </c>
      <c r="D53" s="156">
        <v>0.99024029</v>
      </c>
      <c r="E53" s="156">
        <v>0.90438623</v>
      </c>
      <c r="F53" s="172">
        <v>0.9092614</v>
      </c>
      <c r="G53" s="419">
        <v>0.83696667</v>
      </c>
      <c r="H53" s="156">
        <v>0.82958433</v>
      </c>
      <c r="I53" s="156">
        <v>0.77987259</v>
      </c>
      <c r="J53" s="216">
        <v>0.79074395</v>
      </c>
      <c r="K53" s="204">
        <v>0</v>
      </c>
      <c r="L53" s="204">
        <v>0</v>
      </c>
      <c r="M53" s="204">
        <v>0</v>
      </c>
      <c r="N53" s="203">
        <v>0</v>
      </c>
      <c r="O53" s="181">
        <v>0</v>
      </c>
      <c r="P53" s="204">
        <v>0</v>
      </c>
      <c r="Q53" s="204">
        <v>0</v>
      </c>
      <c r="R53" s="466">
        <v>0</v>
      </c>
      <c r="S53" s="204">
        <v>0</v>
      </c>
      <c r="T53" s="204">
        <v>0</v>
      </c>
      <c r="U53" s="204">
        <v>0</v>
      </c>
      <c r="V53" s="203">
        <v>0</v>
      </c>
      <c r="W53" s="181">
        <v>0</v>
      </c>
      <c r="X53" s="204">
        <v>0</v>
      </c>
      <c r="Y53" s="204">
        <v>0</v>
      </c>
      <c r="Z53" s="466">
        <v>0</v>
      </c>
      <c r="AA53" s="204">
        <v>0</v>
      </c>
      <c r="AB53" s="204">
        <v>0</v>
      </c>
      <c r="AC53" s="204">
        <v>0</v>
      </c>
      <c r="AD53" s="201">
        <v>0</v>
      </c>
      <c r="AE53" s="181">
        <v>0</v>
      </c>
      <c r="AF53" s="203">
        <v>0</v>
      </c>
      <c r="AG53" s="203">
        <v>0</v>
      </c>
      <c r="AH53" s="217">
        <v>0</v>
      </c>
      <c r="AI53" s="202">
        <v>0</v>
      </c>
      <c r="AJ53" s="203">
        <v>0</v>
      </c>
      <c r="AK53" s="203">
        <v>0</v>
      </c>
      <c r="AL53" s="196">
        <v>0</v>
      </c>
      <c r="AM53" s="203">
        <v>0</v>
      </c>
      <c r="AN53" s="203">
        <v>0</v>
      </c>
      <c r="AO53" s="203">
        <v>0</v>
      </c>
      <c r="AP53" s="203">
        <v>0</v>
      </c>
      <c r="AQ53" s="203">
        <v>0</v>
      </c>
      <c r="AR53" s="203">
        <v>0</v>
      </c>
      <c r="AS53" s="203">
        <v>0</v>
      </c>
      <c r="AT53" s="203">
        <v>0</v>
      </c>
      <c r="AU53" s="203">
        <v>0</v>
      </c>
      <c r="AV53" s="203">
        <v>0</v>
      </c>
      <c r="AW53" s="217">
        <v>0</v>
      </c>
    </row>
    <row r="54" spans="2:49" s="133" customFormat="1" ht="14.25">
      <c r="B54" s="117" t="s">
        <v>81</v>
      </c>
      <c r="C54" s="156">
        <v>0.442</v>
      </c>
      <c r="D54" s="156">
        <v>0.442</v>
      </c>
      <c r="E54" s="156">
        <v>0.442</v>
      </c>
      <c r="F54" s="172">
        <v>0.69607784</v>
      </c>
      <c r="G54" s="419">
        <v>0.69607784</v>
      </c>
      <c r="H54" s="156">
        <v>0.69607784</v>
      </c>
      <c r="I54" s="156">
        <v>0.69607784</v>
      </c>
      <c r="J54" s="216">
        <v>0.69607784</v>
      </c>
      <c r="K54" s="156">
        <v>0.85668687</v>
      </c>
      <c r="L54" s="156">
        <v>0.85668687</v>
      </c>
      <c r="M54" s="156">
        <v>0.82991541</v>
      </c>
      <c r="N54" s="172">
        <v>0.82991541</v>
      </c>
      <c r="O54" s="419">
        <v>0.80314395</v>
      </c>
      <c r="P54" s="156">
        <v>0.80314395</v>
      </c>
      <c r="Q54" s="156">
        <v>0.77544933</v>
      </c>
      <c r="R54" s="480">
        <v>1.10996963</v>
      </c>
      <c r="S54" s="395">
        <v>1.14004321</v>
      </c>
      <c r="T54" s="395">
        <v>1.14004321</v>
      </c>
      <c r="U54" s="395">
        <v>1.19283</v>
      </c>
      <c r="V54" s="173">
        <v>1.79976546</v>
      </c>
      <c r="W54" s="418">
        <v>2.30988244</v>
      </c>
      <c r="X54" s="395">
        <v>2.74401288</v>
      </c>
      <c r="Y54" s="395">
        <v>2.97422462</v>
      </c>
      <c r="Z54" s="480">
        <v>3.0342246200000003</v>
      </c>
      <c r="AA54" s="140">
        <v>2.90779859</v>
      </c>
      <c r="AB54" s="140">
        <v>2.90779859</v>
      </c>
      <c r="AC54" s="135">
        <v>2.76554052</v>
      </c>
      <c r="AD54" s="201">
        <v>0</v>
      </c>
      <c r="AE54" s="181">
        <v>0</v>
      </c>
      <c r="AF54" s="203">
        <v>0</v>
      </c>
      <c r="AG54" s="203">
        <v>0</v>
      </c>
      <c r="AH54" s="217">
        <v>0</v>
      </c>
      <c r="AI54" s="202">
        <v>0</v>
      </c>
      <c r="AJ54" s="203">
        <v>0</v>
      </c>
      <c r="AK54" s="203">
        <v>0</v>
      </c>
      <c r="AL54" s="196">
        <v>0</v>
      </c>
      <c r="AM54" s="203">
        <v>0</v>
      </c>
      <c r="AN54" s="203">
        <v>0</v>
      </c>
      <c r="AO54" s="203">
        <v>0</v>
      </c>
      <c r="AP54" s="203">
        <v>0</v>
      </c>
      <c r="AQ54" s="203">
        <v>0</v>
      </c>
      <c r="AR54" s="203">
        <v>0</v>
      </c>
      <c r="AS54" s="129">
        <v>0.050397</v>
      </c>
      <c r="AT54" s="129">
        <v>0.050397</v>
      </c>
      <c r="AU54" s="129">
        <v>0.050397</v>
      </c>
      <c r="AV54" s="129">
        <v>0.050397</v>
      </c>
      <c r="AW54" s="432">
        <v>0.017497</v>
      </c>
    </row>
    <row r="55" spans="2:49" ht="9.75" customHeight="1">
      <c r="B55" s="49"/>
      <c r="C55" s="393"/>
      <c r="D55" s="393"/>
      <c r="E55" s="393"/>
      <c r="F55" s="472"/>
      <c r="G55" s="416"/>
      <c r="H55" s="393"/>
      <c r="I55" s="393"/>
      <c r="J55" s="478"/>
      <c r="K55" s="393"/>
      <c r="L55" s="393"/>
      <c r="M55" s="393"/>
      <c r="N55" s="472"/>
      <c r="O55" s="416"/>
      <c r="P55" s="393"/>
      <c r="Q55" s="393"/>
      <c r="R55" s="478"/>
      <c r="S55" s="393"/>
      <c r="T55" s="393"/>
      <c r="U55" s="393"/>
      <c r="V55" s="472"/>
      <c r="W55" s="416"/>
      <c r="X55" s="393"/>
      <c r="Y55" s="393"/>
      <c r="Z55" s="478"/>
      <c r="AA55" s="139"/>
      <c r="AB55" s="139"/>
      <c r="AC55" s="82"/>
      <c r="AD55" s="110"/>
      <c r="AE55" s="248"/>
      <c r="AF55" s="191"/>
      <c r="AG55" s="191"/>
      <c r="AH55" s="218"/>
      <c r="AI55" s="437"/>
      <c r="AJ55" s="191"/>
      <c r="AK55" s="191"/>
      <c r="AL55" s="218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218"/>
    </row>
    <row r="56" spans="2:49" s="29" customFormat="1" ht="15.75">
      <c r="B56" s="85" t="s">
        <v>103</v>
      </c>
      <c r="C56" s="390">
        <f aca="true" t="shared" si="7" ref="C56:AR56">+C57</f>
        <v>371.56976782000004</v>
      </c>
      <c r="D56" s="390">
        <f t="shared" si="7"/>
        <v>374.58217006</v>
      </c>
      <c r="E56" s="390">
        <f t="shared" si="7"/>
        <v>358.56391378999996</v>
      </c>
      <c r="F56" s="451">
        <f t="shared" si="7"/>
        <v>355.80445629999997</v>
      </c>
      <c r="G56" s="417">
        <f t="shared" si="7"/>
        <v>345.42443814</v>
      </c>
      <c r="H56" s="390">
        <f t="shared" si="7"/>
        <v>338.07568795</v>
      </c>
      <c r="I56" s="390">
        <f t="shared" si="7"/>
        <v>335.03056836</v>
      </c>
      <c r="J56" s="481">
        <f t="shared" si="7"/>
        <v>337.76436189</v>
      </c>
      <c r="K56" s="390">
        <f t="shared" si="7"/>
        <v>341.39592142</v>
      </c>
      <c r="L56" s="390">
        <f t="shared" si="7"/>
        <v>331.99670012</v>
      </c>
      <c r="M56" s="390">
        <f t="shared" si="7"/>
        <v>318.19764375</v>
      </c>
      <c r="N56" s="451">
        <f t="shared" si="7"/>
        <v>337.82585435000004</v>
      </c>
      <c r="O56" s="417">
        <f t="shared" si="7"/>
        <v>316.45890269</v>
      </c>
      <c r="P56" s="390">
        <f t="shared" si="7"/>
        <v>320.61877365</v>
      </c>
      <c r="Q56" s="390">
        <f t="shared" si="7"/>
        <v>315.86077799000003</v>
      </c>
      <c r="R56" s="481">
        <f t="shared" si="7"/>
        <v>310.03472114</v>
      </c>
      <c r="S56" s="390">
        <f t="shared" si="7"/>
        <v>294.36347284000004</v>
      </c>
      <c r="T56" s="390">
        <f t="shared" si="7"/>
        <v>298.39582337</v>
      </c>
      <c r="U56" s="390">
        <f t="shared" si="7"/>
        <v>293.3002229</v>
      </c>
      <c r="V56" s="451">
        <f t="shared" si="7"/>
        <v>294.41019719</v>
      </c>
      <c r="W56" s="417">
        <f t="shared" si="7"/>
        <v>278.221239</v>
      </c>
      <c r="X56" s="390">
        <f t="shared" si="7"/>
        <v>281.03307429</v>
      </c>
      <c r="Y56" s="390">
        <f t="shared" si="7"/>
        <v>270.56567187999997</v>
      </c>
      <c r="Z56" s="481">
        <f t="shared" si="7"/>
        <v>267.45787085999996</v>
      </c>
      <c r="AA56" s="99">
        <f t="shared" si="7"/>
        <v>245.873126</v>
      </c>
      <c r="AB56" s="99">
        <f t="shared" si="7"/>
        <v>249.61240377000001</v>
      </c>
      <c r="AC56" s="99">
        <f t="shared" si="7"/>
        <v>238.15472313</v>
      </c>
      <c r="AD56" s="105">
        <f t="shared" si="7"/>
        <v>228.93939381</v>
      </c>
      <c r="AE56" s="246">
        <f t="shared" si="7"/>
        <v>233.72768685000003</v>
      </c>
      <c r="AF56" s="121">
        <f t="shared" si="7"/>
        <v>227.95613308</v>
      </c>
      <c r="AG56" s="121">
        <f t="shared" si="7"/>
        <v>215.21834078999998</v>
      </c>
      <c r="AH56" s="214">
        <f t="shared" si="7"/>
        <v>206.09408189999996</v>
      </c>
      <c r="AI56" s="438">
        <f t="shared" si="7"/>
        <v>214.42295671000005</v>
      </c>
      <c r="AJ56" s="121">
        <f t="shared" si="7"/>
        <v>213.01537262</v>
      </c>
      <c r="AK56" s="121">
        <f t="shared" si="7"/>
        <v>192.28242195</v>
      </c>
      <c r="AL56" s="185">
        <f t="shared" si="7"/>
        <v>190.84246723</v>
      </c>
      <c r="AM56" s="121">
        <f t="shared" si="7"/>
        <v>52.81697956</v>
      </c>
      <c r="AN56" s="121">
        <f t="shared" si="7"/>
        <v>52.31811613</v>
      </c>
      <c r="AO56" s="121">
        <f t="shared" si="7"/>
        <v>52.29149012</v>
      </c>
      <c r="AP56" s="121">
        <f t="shared" si="7"/>
        <v>56.43874204</v>
      </c>
      <c r="AQ56" s="121">
        <f t="shared" si="7"/>
        <v>54.609320950000004</v>
      </c>
      <c r="AR56" s="121">
        <f t="shared" si="7"/>
        <v>55.79506393</v>
      </c>
      <c r="AS56" s="121">
        <f>+AS57</f>
        <v>55.63742127999999</v>
      </c>
      <c r="AT56" s="121">
        <f>+AT57</f>
        <v>56.50943059</v>
      </c>
      <c r="AU56" s="121">
        <f>+AU57</f>
        <v>56.68066976</v>
      </c>
      <c r="AV56" s="121">
        <f>+AV57</f>
        <v>57.29627126</v>
      </c>
      <c r="AW56" s="214">
        <f>+AW57</f>
        <v>71.98604298000001</v>
      </c>
    </row>
    <row r="57" spans="2:49" ht="14.25">
      <c r="B57" s="73" t="s">
        <v>41</v>
      </c>
      <c r="C57" s="396">
        <v>371.56976782000004</v>
      </c>
      <c r="D57" s="396">
        <v>374.58217006</v>
      </c>
      <c r="E57" s="396">
        <v>358.56391378999996</v>
      </c>
      <c r="F57" s="473">
        <v>355.80445629999997</v>
      </c>
      <c r="G57" s="425">
        <v>345.42443814</v>
      </c>
      <c r="H57" s="396">
        <v>338.07568795</v>
      </c>
      <c r="I57" s="396">
        <v>335.03056836</v>
      </c>
      <c r="J57" s="482">
        <v>337.76436189</v>
      </c>
      <c r="K57" s="396">
        <v>341.39592142</v>
      </c>
      <c r="L57" s="396">
        <v>331.99670012</v>
      </c>
      <c r="M57" s="396">
        <v>318.19764375</v>
      </c>
      <c r="N57" s="473">
        <v>337.82585435000004</v>
      </c>
      <c r="O57" s="425">
        <v>316.45890269</v>
      </c>
      <c r="P57" s="396">
        <v>320.61877365</v>
      </c>
      <c r="Q57" s="396">
        <v>315.86077799000003</v>
      </c>
      <c r="R57" s="482">
        <v>310.03472114</v>
      </c>
      <c r="S57" s="396">
        <v>294.36347284000004</v>
      </c>
      <c r="T57" s="396">
        <v>298.39582337</v>
      </c>
      <c r="U57" s="396">
        <v>293.3002229</v>
      </c>
      <c r="V57" s="473">
        <v>294.41019719</v>
      </c>
      <c r="W57" s="425">
        <v>278.221239</v>
      </c>
      <c r="X57" s="396">
        <v>281.03307429</v>
      </c>
      <c r="Y57" s="396">
        <v>270.56567187999997</v>
      </c>
      <c r="Z57" s="482">
        <v>267.45787085999996</v>
      </c>
      <c r="AA57" s="141">
        <v>245.873126</v>
      </c>
      <c r="AB57" s="141">
        <v>249.61240377000001</v>
      </c>
      <c r="AC57" s="81">
        <v>238.15472313</v>
      </c>
      <c r="AD57" s="114">
        <v>228.93939381</v>
      </c>
      <c r="AE57" s="247">
        <v>233.72768685000003</v>
      </c>
      <c r="AF57" s="187">
        <v>227.95613308</v>
      </c>
      <c r="AG57" s="187">
        <v>215.21834078999998</v>
      </c>
      <c r="AH57" s="215">
        <v>206.09408189999996</v>
      </c>
      <c r="AI57" s="434">
        <v>214.42295671000005</v>
      </c>
      <c r="AJ57" s="187">
        <v>213.01537262</v>
      </c>
      <c r="AK57" s="187">
        <v>192.28242195</v>
      </c>
      <c r="AL57" s="215">
        <v>190.84246723</v>
      </c>
      <c r="AM57" s="187">
        <v>52.81697956</v>
      </c>
      <c r="AN57" s="187">
        <v>52.31811613</v>
      </c>
      <c r="AO57" s="187">
        <v>52.29149012</v>
      </c>
      <c r="AP57" s="187">
        <v>56.43874204</v>
      </c>
      <c r="AQ57" s="187">
        <v>54.609320950000004</v>
      </c>
      <c r="AR57" s="125">
        <v>55.79506393</v>
      </c>
      <c r="AS57" s="125">
        <v>55.63742127999999</v>
      </c>
      <c r="AT57" s="125">
        <v>56.50943059</v>
      </c>
      <c r="AU57" s="125">
        <v>56.68066976</v>
      </c>
      <c r="AV57" s="125">
        <v>57.29627126</v>
      </c>
      <c r="AW57" s="257">
        <v>71.98604298000001</v>
      </c>
    </row>
    <row r="58" spans="2:49" ht="14.25">
      <c r="B58" s="68"/>
      <c r="C58" s="396"/>
      <c r="D58" s="396"/>
      <c r="E58" s="396"/>
      <c r="F58" s="473"/>
      <c r="G58" s="425"/>
      <c r="H58" s="396"/>
      <c r="I58" s="396"/>
      <c r="J58" s="482"/>
      <c r="K58" s="396"/>
      <c r="L58" s="396"/>
      <c r="M58" s="396"/>
      <c r="N58" s="473"/>
      <c r="O58" s="425"/>
      <c r="P58" s="396"/>
      <c r="Q58" s="396"/>
      <c r="R58" s="482"/>
      <c r="S58" s="396"/>
      <c r="T58" s="396"/>
      <c r="U58" s="396"/>
      <c r="V58" s="473"/>
      <c r="W58" s="425"/>
      <c r="X58" s="396"/>
      <c r="Y58" s="396"/>
      <c r="Z58" s="482"/>
      <c r="AA58" s="141"/>
      <c r="AB58" s="141"/>
      <c r="AC58" s="81"/>
      <c r="AD58" s="114"/>
      <c r="AE58" s="247"/>
      <c r="AF58" s="187"/>
      <c r="AG58" s="187"/>
      <c r="AH58" s="215"/>
      <c r="AI58" s="434"/>
      <c r="AJ58" s="187"/>
      <c r="AK58" s="187"/>
      <c r="AL58" s="215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215"/>
    </row>
    <row r="59" spans="2:49" ht="16.5">
      <c r="B59" s="221" t="s">
        <v>90</v>
      </c>
      <c r="C59" s="463">
        <f>+C75+C61</f>
        <v>0</v>
      </c>
      <c r="D59" s="463">
        <f>+D75+D61</f>
        <v>0</v>
      </c>
      <c r="E59" s="463">
        <f>+E61+E75</f>
        <v>0</v>
      </c>
      <c r="F59" s="483">
        <f>+F75+F61</f>
        <v>0</v>
      </c>
      <c r="G59" s="463">
        <f>+G75+G61</f>
        <v>0</v>
      </c>
      <c r="H59" s="463">
        <f>+H75+H61</f>
        <v>0</v>
      </c>
      <c r="I59" s="463">
        <f>+I61+I75</f>
        <v>0</v>
      </c>
      <c r="J59" s="483">
        <f>+J75+J61</f>
        <v>0</v>
      </c>
      <c r="K59" s="463">
        <f>+K75+K61</f>
        <v>0</v>
      </c>
      <c r="L59" s="463">
        <f>+L75+L61</f>
        <v>0</v>
      </c>
      <c r="M59" s="463">
        <f>+M61+M75</f>
        <v>0</v>
      </c>
      <c r="N59" s="483">
        <f>+N75+N61</f>
        <v>0</v>
      </c>
      <c r="O59" s="463">
        <f>+O75+O61</f>
        <v>0</v>
      </c>
      <c r="P59" s="463">
        <f>+P75+P61</f>
        <v>0</v>
      </c>
      <c r="Q59" s="463">
        <f>+Q61+Q75</f>
        <v>0</v>
      </c>
      <c r="R59" s="483">
        <f>+R75+R61</f>
        <v>0</v>
      </c>
      <c r="S59" s="463">
        <f>+S75+S61</f>
        <v>0</v>
      </c>
      <c r="T59" s="463">
        <f>+T75+T61</f>
        <v>0</v>
      </c>
      <c r="U59" s="463">
        <f>+U61+U75</f>
        <v>0</v>
      </c>
      <c r="V59" s="483">
        <f>+V75+V61</f>
        <v>0</v>
      </c>
      <c r="W59" s="463">
        <f>+W75+W61</f>
        <v>0</v>
      </c>
      <c r="X59" s="463">
        <f>+X75+X61</f>
        <v>0</v>
      </c>
      <c r="Y59" s="463">
        <f>+Y61+Y75</f>
        <v>11.01586565</v>
      </c>
      <c r="Z59" s="483">
        <f>+Z75+Z61</f>
        <v>11.32628678</v>
      </c>
      <c r="AA59" s="94">
        <f>+AA75+AA61</f>
        <v>16.928630700000003</v>
      </c>
      <c r="AB59" s="94">
        <f>+AB75+AB61</f>
        <v>623.0355294200862</v>
      </c>
      <c r="AC59" s="94">
        <f>+AC61+AC75</f>
        <v>653.2946899162971</v>
      </c>
      <c r="AD59" s="115">
        <f aca="true" t="shared" si="8" ref="AD59:AV59">+AD75+AD61</f>
        <v>701.1076091354762</v>
      </c>
      <c r="AE59" s="430">
        <f t="shared" si="8"/>
        <v>679.8341157425249</v>
      </c>
      <c r="AF59" s="77">
        <f t="shared" si="8"/>
        <v>627.7045010686526</v>
      </c>
      <c r="AG59" s="77">
        <f t="shared" si="8"/>
        <v>629.87231595289</v>
      </c>
      <c r="AH59" s="431">
        <f t="shared" si="8"/>
        <v>619.6320001087123</v>
      </c>
      <c r="AI59" s="439">
        <f t="shared" si="8"/>
        <v>614.8299777981844</v>
      </c>
      <c r="AJ59" s="77">
        <f t="shared" si="8"/>
        <v>615.186157090887</v>
      </c>
      <c r="AK59" s="77">
        <f t="shared" si="8"/>
        <v>592.0051248269712</v>
      </c>
      <c r="AL59" s="431">
        <f t="shared" si="8"/>
        <v>578.2993839313049</v>
      </c>
      <c r="AM59" s="77">
        <f t="shared" si="8"/>
        <v>591.7948587562329</v>
      </c>
      <c r="AN59" s="77">
        <f t="shared" si="8"/>
        <v>586.18301636</v>
      </c>
      <c r="AO59" s="77">
        <f t="shared" si="8"/>
        <v>574.2476673900001</v>
      </c>
      <c r="AP59" s="77">
        <f t="shared" si="8"/>
        <v>601.1931185699999</v>
      </c>
      <c r="AQ59" s="77">
        <f t="shared" si="8"/>
        <v>599.7737828999999</v>
      </c>
      <c r="AR59" s="77">
        <f t="shared" si="8"/>
        <v>562.32917747</v>
      </c>
      <c r="AS59" s="77">
        <f t="shared" si="8"/>
        <v>550.08068672</v>
      </c>
      <c r="AT59" s="77">
        <f t="shared" si="8"/>
        <v>553.7629083899999</v>
      </c>
      <c r="AU59" s="77">
        <f t="shared" si="8"/>
        <v>548.9058021999999</v>
      </c>
      <c r="AV59" s="77">
        <f t="shared" si="8"/>
        <v>540.77659638</v>
      </c>
      <c r="AW59" s="431">
        <f>+AW75+AW61</f>
        <v>538.8461688</v>
      </c>
    </row>
    <row r="60" spans="2:49" ht="7.5" customHeight="1">
      <c r="B60" s="72"/>
      <c r="C60" s="425"/>
      <c r="D60" s="396"/>
      <c r="E60" s="396"/>
      <c r="F60" s="488"/>
      <c r="G60" s="425"/>
      <c r="H60" s="396"/>
      <c r="I60" s="396"/>
      <c r="J60" s="488"/>
      <c r="K60" s="425"/>
      <c r="L60" s="396"/>
      <c r="M60" s="396"/>
      <c r="N60" s="488"/>
      <c r="O60" s="425"/>
      <c r="P60" s="396"/>
      <c r="Q60" s="396"/>
      <c r="R60" s="488"/>
      <c r="S60" s="425"/>
      <c r="T60" s="396"/>
      <c r="U60" s="396"/>
      <c r="V60" s="488"/>
      <c r="W60" s="425"/>
      <c r="X60" s="396"/>
      <c r="Y60" s="396"/>
      <c r="Z60" s="488"/>
      <c r="AA60" s="94"/>
      <c r="AB60" s="94"/>
      <c r="AC60" s="547"/>
      <c r="AD60" s="548"/>
      <c r="AE60" s="549"/>
      <c r="AF60" s="77"/>
      <c r="AG60" s="77"/>
      <c r="AH60" s="431"/>
      <c r="AI60" s="439"/>
      <c r="AJ60" s="77"/>
      <c r="AK60" s="77"/>
      <c r="AL60" s="119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431"/>
    </row>
    <row r="61" spans="2:49" s="29" customFormat="1" ht="15.75">
      <c r="B61" s="85" t="s">
        <v>124</v>
      </c>
      <c r="C61" s="227">
        <f aca="true" t="shared" si="9" ref="C61:Z61">SUM(C62:C68)</f>
        <v>0</v>
      </c>
      <c r="D61" s="179">
        <f t="shared" si="9"/>
        <v>0</v>
      </c>
      <c r="E61" s="179">
        <f t="shared" si="9"/>
        <v>0</v>
      </c>
      <c r="F61" s="485">
        <f t="shared" si="9"/>
        <v>0</v>
      </c>
      <c r="G61" s="227">
        <f t="shared" si="9"/>
        <v>0</v>
      </c>
      <c r="H61" s="179">
        <f t="shared" si="9"/>
        <v>0</v>
      </c>
      <c r="I61" s="179">
        <f t="shared" si="9"/>
        <v>0</v>
      </c>
      <c r="J61" s="485">
        <f t="shared" si="9"/>
        <v>0</v>
      </c>
      <c r="K61" s="227">
        <f t="shared" si="9"/>
        <v>0</v>
      </c>
      <c r="L61" s="179">
        <f t="shared" si="9"/>
        <v>0</v>
      </c>
      <c r="M61" s="179">
        <f t="shared" si="9"/>
        <v>0</v>
      </c>
      <c r="N61" s="485">
        <f t="shared" si="9"/>
        <v>0</v>
      </c>
      <c r="O61" s="227">
        <f t="shared" si="9"/>
        <v>0</v>
      </c>
      <c r="P61" s="179">
        <f t="shared" si="9"/>
        <v>0</v>
      </c>
      <c r="Q61" s="179">
        <f t="shared" si="9"/>
        <v>0</v>
      </c>
      <c r="R61" s="485">
        <f t="shared" si="9"/>
        <v>0</v>
      </c>
      <c r="S61" s="227">
        <f t="shared" si="9"/>
        <v>0</v>
      </c>
      <c r="T61" s="179">
        <f t="shared" si="9"/>
        <v>0</v>
      </c>
      <c r="U61" s="179">
        <f t="shared" si="9"/>
        <v>0</v>
      </c>
      <c r="V61" s="485">
        <f t="shared" si="9"/>
        <v>0</v>
      </c>
      <c r="W61" s="227">
        <f t="shared" si="9"/>
        <v>0</v>
      </c>
      <c r="X61" s="179">
        <f t="shared" si="9"/>
        <v>0</v>
      </c>
      <c r="Y61" s="179">
        <f t="shared" si="9"/>
        <v>0</v>
      </c>
      <c r="Z61" s="485">
        <f t="shared" si="9"/>
        <v>0</v>
      </c>
      <c r="AA61" s="179">
        <f aca="true" t="shared" si="10" ref="AA61:AL61">SUM(AA62:AA69)</f>
        <v>0</v>
      </c>
      <c r="AB61" s="550">
        <f t="shared" si="10"/>
        <v>588.8613468700862</v>
      </c>
      <c r="AC61" s="550">
        <f t="shared" si="10"/>
        <v>608.7022671862971</v>
      </c>
      <c r="AD61" s="511">
        <f t="shared" si="10"/>
        <v>631.4515945354763</v>
      </c>
      <c r="AE61" s="551">
        <f t="shared" si="10"/>
        <v>609.7715893625249</v>
      </c>
      <c r="AF61" s="445">
        <f t="shared" si="10"/>
        <v>555.1698262486526</v>
      </c>
      <c r="AG61" s="445">
        <f t="shared" si="10"/>
        <v>557.71949872289</v>
      </c>
      <c r="AH61" s="511">
        <f t="shared" si="10"/>
        <v>547.8404630987123</v>
      </c>
      <c r="AI61" s="512">
        <f t="shared" si="10"/>
        <v>544.0632490681844</v>
      </c>
      <c r="AJ61" s="445">
        <f t="shared" si="10"/>
        <v>544.0903985108871</v>
      </c>
      <c r="AK61" s="445">
        <f t="shared" si="10"/>
        <v>526.1364832269711</v>
      </c>
      <c r="AL61" s="511">
        <f t="shared" si="10"/>
        <v>517.3423809313049</v>
      </c>
      <c r="AM61" s="445">
        <f>SUM(AM62:AM68)</f>
        <v>532.2132753662329</v>
      </c>
      <c r="AN61" s="445">
        <f>SUM(AN62:AN68)</f>
        <v>526.60143297</v>
      </c>
      <c r="AO61" s="445">
        <f>SUM(AO62:AO73)</f>
        <v>515.4163848600001</v>
      </c>
      <c r="AP61" s="445">
        <f>SUM(AP62:AP68)</f>
        <v>542.92625513</v>
      </c>
      <c r="AQ61" s="445">
        <f>SUM(AQ62:AQ68)</f>
        <v>542.0788867499999</v>
      </c>
      <c r="AR61" s="445">
        <f>SUM(AR62:AR73)</f>
        <v>505.01540521000004</v>
      </c>
      <c r="AS61" s="445">
        <f>SUM(AS62:AS70)</f>
        <v>495.5979635</v>
      </c>
      <c r="AT61" s="445">
        <f>SUM(AT62:AT70)</f>
        <v>500.03759096999994</v>
      </c>
      <c r="AU61" s="445">
        <f>SUM(AU62:AU73)</f>
        <v>494.94711386999995</v>
      </c>
      <c r="AV61" s="445">
        <f>SUM(AV62:AV73)</f>
        <v>487.86851835</v>
      </c>
      <c r="AW61" s="511">
        <f>SUM(AW62:AW73)</f>
        <v>487.33288310999995</v>
      </c>
    </row>
    <row r="62" spans="2:49" s="29" customFormat="1" ht="14.25">
      <c r="B62" s="74" t="s">
        <v>129</v>
      </c>
      <c r="C62" s="227">
        <v>0</v>
      </c>
      <c r="D62" s="179">
        <v>0</v>
      </c>
      <c r="E62" s="179">
        <v>0</v>
      </c>
      <c r="F62" s="485">
        <v>0</v>
      </c>
      <c r="G62" s="227">
        <v>0</v>
      </c>
      <c r="H62" s="179">
        <v>0</v>
      </c>
      <c r="I62" s="179">
        <v>0</v>
      </c>
      <c r="J62" s="485">
        <v>0</v>
      </c>
      <c r="K62" s="227">
        <v>0</v>
      </c>
      <c r="L62" s="179">
        <v>0</v>
      </c>
      <c r="M62" s="179">
        <v>0</v>
      </c>
      <c r="N62" s="485">
        <v>0</v>
      </c>
      <c r="O62" s="227">
        <v>0</v>
      </c>
      <c r="P62" s="179">
        <v>0</v>
      </c>
      <c r="Q62" s="179">
        <v>0</v>
      </c>
      <c r="R62" s="485">
        <v>0</v>
      </c>
      <c r="S62" s="227">
        <v>0</v>
      </c>
      <c r="T62" s="179">
        <v>0</v>
      </c>
      <c r="U62" s="179">
        <v>0</v>
      </c>
      <c r="V62" s="485">
        <v>0</v>
      </c>
      <c r="W62" s="227">
        <v>0</v>
      </c>
      <c r="X62" s="179">
        <v>0</v>
      </c>
      <c r="Y62" s="179">
        <v>0</v>
      </c>
      <c r="Z62" s="485">
        <v>0</v>
      </c>
      <c r="AA62" s="179">
        <v>0</v>
      </c>
      <c r="AB62" s="93">
        <f>+Detalle!D51</f>
        <v>519.1284680756272</v>
      </c>
      <c r="AC62" s="134">
        <f>+Detalle!E51</f>
        <v>532.695568321786</v>
      </c>
      <c r="AD62" s="172">
        <f>+Detalle!F51</f>
        <v>549.6370819913759</v>
      </c>
      <c r="AE62" s="174">
        <f>+Detalle!G51</f>
        <v>527.229883371817</v>
      </c>
      <c r="AF62" s="188">
        <f>+Detalle!H51</f>
        <v>476.89869061444483</v>
      </c>
      <c r="AG62" s="188">
        <f>+Detalle!I51</f>
        <v>466.3897298705966</v>
      </c>
      <c r="AH62" s="223">
        <f>+Detalle!J51</f>
        <v>452.0726549356223</v>
      </c>
      <c r="AI62" s="435">
        <f>+Detalle!K51</f>
        <v>443.3067319045923</v>
      </c>
      <c r="AJ62" s="188">
        <f>+Detalle!L51</f>
        <v>437.4229085729614</v>
      </c>
      <c r="AK62" s="188">
        <f>+Detalle!M51</f>
        <v>417.88999934301523</v>
      </c>
      <c r="AL62" s="223">
        <f>+Detalle!N51</f>
        <v>395.75698275008364</v>
      </c>
      <c r="AM62" s="188">
        <f>+Detalle!O51</f>
        <v>420.8688247416613</v>
      </c>
      <c r="AN62" s="188">
        <v>416.04327691000003</v>
      </c>
      <c r="AO62" s="188">
        <v>405.59895518</v>
      </c>
      <c r="AP62" s="188">
        <v>427.88842188</v>
      </c>
      <c r="AQ62" s="188">
        <v>425.96519986</v>
      </c>
      <c r="AR62" s="125">
        <v>411.32635405</v>
      </c>
      <c r="AS62" s="125">
        <v>409.48764636000004</v>
      </c>
      <c r="AT62" s="125">
        <v>403.28495814999997</v>
      </c>
      <c r="AU62" s="125">
        <v>394.05990053999994</v>
      </c>
      <c r="AV62" s="125">
        <v>385.63206816999997</v>
      </c>
      <c r="AW62" s="257">
        <v>375.4997245099999</v>
      </c>
    </row>
    <row r="63" spans="2:49" s="29" customFormat="1" ht="14.25">
      <c r="B63" s="74" t="s">
        <v>130</v>
      </c>
      <c r="C63" s="227">
        <v>0</v>
      </c>
      <c r="D63" s="179">
        <v>0</v>
      </c>
      <c r="E63" s="179">
        <v>0</v>
      </c>
      <c r="F63" s="485">
        <v>0</v>
      </c>
      <c r="G63" s="227">
        <v>0</v>
      </c>
      <c r="H63" s="179">
        <v>0</v>
      </c>
      <c r="I63" s="179">
        <v>0</v>
      </c>
      <c r="J63" s="485">
        <v>0</v>
      </c>
      <c r="K63" s="227">
        <v>0</v>
      </c>
      <c r="L63" s="179">
        <v>0</v>
      </c>
      <c r="M63" s="179">
        <v>0</v>
      </c>
      <c r="N63" s="485">
        <v>0</v>
      </c>
      <c r="O63" s="227">
        <v>0</v>
      </c>
      <c r="P63" s="179">
        <v>0</v>
      </c>
      <c r="Q63" s="179">
        <v>0</v>
      </c>
      <c r="R63" s="485">
        <v>0</v>
      </c>
      <c r="S63" s="227">
        <v>0</v>
      </c>
      <c r="T63" s="179">
        <v>0</v>
      </c>
      <c r="U63" s="179">
        <v>0</v>
      </c>
      <c r="V63" s="485">
        <v>0</v>
      </c>
      <c r="W63" s="227">
        <v>0</v>
      </c>
      <c r="X63" s="179">
        <v>0</v>
      </c>
      <c r="Y63" s="179">
        <v>0</v>
      </c>
      <c r="Z63" s="485">
        <v>0</v>
      </c>
      <c r="AA63" s="179">
        <v>0</v>
      </c>
      <c r="AB63" s="93">
        <f>+Detalle!D54</f>
        <v>69.732878794459</v>
      </c>
      <c r="AC63" s="134">
        <f>+Detalle!E54</f>
        <v>76.00669886451116</v>
      </c>
      <c r="AD63" s="172">
        <f>+Detalle!F54</f>
        <v>81.81451254410034</v>
      </c>
      <c r="AE63" s="174">
        <f>+Detalle!G54</f>
        <v>82.54170599070787</v>
      </c>
      <c r="AF63" s="188">
        <f>+Detalle!H54</f>
        <v>77.04943243621992</v>
      </c>
      <c r="AG63" s="188">
        <f>+Detalle!I54</f>
        <v>89.82276956865564</v>
      </c>
      <c r="AH63" s="223">
        <f>+Detalle!J54</f>
        <v>90.07905530758227</v>
      </c>
      <c r="AI63" s="435">
        <f>+Detalle!K54</f>
        <v>91.87873544677821</v>
      </c>
      <c r="AJ63" s="188">
        <f>+Detalle!L54</f>
        <v>86.76577855507868</v>
      </c>
      <c r="AK63" s="188">
        <f>+Detalle!M54</f>
        <v>75.26089732365146</v>
      </c>
      <c r="AL63" s="223">
        <f>+Detalle!N54</f>
        <v>67.63608699565073</v>
      </c>
      <c r="AM63" s="188">
        <f>+Detalle!O54</f>
        <v>57.95345397318509</v>
      </c>
      <c r="AN63" s="188">
        <v>57.260634010000004</v>
      </c>
      <c r="AO63" s="188">
        <v>57.22365587</v>
      </c>
      <c r="AP63" s="188">
        <v>56.67466013</v>
      </c>
      <c r="AQ63" s="188">
        <v>56.11832243</v>
      </c>
      <c r="AR63" s="125">
        <v>31.38421111</v>
      </c>
      <c r="AS63" s="125">
        <v>23.4422949</v>
      </c>
      <c r="AT63" s="125">
        <v>23.11640572</v>
      </c>
      <c r="AU63" s="125">
        <v>23.216818280000002</v>
      </c>
      <c r="AV63" s="125">
        <v>22.76477193</v>
      </c>
      <c r="AW63" s="257">
        <v>22.16463428</v>
      </c>
    </row>
    <row r="64" spans="2:49" s="29" customFormat="1" ht="14.25">
      <c r="B64" s="74" t="s">
        <v>131</v>
      </c>
      <c r="C64" s="227">
        <v>0</v>
      </c>
      <c r="D64" s="179">
        <v>0</v>
      </c>
      <c r="E64" s="179">
        <v>0</v>
      </c>
      <c r="F64" s="485">
        <v>0</v>
      </c>
      <c r="G64" s="227">
        <v>0</v>
      </c>
      <c r="H64" s="179">
        <v>0</v>
      </c>
      <c r="I64" s="179">
        <v>0</v>
      </c>
      <c r="J64" s="485">
        <v>0</v>
      </c>
      <c r="K64" s="227">
        <v>0</v>
      </c>
      <c r="L64" s="179">
        <v>0</v>
      </c>
      <c r="M64" s="179">
        <v>0</v>
      </c>
      <c r="N64" s="485">
        <v>0</v>
      </c>
      <c r="O64" s="227">
        <v>0</v>
      </c>
      <c r="P64" s="179">
        <v>0</v>
      </c>
      <c r="Q64" s="179">
        <v>0</v>
      </c>
      <c r="R64" s="485">
        <v>0</v>
      </c>
      <c r="S64" s="227">
        <v>0</v>
      </c>
      <c r="T64" s="179">
        <v>0</v>
      </c>
      <c r="U64" s="179">
        <v>0</v>
      </c>
      <c r="V64" s="485">
        <v>0</v>
      </c>
      <c r="W64" s="227">
        <v>0</v>
      </c>
      <c r="X64" s="179">
        <v>0</v>
      </c>
      <c r="Y64" s="179">
        <v>0</v>
      </c>
      <c r="Z64" s="485">
        <v>0</v>
      </c>
      <c r="AA64" s="179">
        <v>0</v>
      </c>
      <c r="AB64" s="179">
        <v>0</v>
      </c>
      <c r="AC64" s="179">
        <v>0</v>
      </c>
      <c r="AD64" s="189">
        <v>0</v>
      </c>
      <c r="AE64" s="227">
        <v>0</v>
      </c>
      <c r="AF64" s="129">
        <f>+Detalle!H56</f>
        <v>1.221703197987783</v>
      </c>
      <c r="AG64" s="129">
        <f>+Detalle!I56</f>
        <v>1.2221423436376706</v>
      </c>
      <c r="AH64" s="126">
        <f>+Detalle!J56</f>
        <v>2.3539488555078685</v>
      </c>
      <c r="AI64" s="125">
        <f>+Detalle!K56</f>
        <v>2.5122965468138125</v>
      </c>
      <c r="AJ64" s="125">
        <f>+Detalle!L56</f>
        <v>3.3197449928469243</v>
      </c>
      <c r="AK64" s="125">
        <f>+Detalle!M56</f>
        <v>3.008949360304288</v>
      </c>
      <c r="AL64" s="126">
        <f>+Detalle!N56</f>
        <v>2.717215155570425</v>
      </c>
      <c r="AM64" s="125">
        <f>+Detalle!O56</f>
        <v>2.592668721386527</v>
      </c>
      <c r="AN64" s="125">
        <v>2.4991941200000003</v>
      </c>
      <c r="AO64" s="125">
        <v>2.43514067</v>
      </c>
      <c r="AP64" s="125">
        <v>2.3499378</v>
      </c>
      <c r="AQ64" s="125">
        <v>2.2656365899999997</v>
      </c>
      <c r="AR64" s="125">
        <v>2.18984121</v>
      </c>
      <c r="AS64" s="125">
        <v>2.1203414900000004</v>
      </c>
      <c r="AT64" s="125">
        <v>2.03112601</v>
      </c>
      <c r="AU64" s="125">
        <v>1.97995028</v>
      </c>
      <c r="AV64" s="125">
        <v>1.88256909</v>
      </c>
      <c r="AW64" s="257">
        <v>1.77566038</v>
      </c>
    </row>
    <row r="65" spans="2:49" s="29" customFormat="1" ht="14.25">
      <c r="B65" s="73" t="s">
        <v>132</v>
      </c>
      <c r="C65" s="227">
        <v>0</v>
      </c>
      <c r="D65" s="179">
        <v>0</v>
      </c>
      <c r="E65" s="179">
        <v>0</v>
      </c>
      <c r="F65" s="485">
        <v>0</v>
      </c>
      <c r="G65" s="227">
        <v>0</v>
      </c>
      <c r="H65" s="179">
        <v>0</v>
      </c>
      <c r="I65" s="179">
        <v>0</v>
      </c>
      <c r="J65" s="485">
        <v>0</v>
      </c>
      <c r="K65" s="227">
        <v>0</v>
      </c>
      <c r="L65" s="179">
        <v>0</v>
      </c>
      <c r="M65" s="179">
        <v>0</v>
      </c>
      <c r="N65" s="485">
        <v>0</v>
      </c>
      <c r="O65" s="227">
        <v>0</v>
      </c>
      <c r="P65" s="179">
        <v>0</v>
      </c>
      <c r="Q65" s="179">
        <v>0</v>
      </c>
      <c r="R65" s="485">
        <v>0</v>
      </c>
      <c r="S65" s="227">
        <v>0</v>
      </c>
      <c r="T65" s="179">
        <v>0</v>
      </c>
      <c r="U65" s="179">
        <v>0</v>
      </c>
      <c r="V65" s="485">
        <v>0</v>
      </c>
      <c r="W65" s="227">
        <v>0</v>
      </c>
      <c r="X65" s="179">
        <v>0</v>
      </c>
      <c r="Y65" s="179">
        <v>0</v>
      </c>
      <c r="Z65" s="485">
        <v>0</v>
      </c>
      <c r="AA65" s="179">
        <v>0</v>
      </c>
      <c r="AB65" s="179">
        <v>0</v>
      </c>
      <c r="AC65" s="179">
        <v>0</v>
      </c>
      <c r="AD65" s="189">
        <v>0</v>
      </c>
      <c r="AE65" s="227">
        <v>0</v>
      </c>
      <c r="AF65" s="189">
        <v>0</v>
      </c>
      <c r="AG65" s="129">
        <v>0.28485694</v>
      </c>
      <c r="AH65" s="432">
        <v>0.50696423</v>
      </c>
      <c r="AI65" s="440">
        <v>3.55073259</v>
      </c>
      <c r="AJ65" s="129">
        <v>5.49857219</v>
      </c>
      <c r="AK65" s="129">
        <v>7.46448197</v>
      </c>
      <c r="AL65" s="107">
        <v>19.463624600000003</v>
      </c>
      <c r="AM65" s="129">
        <v>19.0244519</v>
      </c>
      <c r="AN65" s="129">
        <v>19.0244519</v>
      </c>
      <c r="AO65" s="129">
        <v>18.78488018</v>
      </c>
      <c r="AP65" s="129">
        <v>24.94047775</v>
      </c>
      <c r="AQ65" s="129">
        <v>25.596312179999998</v>
      </c>
      <c r="AR65" s="125">
        <v>26.53161494</v>
      </c>
      <c r="AS65" s="125">
        <v>26.42356011</v>
      </c>
      <c r="AT65" s="125">
        <v>35.771269909999994</v>
      </c>
      <c r="AU65" s="125">
        <v>35.926652409999996</v>
      </c>
      <c r="AV65" s="125">
        <v>35.3878162</v>
      </c>
      <c r="AW65" s="257">
        <v>35.354351009999995</v>
      </c>
    </row>
    <row r="66" spans="2:49" s="29" customFormat="1" ht="14.25">
      <c r="B66" s="261" t="s">
        <v>133</v>
      </c>
      <c r="C66" s="227">
        <v>0</v>
      </c>
      <c r="D66" s="179">
        <v>0</v>
      </c>
      <c r="E66" s="179">
        <v>0</v>
      </c>
      <c r="F66" s="485">
        <v>0</v>
      </c>
      <c r="G66" s="227">
        <v>0</v>
      </c>
      <c r="H66" s="179">
        <v>0</v>
      </c>
      <c r="I66" s="179">
        <v>0</v>
      </c>
      <c r="J66" s="485">
        <v>0</v>
      </c>
      <c r="K66" s="227">
        <v>0</v>
      </c>
      <c r="L66" s="179">
        <v>0</v>
      </c>
      <c r="M66" s="179">
        <v>0</v>
      </c>
      <c r="N66" s="485">
        <v>0</v>
      </c>
      <c r="O66" s="227">
        <v>0</v>
      </c>
      <c r="P66" s="179">
        <v>0</v>
      </c>
      <c r="Q66" s="179">
        <v>0</v>
      </c>
      <c r="R66" s="485">
        <v>0</v>
      </c>
      <c r="S66" s="227">
        <v>0</v>
      </c>
      <c r="T66" s="179">
        <v>0</v>
      </c>
      <c r="U66" s="179">
        <v>0</v>
      </c>
      <c r="V66" s="485">
        <v>0</v>
      </c>
      <c r="W66" s="227">
        <v>0</v>
      </c>
      <c r="X66" s="179">
        <v>0</v>
      </c>
      <c r="Y66" s="179">
        <v>0</v>
      </c>
      <c r="Z66" s="485">
        <v>0</v>
      </c>
      <c r="AA66" s="262">
        <v>0</v>
      </c>
      <c r="AB66" s="262">
        <v>0</v>
      </c>
      <c r="AC66" s="262">
        <v>0</v>
      </c>
      <c r="AD66" s="263">
        <v>0</v>
      </c>
      <c r="AE66" s="264">
        <v>0</v>
      </c>
      <c r="AF66" s="263">
        <v>0</v>
      </c>
      <c r="AG66" s="263">
        <v>0</v>
      </c>
      <c r="AH66" s="265">
        <v>2.82783977</v>
      </c>
      <c r="AI66" s="441">
        <v>2.81475258</v>
      </c>
      <c r="AJ66" s="237">
        <v>9.40368485</v>
      </c>
      <c r="AK66" s="238">
        <v>14.43666225</v>
      </c>
      <c r="AL66" s="279">
        <v>20.09713517</v>
      </c>
      <c r="AM66" s="238">
        <v>19.64366809</v>
      </c>
      <c r="AN66" s="238">
        <v>19.64366809</v>
      </c>
      <c r="AO66" s="238">
        <v>19.39629868</v>
      </c>
      <c r="AP66" s="238">
        <v>19.21021331</v>
      </c>
      <c r="AQ66" s="238">
        <v>19.02163933</v>
      </c>
      <c r="AR66" s="125">
        <v>18.89598522</v>
      </c>
      <c r="AS66" s="125">
        <v>18.81902789</v>
      </c>
      <c r="AT66" s="125">
        <v>18.55741026</v>
      </c>
      <c r="AU66" s="125">
        <v>20.25805669</v>
      </c>
      <c r="AV66" s="125">
        <v>19.86361932</v>
      </c>
      <c r="AW66" s="257">
        <v>19.33996348</v>
      </c>
    </row>
    <row r="67" spans="2:49" s="29" customFormat="1" ht="14.25">
      <c r="B67" s="261" t="s">
        <v>134</v>
      </c>
      <c r="C67" s="227">
        <v>0</v>
      </c>
      <c r="D67" s="179">
        <v>0</v>
      </c>
      <c r="E67" s="179">
        <v>0</v>
      </c>
      <c r="F67" s="485">
        <v>0</v>
      </c>
      <c r="G67" s="227">
        <v>0</v>
      </c>
      <c r="H67" s="179">
        <v>0</v>
      </c>
      <c r="I67" s="179">
        <v>0</v>
      </c>
      <c r="J67" s="485">
        <v>0</v>
      </c>
      <c r="K67" s="227">
        <v>0</v>
      </c>
      <c r="L67" s="179">
        <v>0</v>
      </c>
      <c r="M67" s="179">
        <v>0</v>
      </c>
      <c r="N67" s="485">
        <v>0</v>
      </c>
      <c r="O67" s="227">
        <v>0</v>
      </c>
      <c r="P67" s="179">
        <v>0</v>
      </c>
      <c r="Q67" s="179">
        <v>0</v>
      </c>
      <c r="R67" s="485">
        <v>0</v>
      </c>
      <c r="S67" s="227">
        <v>0</v>
      </c>
      <c r="T67" s="179">
        <v>0</v>
      </c>
      <c r="U67" s="179">
        <v>0</v>
      </c>
      <c r="V67" s="485">
        <v>0</v>
      </c>
      <c r="W67" s="227">
        <v>0</v>
      </c>
      <c r="X67" s="179">
        <v>0</v>
      </c>
      <c r="Y67" s="179">
        <v>0</v>
      </c>
      <c r="Z67" s="485">
        <v>0</v>
      </c>
      <c r="AA67" s="262">
        <v>0</v>
      </c>
      <c r="AB67" s="262">
        <v>0</v>
      </c>
      <c r="AC67" s="262">
        <v>0</v>
      </c>
      <c r="AD67" s="263">
        <v>0</v>
      </c>
      <c r="AE67" s="266">
        <v>0</v>
      </c>
      <c r="AF67" s="263">
        <v>0</v>
      </c>
      <c r="AG67" s="263">
        <v>0</v>
      </c>
      <c r="AH67" s="486">
        <v>0</v>
      </c>
      <c r="AI67" s="202">
        <v>0</v>
      </c>
      <c r="AJ67" s="238">
        <v>1.67970935</v>
      </c>
      <c r="AK67" s="238">
        <f>2.76649493+5.30899805</f>
        <v>8.07549298</v>
      </c>
      <c r="AL67" s="279">
        <v>11.253675710000001</v>
      </c>
      <c r="AM67" s="238">
        <v>10.99975039</v>
      </c>
      <c r="AN67" s="238">
        <v>10.99975039</v>
      </c>
      <c r="AO67" s="238">
        <v>10.861232390000001</v>
      </c>
      <c r="AP67" s="238">
        <v>10.75703125</v>
      </c>
      <c r="AQ67" s="238">
        <v>12.01711544</v>
      </c>
      <c r="AR67" s="125">
        <v>11.93773216</v>
      </c>
      <c r="AS67" s="125">
        <v>12.537646050000001</v>
      </c>
      <c r="AT67" s="125">
        <v>12.3633507</v>
      </c>
      <c r="AU67" s="125">
        <f>13.58626519+0.04323946</f>
        <v>13.629504650000001</v>
      </c>
      <c r="AV67" s="125">
        <v>13.32173188</v>
      </c>
      <c r="AW67" s="257">
        <v>20.306038899999997</v>
      </c>
    </row>
    <row r="68" spans="2:49" s="29" customFormat="1" ht="15.75" customHeight="1">
      <c r="B68" s="556" t="s">
        <v>135</v>
      </c>
      <c r="C68" s="227">
        <v>0</v>
      </c>
      <c r="D68" s="179">
        <v>0</v>
      </c>
      <c r="E68" s="179">
        <v>0</v>
      </c>
      <c r="F68" s="485">
        <v>0</v>
      </c>
      <c r="G68" s="227">
        <v>0</v>
      </c>
      <c r="H68" s="179">
        <v>0</v>
      </c>
      <c r="I68" s="179">
        <v>0</v>
      </c>
      <c r="J68" s="485">
        <v>0</v>
      </c>
      <c r="K68" s="227">
        <v>0</v>
      </c>
      <c r="L68" s="179">
        <v>0</v>
      </c>
      <c r="M68" s="179">
        <v>0</v>
      </c>
      <c r="N68" s="485">
        <v>0</v>
      </c>
      <c r="O68" s="227">
        <v>0</v>
      </c>
      <c r="P68" s="179">
        <v>0</v>
      </c>
      <c r="Q68" s="179">
        <v>0</v>
      </c>
      <c r="R68" s="485">
        <v>0</v>
      </c>
      <c r="S68" s="227">
        <v>0</v>
      </c>
      <c r="T68" s="179">
        <v>0</v>
      </c>
      <c r="U68" s="179">
        <v>0</v>
      </c>
      <c r="V68" s="485">
        <v>0</v>
      </c>
      <c r="W68" s="227">
        <v>0</v>
      </c>
      <c r="X68" s="179">
        <v>0</v>
      </c>
      <c r="Y68" s="179">
        <v>0</v>
      </c>
      <c r="Z68" s="485">
        <v>0</v>
      </c>
      <c r="AA68" s="262">
        <v>0</v>
      </c>
      <c r="AB68" s="262">
        <v>0</v>
      </c>
      <c r="AC68" s="262">
        <v>0</v>
      </c>
      <c r="AD68" s="263">
        <v>0</v>
      </c>
      <c r="AE68" s="266">
        <v>0</v>
      </c>
      <c r="AF68" s="263">
        <v>0</v>
      </c>
      <c r="AG68" s="263">
        <v>0</v>
      </c>
      <c r="AH68" s="486">
        <v>0</v>
      </c>
      <c r="AI68" s="202">
        <v>0</v>
      </c>
      <c r="AJ68" s="203">
        <v>0</v>
      </c>
      <c r="AK68" s="203">
        <v>0</v>
      </c>
      <c r="AL68" s="279">
        <v>0.41766054999999996</v>
      </c>
      <c r="AM68" s="238">
        <v>1.13045755</v>
      </c>
      <c r="AN68" s="238">
        <v>1.13045755</v>
      </c>
      <c r="AO68" s="238">
        <v>1.1162218899999998</v>
      </c>
      <c r="AP68" s="238">
        <v>1.10551301</v>
      </c>
      <c r="AQ68" s="238">
        <v>1.09466092</v>
      </c>
      <c r="AR68" s="125">
        <v>2.74966652</v>
      </c>
      <c r="AS68" s="125">
        <v>2.738468</v>
      </c>
      <c r="AT68" s="125">
        <v>4.7806590700000005</v>
      </c>
      <c r="AU68" s="125">
        <v>5.48039917</v>
      </c>
      <c r="AV68" s="125">
        <v>8.412443470000001</v>
      </c>
      <c r="AW68" s="257">
        <v>9.925389669999998</v>
      </c>
    </row>
    <row r="69" spans="2:49" s="29" customFormat="1" ht="15.75" customHeight="1">
      <c r="B69" s="556" t="s">
        <v>136</v>
      </c>
      <c r="C69" s="225">
        <v>0</v>
      </c>
      <c r="D69" s="179">
        <v>0</v>
      </c>
      <c r="E69" s="179">
        <v>0</v>
      </c>
      <c r="F69" s="253">
        <v>0</v>
      </c>
      <c r="G69" s="225">
        <v>0</v>
      </c>
      <c r="H69" s="179">
        <v>0</v>
      </c>
      <c r="I69" s="179">
        <v>0</v>
      </c>
      <c r="J69" s="253">
        <v>0</v>
      </c>
      <c r="K69" s="225">
        <v>0</v>
      </c>
      <c r="L69" s="179">
        <v>0</v>
      </c>
      <c r="M69" s="179">
        <v>0</v>
      </c>
      <c r="N69" s="253">
        <v>0</v>
      </c>
      <c r="O69" s="225">
        <v>0</v>
      </c>
      <c r="P69" s="179">
        <v>0</v>
      </c>
      <c r="Q69" s="179">
        <v>0</v>
      </c>
      <c r="R69" s="253">
        <v>0</v>
      </c>
      <c r="S69" s="225">
        <v>0</v>
      </c>
      <c r="T69" s="179">
        <v>0</v>
      </c>
      <c r="U69" s="179">
        <v>0</v>
      </c>
      <c r="V69" s="253">
        <v>0</v>
      </c>
      <c r="W69" s="225">
        <v>0</v>
      </c>
      <c r="X69" s="179">
        <v>0</v>
      </c>
      <c r="Y69" s="179">
        <v>0</v>
      </c>
      <c r="Z69" s="253">
        <v>0</v>
      </c>
      <c r="AA69" s="262">
        <v>0</v>
      </c>
      <c r="AB69" s="262">
        <v>0</v>
      </c>
      <c r="AC69" s="262">
        <v>0</v>
      </c>
      <c r="AD69" s="263">
        <v>0</v>
      </c>
      <c r="AE69" s="266">
        <v>0</v>
      </c>
      <c r="AF69" s="263">
        <v>0</v>
      </c>
      <c r="AG69" s="263">
        <v>0</v>
      </c>
      <c r="AH69" s="263">
        <v>0</v>
      </c>
      <c r="AI69" s="202">
        <v>0</v>
      </c>
      <c r="AJ69" s="203">
        <v>0</v>
      </c>
      <c r="AK69" s="203">
        <v>0</v>
      </c>
      <c r="AL69" s="457">
        <v>0</v>
      </c>
      <c r="AM69" s="562">
        <v>0</v>
      </c>
      <c r="AN69" s="562">
        <v>0</v>
      </c>
      <c r="AO69" s="562">
        <v>0</v>
      </c>
      <c r="AP69" s="562">
        <v>0</v>
      </c>
      <c r="AQ69" s="562">
        <v>0</v>
      </c>
      <c r="AR69" s="203">
        <v>0</v>
      </c>
      <c r="AS69" s="129">
        <v>0.0289787</v>
      </c>
      <c r="AT69" s="129">
        <v>0.02857584</v>
      </c>
      <c r="AU69" s="129">
        <v>0.06669749000000001</v>
      </c>
      <c r="AV69" s="129">
        <v>0.12171159</v>
      </c>
      <c r="AW69" s="432">
        <v>0.11850296</v>
      </c>
    </row>
    <row r="70" spans="2:49" s="29" customFormat="1" ht="15.75" customHeight="1">
      <c r="B70" s="556" t="s">
        <v>140</v>
      </c>
      <c r="C70" s="225">
        <v>0</v>
      </c>
      <c r="D70" s="179">
        <v>0</v>
      </c>
      <c r="E70" s="179">
        <v>0</v>
      </c>
      <c r="F70" s="253">
        <v>0</v>
      </c>
      <c r="G70" s="225">
        <v>0</v>
      </c>
      <c r="H70" s="179">
        <v>0</v>
      </c>
      <c r="I70" s="179">
        <v>0</v>
      </c>
      <c r="J70" s="253">
        <v>0</v>
      </c>
      <c r="K70" s="225">
        <v>0</v>
      </c>
      <c r="L70" s="179">
        <v>0</v>
      </c>
      <c r="M70" s="179">
        <v>0</v>
      </c>
      <c r="N70" s="253">
        <v>0</v>
      </c>
      <c r="O70" s="225">
        <v>0</v>
      </c>
      <c r="P70" s="179">
        <v>0</v>
      </c>
      <c r="Q70" s="179">
        <v>0</v>
      </c>
      <c r="R70" s="253">
        <v>0</v>
      </c>
      <c r="S70" s="225">
        <v>0</v>
      </c>
      <c r="T70" s="179">
        <v>0</v>
      </c>
      <c r="U70" s="179">
        <v>0</v>
      </c>
      <c r="V70" s="253">
        <v>0</v>
      </c>
      <c r="W70" s="225">
        <v>0</v>
      </c>
      <c r="X70" s="179">
        <v>0</v>
      </c>
      <c r="Y70" s="179">
        <v>0</v>
      </c>
      <c r="Z70" s="253">
        <v>0</v>
      </c>
      <c r="AA70" s="262">
        <v>0</v>
      </c>
      <c r="AB70" s="262">
        <v>0</v>
      </c>
      <c r="AC70" s="262">
        <v>0</v>
      </c>
      <c r="AD70" s="263">
        <v>0</v>
      </c>
      <c r="AE70" s="266">
        <v>0</v>
      </c>
      <c r="AF70" s="263">
        <v>0</v>
      </c>
      <c r="AG70" s="263">
        <v>0</v>
      </c>
      <c r="AH70" s="263">
        <v>0</v>
      </c>
      <c r="AI70" s="202">
        <v>0</v>
      </c>
      <c r="AJ70" s="203">
        <v>0</v>
      </c>
      <c r="AK70" s="203">
        <v>0</v>
      </c>
      <c r="AL70" s="457">
        <v>0</v>
      </c>
      <c r="AM70" s="562">
        <v>0</v>
      </c>
      <c r="AN70" s="562">
        <v>0</v>
      </c>
      <c r="AO70" s="562">
        <v>0</v>
      </c>
      <c r="AP70" s="562">
        <v>0</v>
      </c>
      <c r="AQ70" s="562">
        <v>0</v>
      </c>
      <c r="AR70" s="203">
        <v>0</v>
      </c>
      <c r="AS70" s="203">
        <v>0</v>
      </c>
      <c r="AT70" s="129">
        <v>0.10383531</v>
      </c>
      <c r="AU70" s="129">
        <v>0.10428635</v>
      </c>
      <c r="AV70" s="129">
        <v>0.10225582000000001</v>
      </c>
      <c r="AW70" s="432">
        <v>0.09956010000000001</v>
      </c>
    </row>
    <row r="71" spans="2:49" s="29" customFormat="1" ht="15.75" customHeight="1">
      <c r="B71" s="556" t="s">
        <v>141</v>
      </c>
      <c r="C71" s="225">
        <v>0</v>
      </c>
      <c r="D71" s="179">
        <v>0</v>
      </c>
      <c r="E71" s="179">
        <v>0</v>
      </c>
      <c r="F71" s="253">
        <v>0</v>
      </c>
      <c r="G71" s="225">
        <v>0</v>
      </c>
      <c r="H71" s="179">
        <v>0</v>
      </c>
      <c r="I71" s="179">
        <v>0</v>
      </c>
      <c r="J71" s="253">
        <v>0</v>
      </c>
      <c r="K71" s="225">
        <v>0</v>
      </c>
      <c r="L71" s="179">
        <v>0</v>
      </c>
      <c r="M71" s="179">
        <v>0</v>
      </c>
      <c r="N71" s="253">
        <v>0</v>
      </c>
      <c r="O71" s="225">
        <v>0</v>
      </c>
      <c r="P71" s="179">
        <v>0</v>
      </c>
      <c r="Q71" s="179">
        <v>0</v>
      </c>
      <c r="R71" s="253">
        <v>0</v>
      </c>
      <c r="S71" s="225">
        <v>0</v>
      </c>
      <c r="T71" s="179">
        <v>0</v>
      </c>
      <c r="U71" s="179">
        <v>0</v>
      </c>
      <c r="V71" s="253">
        <v>0</v>
      </c>
      <c r="W71" s="225">
        <v>0</v>
      </c>
      <c r="X71" s="179">
        <v>0</v>
      </c>
      <c r="Y71" s="179">
        <v>0</v>
      </c>
      <c r="Z71" s="253">
        <v>0</v>
      </c>
      <c r="AA71" s="262">
        <v>0</v>
      </c>
      <c r="AB71" s="262">
        <v>0</v>
      </c>
      <c r="AC71" s="262">
        <v>0</v>
      </c>
      <c r="AD71" s="263">
        <v>0</v>
      </c>
      <c r="AE71" s="266">
        <v>0</v>
      </c>
      <c r="AF71" s="263">
        <v>0</v>
      </c>
      <c r="AG71" s="263">
        <v>0</v>
      </c>
      <c r="AH71" s="263">
        <v>0</v>
      </c>
      <c r="AI71" s="202">
        <v>0</v>
      </c>
      <c r="AJ71" s="203">
        <v>0</v>
      </c>
      <c r="AK71" s="203">
        <v>0</v>
      </c>
      <c r="AL71" s="457">
        <v>0</v>
      </c>
      <c r="AM71" s="562">
        <v>0</v>
      </c>
      <c r="AN71" s="562">
        <v>0</v>
      </c>
      <c r="AO71" s="562">
        <v>0</v>
      </c>
      <c r="AP71" s="562">
        <v>0</v>
      </c>
      <c r="AQ71" s="562">
        <v>0</v>
      </c>
      <c r="AR71" s="203">
        <v>0</v>
      </c>
      <c r="AS71" s="203">
        <v>0</v>
      </c>
      <c r="AT71" s="203">
        <v>0</v>
      </c>
      <c r="AU71" s="129">
        <v>0.22484801000000001</v>
      </c>
      <c r="AV71" s="129">
        <v>0.22047007999999998</v>
      </c>
      <c r="AW71" s="432">
        <v>0.56493968</v>
      </c>
    </row>
    <row r="72" spans="2:49" s="29" customFormat="1" ht="15.75" customHeight="1">
      <c r="B72" s="556" t="s">
        <v>143</v>
      </c>
      <c r="C72" s="225">
        <v>0</v>
      </c>
      <c r="D72" s="179">
        <v>0</v>
      </c>
      <c r="E72" s="179">
        <v>0</v>
      </c>
      <c r="F72" s="253">
        <v>0</v>
      </c>
      <c r="G72" s="225">
        <v>0</v>
      </c>
      <c r="H72" s="179">
        <v>0</v>
      </c>
      <c r="I72" s="179">
        <v>0</v>
      </c>
      <c r="J72" s="253">
        <v>0</v>
      </c>
      <c r="K72" s="225">
        <v>0</v>
      </c>
      <c r="L72" s="179">
        <v>0</v>
      </c>
      <c r="M72" s="179">
        <v>0</v>
      </c>
      <c r="N72" s="253">
        <v>0</v>
      </c>
      <c r="O72" s="225">
        <v>0</v>
      </c>
      <c r="P72" s="179">
        <v>0</v>
      </c>
      <c r="Q72" s="179">
        <v>0</v>
      </c>
      <c r="R72" s="253">
        <v>0</v>
      </c>
      <c r="S72" s="225">
        <v>0</v>
      </c>
      <c r="T72" s="179">
        <v>0</v>
      </c>
      <c r="U72" s="179">
        <v>0</v>
      </c>
      <c r="V72" s="253">
        <v>0</v>
      </c>
      <c r="W72" s="225">
        <v>0</v>
      </c>
      <c r="X72" s="179">
        <v>0</v>
      </c>
      <c r="Y72" s="179">
        <v>0</v>
      </c>
      <c r="Z72" s="253">
        <v>0</v>
      </c>
      <c r="AA72" s="262">
        <v>0</v>
      </c>
      <c r="AB72" s="262">
        <v>0</v>
      </c>
      <c r="AC72" s="262">
        <v>0</v>
      </c>
      <c r="AD72" s="263">
        <v>0</v>
      </c>
      <c r="AE72" s="266">
        <v>0</v>
      </c>
      <c r="AF72" s="263">
        <v>0</v>
      </c>
      <c r="AG72" s="263">
        <v>0</v>
      </c>
      <c r="AH72" s="263">
        <v>0</v>
      </c>
      <c r="AI72" s="202">
        <v>0</v>
      </c>
      <c r="AJ72" s="203">
        <v>0</v>
      </c>
      <c r="AK72" s="203">
        <v>0</v>
      </c>
      <c r="AL72" s="457">
        <v>0</v>
      </c>
      <c r="AM72" s="562">
        <v>0</v>
      </c>
      <c r="AN72" s="562">
        <v>0</v>
      </c>
      <c r="AO72" s="562">
        <v>0</v>
      </c>
      <c r="AP72" s="562">
        <v>0</v>
      </c>
      <c r="AQ72" s="562">
        <v>0</v>
      </c>
      <c r="AR72" s="203">
        <v>0</v>
      </c>
      <c r="AS72" s="203">
        <v>0</v>
      </c>
      <c r="AT72" s="203">
        <v>0</v>
      </c>
      <c r="AU72" s="203">
        <v>0</v>
      </c>
      <c r="AV72" s="129">
        <v>0.04239756</v>
      </c>
      <c r="AW72" s="432">
        <v>0.04127985</v>
      </c>
    </row>
    <row r="73" spans="2:49" s="29" customFormat="1" ht="15.75" customHeight="1">
      <c r="B73" s="556" t="s">
        <v>144</v>
      </c>
      <c r="C73" s="225">
        <v>0</v>
      </c>
      <c r="D73" s="179">
        <v>0</v>
      </c>
      <c r="E73" s="179">
        <v>0</v>
      </c>
      <c r="F73" s="253">
        <v>0</v>
      </c>
      <c r="G73" s="225">
        <v>0</v>
      </c>
      <c r="H73" s="179">
        <v>0</v>
      </c>
      <c r="I73" s="179">
        <v>0</v>
      </c>
      <c r="J73" s="253">
        <v>0</v>
      </c>
      <c r="K73" s="225">
        <v>0</v>
      </c>
      <c r="L73" s="179">
        <v>0</v>
      </c>
      <c r="M73" s="179">
        <v>0</v>
      </c>
      <c r="N73" s="253">
        <v>0</v>
      </c>
      <c r="O73" s="225">
        <v>0</v>
      </c>
      <c r="P73" s="179">
        <v>0</v>
      </c>
      <c r="Q73" s="179">
        <v>0</v>
      </c>
      <c r="R73" s="253">
        <v>0</v>
      </c>
      <c r="S73" s="225">
        <v>0</v>
      </c>
      <c r="T73" s="179">
        <v>0</v>
      </c>
      <c r="U73" s="179">
        <v>0</v>
      </c>
      <c r="V73" s="253">
        <v>0</v>
      </c>
      <c r="W73" s="225">
        <v>0</v>
      </c>
      <c r="X73" s="179">
        <v>0</v>
      </c>
      <c r="Y73" s="179">
        <v>0</v>
      </c>
      <c r="Z73" s="253">
        <v>0</v>
      </c>
      <c r="AA73" s="262">
        <v>0</v>
      </c>
      <c r="AB73" s="262">
        <v>0</v>
      </c>
      <c r="AC73" s="262">
        <v>0</v>
      </c>
      <c r="AD73" s="263">
        <v>0</v>
      </c>
      <c r="AE73" s="266">
        <v>0</v>
      </c>
      <c r="AF73" s="263">
        <v>0</v>
      </c>
      <c r="AG73" s="263">
        <v>0</v>
      </c>
      <c r="AH73" s="263">
        <v>0</v>
      </c>
      <c r="AI73" s="202">
        <v>0</v>
      </c>
      <c r="AJ73" s="203">
        <v>0</v>
      </c>
      <c r="AK73" s="203">
        <v>0</v>
      </c>
      <c r="AL73" s="457">
        <v>0</v>
      </c>
      <c r="AM73" s="562">
        <v>0</v>
      </c>
      <c r="AN73" s="562">
        <v>0</v>
      </c>
      <c r="AO73" s="562">
        <v>0</v>
      </c>
      <c r="AP73" s="562">
        <v>0</v>
      </c>
      <c r="AQ73" s="562">
        <v>0</v>
      </c>
      <c r="AR73" s="203">
        <v>0</v>
      </c>
      <c r="AS73" s="203">
        <v>0</v>
      </c>
      <c r="AT73" s="203">
        <v>0</v>
      </c>
      <c r="AU73" s="203">
        <v>0</v>
      </c>
      <c r="AV73" s="129">
        <v>0.11666324</v>
      </c>
      <c r="AW73" s="432">
        <v>2.1428382900000003</v>
      </c>
    </row>
    <row r="74" spans="2:49" ht="7.5" customHeight="1">
      <c r="B74" s="74"/>
      <c r="C74" s="95"/>
      <c r="D74" s="95"/>
      <c r="E74" s="95"/>
      <c r="F74" s="474"/>
      <c r="G74" s="150"/>
      <c r="H74" s="95"/>
      <c r="I74" s="95"/>
      <c r="J74" s="484"/>
      <c r="K74" s="95"/>
      <c r="L74" s="95"/>
      <c r="M74" s="95"/>
      <c r="N74" s="474"/>
      <c r="O74" s="150"/>
      <c r="P74" s="95"/>
      <c r="Q74" s="95"/>
      <c r="R74" s="484"/>
      <c r="S74" s="95"/>
      <c r="T74" s="95"/>
      <c r="U74" s="95"/>
      <c r="V74" s="474"/>
      <c r="W74" s="150"/>
      <c r="X74" s="95"/>
      <c r="Y74" s="95"/>
      <c r="Z74" s="484"/>
      <c r="AA74" s="94"/>
      <c r="AB74" s="94"/>
      <c r="AC74" s="76"/>
      <c r="AD74" s="115"/>
      <c r="AE74" s="430"/>
      <c r="AF74" s="77"/>
      <c r="AG74" s="77"/>
      <c r="AH74" s="431"/>
      <c r="AI74" s="439"/>
      <c r="AJ74" s="77"/>
      <c r="AK74" s="77"/>
      <c r="AL74" s="119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431"/>
    </row>
    <row r="75" spans="2:49" s="29" customFormat="1" ht="15.75">
      <c r="B75" s="85" t="s">
        <v>101</v>
      </c>
      <c r="C75" s="375">
        <f aca="true" t="shared" si="11" ref="C75:AR75">+C76+C77</f>
        <v>0</v>
      </c>
      <c r="D75" s="375">
        <f t="shared" si="11"/>
        <v>0</v>
      </c>
      <c r="E75" s="375">
        <f t="shared" si="11"/>
        <v>0</v>
      </c>
      <c r="F75" s="189">
        <f t="shared" si="11"/>
        <v>0</v>
      </c>
      <c r="G75" s="424">
        <f t="shared" si="11"/>
        <v>0</v>
      </c>
      <c r="H75" s="375">
        <f t="shared" si="11"/>
        <v>0</v>
      </c>
      <c r="I75" s="375">
        <f t="shared" si="11"/>
        <v>0</v>
      </c>
      <c r="J75" s="485">
        <f t="shared" si="11"/>
        <v>0</v>
      </c>
      <c r="K75" s="375">
        <f t="shared" si="11"/>
        <v>0</v>
      </c>
      <c r="L75" s="375">
        <f t="shared" si="11"/>
        <v>0</v>
      </c>
      <c r="M75" s="375">
        <f t="shared" si="11"/>
        <v>0</v>
      </c>
      <c r="N75" s="189">
        <f t="shared" si="11"/>
        <v>0</v>
      </c>
      <c r="O75" s="424">
        <f t="shared" si="11"/>
        <v>0</v>
      </c>
      <c r="P75" s="375">
        <f t="shared" si="11"/>
        <v>0</v>
      </c>
      <c r="Q75" s="375">
        <f t="shared" si="11"/>
        <v>0</v>
      </c>
      <c r="R75" s="485">
        <f t="shared" si="11"/>
        <v>0</v>
      </c>
      <c r="S75" s="375">
        <f t="shared" si="11"/>
        <v>0</v>
      </c>
      <c r="T75" s="375">
        <f t="shared" si="11"/>
        <v>0</v>
      </c>
      <c r="U75" s="375">
        <f t="shared" si="11"/>
        <v>0</v>
      </c>
      <c r="V75" s="189">
        <f t="shared" si="11"/>
        <v>0</v>
      </c>
      <c r="W75" s="424">
        <f t="shared" si="11"/>
        <v>0</v>
      </c>
      <c r="X75" s="375">
        <f t="shared" si="11"/>
        <v>0</v>
      </c>
      <c r="Y75" s="155">
        <f t="shared" si="11"/>
        <v>11.01586565</v>
      </c>
      <c r="Z75" s="476">
        <f t="shared" si="11"/>
        <v>11.32628678</v>
      </c>
      <c r="AA75" s="92">
        <f t="shared" si="11"/>
        <v>16.928630700000003</v>
      </c>
      <c r="AB75" s="92">
        <f t="shared" si="11"/>
        <v>34.17418255</v>
      </c>
      <c r="AC75" s="92">
        <f t="shared" si="11"/>
        <v>44.592422729999996</v>
      </c>
      <c r="AD75" s="109">
        <f t="shared" si="11"/>
        <v>69.65601459999999</v>
      </c>
      <c r="AE75" s="246">
        <f t="shared" si="11"/>
        <v>70.06252638000001</v>
      </c>
      <c r="AF75" s="121">
        <f t="shared" si="11"/>
        <v>72.53467482</v>
      </c>
      <c r="AG75" s="121">
        <f t="shared" si="11"/>
        <v>72.15281723</v>
      </c>
      <c r="AH75" s="214">
        <f t="shared" si="11"/>
        <v>71.79153701</v>
      </c>
      <c r="AI75" s="438">
        <f t="shared" si="11"/>
        <v>70.76672873</v>
      </c>
      <c r="AJ75" s="121">
        <f t="shared" si="11"/>
        <v>71.09575858</v>
      </c>
      <c r="AK75" s="121">
        <f t="shared" si="11"/>
        <v>65.8686416</v>
      </c>
      <c r="AL75" s="214">
        <f t="shared" si="11"/>
        <v>60.957003</v>
      </c>
      <c r="AM75" s="121">
        <f t="shared" si="11"/>
        <v>59.581583390000006</v>
      </c>
      <c r="AN75" s="121">
        <f t="shared" si="11"/>
        <v>59.58158339</v>
      </c>
      <c r="AO75" s="121">
        <f t="shared" si="11"/>
        <v>58.831282529999996</v>
      </c>
      <c r="AP75" s="121">
        <f t="shared" si="11"/>
        <v>58.26686344</v>
      </c>
      <c r="AQ75" s="121">
        <f t="shared" si="11"/>
        <v>57.694896150000005</v>
      </c>
      <c r="AR75" s="121">
        <f t="shared" si="11"/>
        <v>57.31377226</v>
      </c>
      <c r="AS75" s="121">
        <f>+AS76+AS77</f>
        <v>54.48272322</v>
      </c>
      <c r="AT75" s="121">
        <f>+AT76+AT77</f>
        <v>53.725317419999996</v>
      </c>
      <c r="AU75" s="121">
        <f>+AU76+AU77</f>
        <v>53.95868833</v>
      </c>
      <c r="AV75" s="121">
        <f>+AV76+AV77</f>
        <v>52.90807803</v>
      </c>
      <c r="AW75" s="214">
        <f>+AW76+AW77</f>
        <v>51.513285690000004</v>
      </c>
    </row>
    <row r="76" spans="2:50" s="29" customFormat="1" ht="14.25">
      <c r="B76" s="73" t="s">
        <v>64</v>
      </c>
      <c r="C76" s="376">
        <v>0</v>
      </c>
      <c r="D76" s="376">
        <v>0</v>
      </c>
      <c r="E76" s="376">
        <v>0</v>
      </c>
      <c r="F76" s="189">
        <v>0</v>
      </c>
      <c r="G76" s="427">
        <v>0</v>
      </c>
      <c r="H76" s="376">
        <v>0</v>
      </c>
      <c r="I76" s="376">
        <v>0</v>
      </c>
      <c r="J76" s="485">
        <v>0</v>
      </c>
      <c r="K76" s="376">
        <v>0</v>
      </c>
      <c r="L76" s="376">
        <v>0</v>
      </c>
      <c r="M76" s="376">
        <v>0</v>
      </c>
      <c r="N76" s="189">
        <v>0</v>
      </c>
      <c r="O76" s="427">
        <v>0</v>
      </c>
      <c r="P76" s="376">
        <v>0</v>
      </c>
      <c r="Q76" s="376">
        <v>0</v>
      </c>
      <c r="R76" s="485">
        <v>0</v>
      </c>
      <c r="S76" s="376">
        <v>0</v>
      </c>
      <c r="T76" s="376">
        <v>0</v>
      </c>
      <c r="U76" s="376">
        <v>0</v>
      </c>
      <c r="V76" s="189">
        <v>0</v>
      </c>
      <c r="W76" s="427">
        <v>0</v>
      </c>
      <c r="X76" s="376">
        <v>0</v>
      </c>
      <c r="Y76" s="396">
        <v>11.01586565</v>
      </c>
      <c r="Z76" s="488">
        <v>11.32628678</v>
      </c>
      <c r="AA76" s="93">
        <v>16.928630700000003</v>
      </c>
      <c r="AB76" s="93">
        <v>21.79207</v>
      </c>
      <c r="AC76" s="93">
        <v>27.368730369999998</v>
      </c>
      <c r="AD76" s="224">
        <v>36.33574804</v>
      </c>
      <c r="AE76" s="198">
        <v>37.23131742</v>
      </c>
      <c r="AF76" s="125">
        <v>41.99209487</v>
      </c>
      <c r="AG76" s="125">
        <v>42.77557064</v>
      </c>
      <c r="AH76" s="257">
        <v>42.5613868</v>
      </c>
      <c r="AI76" s="441">
        <v>42.836860449999996</v>
      </c>
      <c r="AJ76" s="237">
        <v>43.0360304</v>
      </c>
      <c r="AK76" s="237">
        <v>39.87192652</v>
      </c>
      <c r="AL76" s="265">
        <v>36.89878955</v>
      </c>
      <c r="AM76" s="237">
        <v>36.066213870000006</v>
      </c>
      <c r="AN76" s="237">
        <v>36.06621387</v>
      </c>
      <c r="AO76" s="237">
        <v>35.6120381</v>
      </c>
      <c r="AP76" s="237">
        <v>35.27038119</v>
      </c>
      <c r="AQ76" s="237">
        <v>34.924155170000006</v>
      </c>
      <c r="AR76" s="237">
        <v>34.6934514</v>
      </c>
      <c r="AS76" s="237">
        <v>32.97974703</v>
      </c>
      <c r="AT76" s="237">
        <v>32.52127046</v>
      </c>
      <c r="AU76" s="237">
        <v>32.66253568</v>
      </c>
      <c r="AV76" s="237">
        <v>32.02657514</v>
      </c>
      <c r="AW76" s="584">
        <v>31.18227266</v>
      </c>
      <c r="AX76" s="63"/>
    </row>
    <row r="77" spans="2:50" s="29" customFormat="1" ht="14.25">
      <c r="B77" s="73" t="s">
        <v>65</v>
      </c>
      <c r="C77" s="376">
        <v>0</v>
      </c>
      <c r="D77" s="376">
        <v>0</v>
      </c>
      <c r="E77" s="376">
        <v>0</v>
      </c>
      <c r="F77" s="189">
        <v>0</v>
      </c>
      <c r="G77" s="427">
        <v>0</v>
      </c>
      <c r="H77" s="376">
        <v>0</v>
      </c>
      <c r="I77" s="376">
        <v>0</v>
      </c>
      <c r="J77" s="485">
        <v>0</v>
      </c>
      <c r="K77" s="376">
        <v>0</v>
      </c>
      <c r="L77" s="376">
        <v>0</v>
      </c>
      <c r="M77" s="376">
        <v>0</v>
      </c>
      <c r="N77" s="189">
        <v>0</v>
      </c>
      <c r="O77" s="427">
        <v>0</v>
      </c>
      <c r="P77" s="376">
        <v>0</v>
      </c>
      <c r="Q77" s="376">
        <v>0</v>
      </c>
      <c r="R77" s="485">
        <v>0</v>
      </c>
      <c r="S77" s="376">
        <v>0</v>
      </c>
      <c r="T77" s="376">
        <v>0</v>
      </c>
      <c r="U77" s="376">
        <v>0</v>
      </c>
      <c r="V77" s="189">
        <v>0</v>
      </c>
      <c r="W77" s="427">
        <v>0</v>
      </c>
      <c r="X77" s="376">
        <v>0</v>
      </c>
      <c r="Y77" s="376">
        <v>0</v>
      </c>
      <c r="Z77" s="485">
        <v>0</v>
      </c>
      <c r="AA77" s="179">
        <v>0</v>
      </c>
      <c r="AB77" s="93">
        <v>12.38211255</v>
      </c>
      <c r="AC77" s="93">
        <v>17.22369236</v>
      </c>
      <c r="AD77" s="224">
        <v>33.32026656</v>
      </c>
      <c r="AE77" s="198">
        <v>32.83120896</v>
      </c>
      <c r="AF77" s="125">
        <v>30.54257995</v>
      </c>
      <c r="AG77" s="125">
        <v>29.37724659</v>
      </c>
      <c r="AH77" s="257">
        <v>29.23015021</v>
      </c>
      <c r="AI77" s="441">
        <v>27.92986828</v>
      </c>
      <c r="AJ77" s="237">
        <v>28.05972818</v>
      </c>
      <c r="AK77" s="237">
        <v>25.99671508</v>
      </c>
      <c r="AL77" s="265">
        <v>24.05821345</v>
      </c>
      <c r="AM77" s="237">
        <v>23.51536952</v>
      </c>
      <c r="AN77" s="237">
        <v>23.51536952</v>
      </c>
      <c r="AO77" s="237">
        <v>23.21924443</v>
      </c>
      <c r="AP77" s="237">
        <v>22.99648225</v>
      </c>
      <c r="AQ77" s="237">
        <v>22.77074098</v>
      </c>
      <c r="AR77" s="237">
        <v>22.62032086</v>
      </c>
      <c r="AS77" s="237">
        <v>21.502976190000002</v>
      </c>
      <c r="AT77" s="237">
        <v>21.20404696</v>
      </c>
      <c r="AU77" s="237">
        <v>21.29615265</v>
      </c>
      <c r="AV77" s="237">
        <v>20.88150289</v>
      </c>
      <c r="AW77" s="584">
        <v>20.33101303</v>
      </c>
      <c r="AX77" s="63"/>
    </row>
    <row r="78" spans="1:50" ht="7.5" customHeight="1">
      <c r="A78" s="64"/>
      <c r="B78" s="267"/>
      <c r="C78" s="398"/>
      <c r="D78" s="398"/>
      <c r="E78" s="398"/>
      <c r="F78" s="270"/>
      <c r="G78" s="413"/>
      <c r="H78" s="401"/>
      <c r="I78" s="401"/>
      <c r="J78" s="487"/>
      <c r="K78" s="398"/>
      <c r="L78" s="398"/>
      <c r="M78" s="398"/>
      <c r="N78" s="270"/>
      <c r="O78" s="413"/>
      <c r="P78" s="401"/>
      <c r="Q78" s="401"/>
      <c r="R78" s="487"/>
      <c r="S78" s="398"/>
      <c r="T78" s="398"/>
      <c r="U78" s="398"/>
      <c r="V78" s="270"/>
      <c r="W78" s="412"/>
      <c r="X78" s="402"/>
      <c r="Y78" s="402"/>
      <c r="Z78" s="489"/>
      <c r="AA78" s="268"/>
      <c r="AB78" s="268"/>
      <c r="AC78" s="269"/>
      <c r="AD78" s="270"/>
      <c r="AE78" s="272"/>
      <c r="AF78" s="239"/>
      <c r="AG78" s="239"/>
      <c r="AH78" s="504"/>
      <c r="AI78" s="239"/>
      <c r="AJ78" s="239"/>
      <c r="AK78" s="239"/>
      <c r="AL78" s="259"/>
      <c r="AM78" s="239"/>
      <c r="AN78" s="239"/>
      <c r="AO78" s="239"/>
      <c r="AP78" s="239"/>
      <c r="AQ78" s="239"/>
      <c r="AR78" s="239"/>
      <c r="AS78" s="239"/>
      <c r="AT78" s="239"/>
      <c r="AU78" s="239"/>
      <c r="AV78" s="239"/>
      <c r="AW78" s="259"/>
      <c r="AX78" s="64"/>
    </row>
    <row r="79" spans="1:51" ht="15" customHeight="1">
      <c r="A79" s="64"/>
      <c r="B79" s="658" t="s">
        <v>38</v>
      </c>
      <c r="C79" s="700">
        <f aca="true" t="shared" si="12" ref="C79:AD79">+C59+C14</f>
        <v>802.86782153</v>
      </c>
      <c r="D79" s="654">
        <f t="shared" si="12"/>
        <v>810.0039333000001</v>
      </c>
      <c r="E79" s="654">
        <f t="shared" si="12"/>
        <v>792.8422169099999</v>
      </c>
      <c r="F79" s="679">
        <f t="shared" si="12"/>
        <v>799.6521314799999</v>
      </c>
      <c r="G79" s="700">
        <f t="shared" si="12"/>
        <v>796.90295694</v>
      </c>
      <c r="H79" s="654">
        <f t="shared" si="12"/>
        <v>779.55914272</v>
      </c>
      <c r="I79" s="654">
        <f t="shared" si="12"/>
        <v>851.20916274</v>
      </c>
      <c r="J79" s="679">
        <f t="shared" si="12"/>
        <v>835.92632592</v>
      </c>
      <c r="K79" s="700">
        <f t="shared" si="12"/>
        <v>877.0189841299998</v>
      </c>
      <c r="L79" s="654">
        <f t="shared" si="12"/>
        <v>839.39059834</v>
      </c>
      <c r="M79" s="654">
        <f t="shared" si="12"/>
        <v>846.7581844499999</v>
      </c>
      <c r="N79" s="679">
        <f t="shared" si="12"/>
        <v>936.3425380300002</v>
      </c>
      <c r="O79" s="700">
        <f t="shared" si="12"/>
        <v>897.9956143300001</v>
      </c>
      <c r="P79" s="654">
        <f t="shared" si="12"/>
        <v>922.3444531700001</v>
      </c>
      <c r="Q79" s="654">
        <f t="shared" si="12"/>
        <v>953.3543929700002</v>
      </c>
      <c r="R79" s="679">
        <f t="shared" si="12"/>
        <v>955.48702339</v>
      </c>
      <c r="S79" s="700">
        <f t="shared" si="12"/>
        <v>1022.29001389</v>
      </c>
      <c r="T79" s="654">
        <f t="shared" si="12"/>
        <v>1162.6213926700002</v>
      </c>
      <c r="U79" s="654">
        <f t="shared" si="12"/>
        <v>1216.61928387</v>
      </c>
      <c r="V79" s="679">
        <f t="shared" si="12"/>
        <v>1302.04219434</v>
      </c>
      <c r="W79" s="700">
        <f t="shared" si="12"/>
        <v>1260.9571044200002</v>
      </c>
      <c r="X79" s="654">
        <f t="shared" si="12"/>
        <v>1250.96245804</v>
      </c>
      <c r="Y79" s="654">
        <f t="shared" si="12"/>
        <v>1292.7024876900002</v>
      </c>
      <c r="Z79" s="702">
        <f t="shared" si="12"/>
        <v>1312.47365665</v>
      </c>
      <c r="AA79" s="654">
        <f t="shared" si="12"/>
        <v>1263.83214488</v>
      </c>
      <c r="AB79" s="654">
        <f t="shared" si="12"/>
        <v>2041.8267532800865</v>
      </c>
      <c r="AC79" s="665">
        <f t="shared" si="12"/>
        <v>2078.357315266297</v>
      </c>
      <c r="AD79" s="679">
        <f t="shared" si="12"/>
        <v>2067.4719554954763</v>
      </c>
      <c r="AE79" s="675">
        <f aca="true" t="shared" si="13" ref="AE79:AU79">+AE14+AE59</f>
        <v>1942.0341114625248</v>
      </c>
      <c r="AF79" s="633">
        <f t="shared" si="13"/>
        <v>1861.2457206686527</v>
      </c>
      <c r="AG79" s="633">
        <f t="shared" si="13"/>
        <v>1837.72411325289</v>
      </c>
      <c r="AH79" s="621">
        <f t="shared" si="13"/>
        <v>1762.792548828712</v>
      </c>
      <c r="AI79" s="633">
        <f t="shared" si="13"/>
        <v>1774.7518461781842</v>
      </c>
      <c r="AJ79" s="633">
        <f t="shared" si="13"/>
        <v>1772.9511832008873</v>
      </c>
      <c r="AK79" s="633">
        <f t="shared" si="13"/>
        <v>1666.7724519569715</v>
      </c>
      <c r="AL79" s="621">
        <f t="shared" si="13"/>
        <v>1587.3599364913048</v>
      </c>
      <c r="AM79" s="633">
        <f t="shared" si="13"/>
        <v>1508.091471006233</v>
      </c>
      <c r="AN79" s="633">
        <f t="shared" si="13"/>
        <v>1494.9111342699998</v>
      </c>
      <c r="AO79" s="633">
        <f t="shared" si="13"/>
        <v>1490.37252278</v>
      </c>
      <c r="AP79" s="633">
        <f t="shared" si="13"/>
        <v>1500.4373858999998</v>
      </c>
      <c r="AQ79" s="633">
        <f t="shared" si="13"/>
        <v>1485.6564505299998</v>
      </c>
      <c r="AR79" s="633">
        <f t="shared" si="13"/>
        <v>1460.0954124</v>
      </c>
      <c r="AS79" s="633">
        <f t="shared" si="13"/>
        <v>1446.22789767</v>
      </c>
      <c r="AT79" s="633">
        <f t="shared" si="13"/>
        <v>1480.1755488099998</v>
      </c>
      <c r="AU79" s="633">
        <f t="shared" si="13"/>
        <v>1457.0702352199999</v>
      </c>
      <c r="AV79" s="633">
        <f>+AV14+AV59</f>
        <v>1487.7791396500002</v>
      </c>
      <c r="AW79" s="705">
        <f>+AW14+AW59</f>
        <v>1527.0752550800003</v>
      </c>
      <c r="AX79" s="64"/>
      <c r="AY79" s="64"/>
    </row>
    <row r="80" spans="1:51" ht="15" customHeight="1">
      <c r="A80" s="64"/>
      <c r="B80" s="659"/>
      <c r="C80" s="701"/>
      <c r="D80" s="655"/>
      <c r="E80" s="655"/>
      <c r="F80" s="680"/>
      <c r="G80" s="701"/>
      <c r="H80" s="655"/>
      <c r="I80" s="655"/>
      <c r="J80" s="680"/>
      <c r="K80" s="701"/>
      <c r="L80" s="655"/>
      <c r="M80" s="655"/>
      <c r="N80" s="680"/>
      <c r="O80" s="701"/>
      <c r="P80" s="655"/>
      <c r="Q80" s="655"/>
      <c r="R80" s="680"/>
      <c r="S80" s="701"/>
      <c r="T80" s="655"/>
      <c r="U80" s="655"/>
      <c r="V80" s="680"/>
      <c r="W80" s="701"/>
      <c r="X80" s="655"/>
      <c r="Y80" s="655"/>
      <c r="Z80" s="703"/>
      <c r="AA80" s="655"/>
      <c r="AB80" s="655"/>
      <c r="AC80" s="666"/>
      <c r="AD80" s="680"/>
      <c r="AE80" s="676"/>
      <c r="AF80" s="634"/>
      <c r="AG80" s="634"/>
      <c r="AH80" s="622"/>
      <c r="AI80" s="634"/>
      <c r="AJ80" s="634"/>
      <c r="AK80" s="634"/>
      <c r="AL80" s="622"/>
      <c r="AM80" s="634"/>
      <c r="AN80" s="704"/>
      <c r="AO80" s="704"/>
      <c r="AP80" s="704"/>
      <c r="AQ80" s="704"/>
      <c r="AR80" s="704"/>
      <c r="AS80" s="704"/>
      <c r="AT80" s="704"/>
      <c r="AU80" s="704"/>
      <c r="AV80" s="704"/>
      <c r="AW80" s="706"/>
      <c r="AX80" s="64"/>
      <c r="AY80" s="64"/>
    </row>
    <row r="81" spans="1:51" ht="6.75" customHeight="1">
      <c r="A81" s="64"/>
      <c r="B81" s="274"/>
      <c r="C81" s="399"/>
      <c r="D81" s="399"/>
      <c r="E81" s="399"/>
      <c r="F81" s="274"/>
      <c r="G81" s="399"/>
      <c r="H81" s="399"/>
      <c r="I81" s="399"/>
      <c r="J81" s="274"/>
      <c r="K81" s="399"/>
      <c r="L81" s="399"/>
      <c r="M81" s="399"/>
      <c r="N81" s="274"/>
      <c r="O81" s="399"/>
      <c r="P81" s="399"/>
      <c r="Q81" s="399"/>
      <c r="R81" s="274"/>
      <c r="S81" s="399"/>
      <c r="T81" s="399"/>
      <c r="U81" s="399"/>
      <c r="V81" s="274"/>
      <c r="W81" s="399"/>
      <c r="X81" s="399"/>
      <c r="Y81" s="399"/>
      <c r="Z81" s="274"/>
      <c r="AA81" s="274"/>
      <c r="AB81" s="274"/>
      <c r="AC81" s="275"/>
      <c r="AD81" s="275"/>
      <c r="AE81" s="64"/>
      <c r="AF81" s="116"/>
      <c r="AG81" s="116"/>
      <c r="AH81" s="116"/>
      <c r="AI81" s="231"/>
      <c r="AJ81" s="231"/>
      <c r="AK81" s="231"/>
      <c r="AL81" s="231"/>
      <c r="AM81" s="231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</row>
    <row r="82" spans="1:51" ht="15">
      <c r="A82" s="64"/>
      <c r="B82" s="28" t="s">
        <v>82</v>
      </c>
      <c r="C82" s="377"/>
      <c r="D82" s="377"/>
      <c r="E82" s="377"/>
      <c r="F82" s="28"/>
      <c r="G82" s="377"/>
      <c r="H82" s="377"/>
      <c r="I82" s="377"/>
      <c r="J82" s="28"/>
      <c r="K82" s="377"/>
      <c r="L82" s="377"/>
      <c r="M82" s="377"/>
      <c r="N82" s="28"/>
      <c r="O82" s="377"/>
      <c r="P82" s="377"/>
      <c r="Q82" s="377"/>
      <c r="R82" s="28"/>
      <c r="S82" s="377"/>
      <c r="T82" s="377"/>
      <c r="U82" s="377"/>
      <c r="V82" s="28"/>
      <c r="W82" s="377"/>
      <c r="X82" s="377"/>
      <c r="Y82" s="377"/>
      <c r="Z82" s="28"/>
      <c r="AA82" s="28"/>
      <c r="AB82" s="28"/>
      <c r="AC82" s="63"/>
      <c r="AD82" s="63"/>
      <c r="AE82" s="63"/>
      <c r="AF82" s="116"/>
      <c r="AG82" s="116"/>
      <c r="AH82" s="116"/>
      <c r="AI82" s="231"/>
      <c r="AJ82" s="231"/>
      <c r="AK82" s="231"/>
      <c r="AL82" s="231"/>
      <c r="AM82" s="231"/>
      <c r="AN82" s="64"/>
      <c r="AO82" s="601"/>
      <c r="AP82" s="601"/>
      <c r="AQ82" s="601"/>
      <c r="AR82" s="601"/>
      <c r="AS82" s="601"/>
      <c r="AT82" s="601"/>
      <c r="AU82" s="601"/>
      <c r="AV82" s="601"/>
      <c r="AW82" s="601"/>
      <c r="AX82" s="64"/>
      <c r="AY82" s="64"/>
    </row>
    <row r="83" spans="1:54" ht="15">
      <c r="A83" s="64"/>
      <c r="B83" s="63" t="s">
        <v>137</v>
      </c>
      <c r="C83" s="378"/>
      <c r="D83" s="378"/>
      <c r="E83" s="378"/>
      <c r="F83" s="63"/>
      <c r="G83" s="378"/>
      <c r="H83" s="378"/>
      <c r="I83" s="378"/>
      <c r="J83" s="63"/>
      <c r="K83" s="378"/>
      <c r="L83" s="378"/>
      <c r="M83" s="378"/>
      <c r="N83" s="63"/>
      <c r="O83" s="378"/>
      <c r="P83" s="378"/>
      <c r="Q83" s="378"/>
      <c r="R83" s="63"/>
      <c r="S83" s="378"/>
      <c r="T83" s="378"/>
      <c r="U83" s="378"/>
      <c r="V83" s="63"/>
      <c r="W83" s="378"/>
      <c r="X83" s="378"/>
      <c r="Y83" s="378"/>
      <c r="Z83" s="63"/>
      <c r="AA83" s="518"/>
      <c r="AB83" s="518"/>
      <c r="AC83" s="519"/>
      <c r="AD83" s="519"/>
      <c r="AE83" s="64"/>
      <c r="AF83" s="116"/>
      <c r="AG83" s="116"/>
      <c r="AH83" s="116"/>
      <c r="AI83" s="231"/>
      <c r="AJ83" s="231"/>
      <c r="AK83" s="231"/>
      <c r="AL83" s="231"/>
      <c r="AM83" s="231"/>
      <c r="AN83" s="64"/>
      <c r="AO83" s="64"/>
      <c r="AP83" s="64"/>
      <c r="AQ83" s="64"/>
      <c r="AR83" s="64"/>
      <c r="AS83" s="64"/>
      <c r="AT83" s="581"/>
      <c r="AU83" s="581"/>
      <c r="AV83" s="581"/>
      <c r="AW83" s="581"/>
      <c r="AX83" s="64"/>
      <c r="AY83" s="64"/>
      <c r="AZ83" s="64"/>
      <c r="BA83" s="64"/>
      <c r="BB83" s="64"/>
    </row>
    <row r="84" spans="1:54" s="133" customFormat="1" ht="15">
      <c r="A84" s="498"/>
      <c r="B84" s="63" t="s">
        <v>138</v>
      </c>
      <c r="C84" s="499"/>
      <c r="D84" s="499"/>
      <c r="E84" s="499"/>
      <c r="F84" s="498"/>
      <c r="G84" s="499"/>
      <c r="H84" s="499"/>
      <c r="I84" s="499"/>
      <c r="J84" s="498"/>
      <c r="K84" s="499"/>
      <c r="L84" s="499"/>
      <c r="M84" s="499"/>
      <c r="N84" s="498"/>
      <c r="O84" s="499"/>
      <c r="P84" s="499"/>
      <c r="Q84" s="499"/>
      <c r="R84" s="498"/>
      <c r="S84" s="499"/>
      <c r="T84" s="499"/>
      <c r="U84" s="499"/>
      <c r="V84" s="498"/>
      <c r="W84" s="499"/>
      <c r="X84" s="499"/>
      <c r="Y84" s="499"/>
      <c r="Z84" s="498"/>
      <c r="AA84" s="520"/>
      <c r="AB84" s="520"/>
      <c r="AC84" s="520"/>
      <c r="AD84" s="520"/>
      <c r="AE84" s="498"/>
      <c r="AF84" s="501"/>
      <c r="AG84" s="501"/>
      <c r="AH84" s="501"/>
      <c r="AI84" s="502"/>
      <c r="AJ84" s="502"/>
      <c r="AK84" s="502"/>
      <c r="AL84" s="502"/>
      <c r="AM84" s="502"/>
      <c r="AN84" s="498"/>
      <c r="AO84" s="498"/>
      <c r="AP84" s="498"/>
      <c r="AQ84" s="498"/>
      <c r="AR84" s="498"/>
      <c r="AS84" s="498"/>
      <c r="AT84" s="498"/>
      <c r="AU84" s="498"/>
      <c r="AV84" s="498"/>
      <c r="AW84" s="498"/>
      <c r="AX84" s="498"/>
      <c r="AY84" s="498"/>
      <c r="AZ84" s="498"/>
      <c r="BA84" s="498"/>
      <c r="BB84" s="498"/>
    </row>
    <row r="85" spans="1:54" s="133" customFormat="1" ht="15">
      <c r="A85" s="498"/>
      <c r="B85" s="63" t="s">
        <v>139</v>
      </c>
      <c r="C85" s="499"/>
      <c r="D85" s="499"/>
      <c r="E85" s="499"/>
      <c r="F85" s="498"/>
      <c r="G85" s="499"/>
      <c r="H85" s="499"/>
      <c r="I85" s="499"/>
      <c r="J85" s="498"/>
      <c r="K85" s="499"/>
      <c r="L85" s="499"/>
      <c r="M85" s="499"/>
      <c r="N85" s="498"/>
      <c r="O85" s="499"/>
      <c r="P85" s="499"/>
      <c r="Q85" s="499"/>
      <c r="R85" s="498"/>
      <c r="S85" s="499"/>
      <c r="T85" s="499"/>
      <c r="U85" s="499"/>
      <c r="V85" s="498"/>
      <c r="W85" s="499"/>
      <c r="X85" s="499"/>
      <c r="Y85" s="499"/>
      <c r="Z85" s="498"/>
      <c r="AA85" s="520"/>
      <c r="AB85" s="520"/>
      <c r="AC85" s="520"/>
      <c r="AD85" s="520"/>
      <c r="AE85" s="498"/>
      <c r="AF85" s="501"/>
      <c r="AG85" s="501"/>
      <c r="AH85" s="501"/>
      <c r="AI85" s="588"/>
      <c r="AJ85" s="588"/>
      <c r="AK85" s="588"/>
      <c r="AL85" s="588"/>
      <c r="AM85" s="588"/>
      <c r="AN85" s="589"/>
      <c r="AO85" s="498"/>
      <c r="AP85" s="498"/>
      <c r="AQ85" s="498"/>
      <c r="AR85" s="498"/>
      <c r="AS85" s="498"/>
      <c r="AT85" s="498"/>
      <c r="AU85" s="498"/>
      <c r="AV85" s="498"/>
      <c r="AW85" s="498"/>
      <c r="AX85" s="498"/>
      <c r="AY85" s="498"/>
      <c r="AZ85" s="498"/>
      <c r="BA85" s="498"/>
      <c r="BB85" s="498"/>
    </row>
    <row r="86" spans="1:54" ht="14.25">
      <c r="A86" s="64"/>
      <c r="B86" s="63"/>
      <c r="C86" s="493">
        <v>38777</v>
      </c>
      <c r="D86" s="493">
        <v>38869</v>
      </c>
      <c r="E86" s="493">
        <v>38961</v>
      </c>
      <c r="F86" s="494">
        <v>39052</v>
      </c>
      <c r="G86" s="493">
        <v>39142</v>
      </c>
      <c r="H86" s="493">
        <v>39234</v>
      </c>
      <c r="I86" s="493">
        <v>39326</v>
      </c>
      <c r="J86" s="494">
        <v>39417</v>
      </c>
      <c r="K86" s="493">
        <v>39508</v>
      </c>
      <c r="L86" s="493">
        <v>39600</v>
      </c>
      <c r="M86" s="493">
        <v>39692</v>
      </c>
      <c r="N86" s="494">
        <v>39783</v>
      </c>
      <c r="O86" s="493">
        <v>39873</v>
      </c>
      <c r="P86" s="493">
        <v>39965</v>
      </c>
      <c r="Q86" s="493">
        <v>40057</v>
      </c>
      <c r="R86" s="494">
        <v>40148</v>
      </c>
      <c r="S86" s="493">
        <v>40238</v>
      </c>
      <c r="T86" s="493">
        <v>40330</v>
      </c>
      <c r="U86" s="493">
        <v>40422</v>
      </c>
      <c r="V86" s="494">
        <v>40513</v>
      </c>
      <c r="W86" s="493">
        <v>40603</v>
      </c>
      <c r="X86" s="494">
        <v>40695</v>
      </c>
      <c r="Y86" s="494">
        <v>40787</v>
      </c>
      <c r="Z86" s="494">
        <v>40878</v>
      </c>
      <c r="AA86" s="570">
        <v>40969</v>
      </c>
      <c r="AB86" s="570">
        <v>41061</v>
      </c>
      <c r="AC86" s="570">
        <v>41153</v>
      </c>
      <c r="AD86" s="570">
        <v>41244</v>
      </c>
      <c r="AE86" s="571">
        <v>41334</v>
      </c>
      <c r="AF86" s="571">
        <v>41426</v>
      </c>
      <c r="AG86" s="571">
        <v>41518</v>
      </c>
      <c r="AH86" s="571">
        <v>41609</v>
      </c>
      <c r="AI86" s="571">
        <v>41699</v>
      </c>
      <c r="AJ86" s="571">
        <v>41791</v>
      </c>
      <c r="AK86" s="571">
        <v>41883</v>
      </c>
      <c r="AL86" s="571">
        <v>41974</v>
      </c>
      <c r="AM86" s="571">
        <v>42005</v>
      </c>
      <c r="AN86" s="571">
        <v>42036</v>
      </c>
      <c r="AO86" s="595">
        <v>42064</v>
      </c>
      <c r="AP86" s="595">
        <v>42095</v>
      </c>
      <c r="AQ86" s="595">
        <v>42125</v>
      </c>
      <c r="AR86" s="595">
        <v>42156</v>
      </c>
      <c r="AS86" s="595">
        <v>42186</v>
      </c>
      <c r="AT86" s="595">
        <v>42217</v>
      </c>
      <c r="AU86" s="595">
        <v>42248</v>
      </c>
      <c r="AV86" s="595">
        <v>42278</v>
      </c>
      <c r="AW86" s="595">
        <v>42309</v>
      </c>
      <c r="AX86" s="64"/>
      <c r="AY86" s="64"/>
      <c r="AZ86" s="64"/>
      <c r="BA86" s="64"/>
      <c r="BB86" s="64"/>
    </row>
    <row r="87" spans="1:54" ht="14.25">
      <c r="A87" s="64"/>
      <c r="B87" s="63"/>
      <c r="C87" s="495">
        <v>3.358</v>
      </c>
      <c r="D87" s="495">
        <v>3.26</v>
      </c>
      <c r="E87" s="495">
        <v>3.25</v>
      </c>
      <c r="F87" s="495">
        <v>3.197</v>
      </c>
      <c r="G87" s="495">
        <v>3.184</v>
      </c>
      <c r="H87" s="495">
        <v>3.169</v>
      </c>
      <c r="I87" s="495">
        <v>3.087</v>
      </c>
      <c r="J87" s="495">
        <v>2.997</v>
      </c>
      <c r="K87" s="495">
        <v>2.746</v>
      </c>
      <c r="L87" s="495">
        <v>2.967</v>
      </c>
      <c r="M87" s="495">
        <v>2.977</v>
      </c>
      <c r="N87" s="495">
        <v>3.142</v>
      </c>
      <c r="O87" s="495">
        <v>3.161</v>
      </c>
      <c r="P87" s="495">
        <v>3.011</v>
      </c>
      <c r="Q87" s="495">
        <v>2.885</v>
      </c>
      <c r="R87" s="495">
        <v>2.891</v>
      </c>
      <c r="S87" s="495">
        <v>2.842</v>
      </c>
      <c r="T87" s="495">
        <v>2.827</v>
      </c>
      <c r="U87" s="495">
        <v>2.788</v>
      </c>
      <c r="V87" s="495">
        <v>2.809</v>
      </c>
      <c r="W87" s="495">
        <v>2.805</v>
      </c>
      <c r="X87" s="495">
        <v>2.75</v>
      </c>
      <c r="Y87" s="495">
        <v>2.773</v>
      </c>
      <c r="Z87" s="495">
        <v>2.697</v>
      </c>
      <c r="AA87" s="572">
        <v>2.668</v>
      </c>
      <c r="AB87" s="572">
        <v>2.671</v>
      </c>
      <c r="AC87" s="572">
        <v>2.598</v>
      </c>
      <c r="AD87" s="572">
        <v>2.551</v>
      </c>
      <c r="AE87" s="573">
        <v>0.386249517188</v>
      </c>
      <c r="AF87" s="563">
        <v>2.783</v>
      </c>
      <c r="AG87" s="563">
        <v>2.782</v>
      </c>
      <c r="AH87" s="563">
        <v>2.796</v>
      </c>
      <c r="AI87" s="563">
        <v>2.809</v>
      </c>
      <c r="AJ87" s="563">
        <v>2.796</v>
      </c>
      <c r="AK87" s="563">
        <v>2.892</v>
      </c>
      <c r="AL87" s="563">
        <v>2.989</v>
      </c>
      <c r="AM87" s="563">
        <v>3.058</v>
      </c>
      <c r="AN87" s="563">
        <v>3.095</v>
      </c>
      <c r="AO87" s="293">
        <v>3.097</v>
      </c>
      <c r="AP87" s="293">
        <v>3.127</v>
      </c>
      <c r="AQ87" s="293">
        <v>3.158</v>
      </c>
      <c r="AR87" s="293">
        <v>3.179</v>
      </c>
      <c r="AS87" s="293">
        <v>3.192</v>
      </c>
      <c r="AT87" s="293">
        <v>3.237</v>
      </c>
      <c r="AU87" s="293">
        <v>3.223</v>
      </c>
      <c r="AV87" s="293">
        <v>3.287</v>
      </c>
      <c r="AW87" s="293">
        <v>3.376</v>
      </c>
      <c r="AX87" s="64"/>
      <c r="AY87" s="64"/>
      <c r="AZ87" s="64"/>
      <c r="BA87" s="64"/>
      <c r="BB87" s="64"/>
    </row>
    <row r="88" spans="1:54" ht="15">
      <c r="A88" s="516"/>
      <c r="B88" s="517"/>
      <c r="C88" s="496">
        <f aca="true" t="shared" si="14" ref="C88:AD88">+C79*C87</f>
        <v>2696.03014469774</v>
      </c>
      <c r="D88" s="496">
        <f t="shared" si="14"/>
        <v>2640.612822558</v>
      </c>
      <c r="E88" s="496">
        <f t="shared" si="14"/>
        <v>2576.7372049574997</v>
      </c>
      <c r="F88" s="496">
        <f t="shared" si="14"/>
        <v>2556.4878643415595</v>
      </c>
      <c r="G88" s="496">
        <f t="shared" si="14"/>
        <v>2537.33901489696</v>
      </c>
      <c r="H88" s="496">
        <f t="shared" si="14"/>
        <v>2470.4229232796797</v>
      </c>
      <c r="I88" s="496">
        <f t="shared" si="14"/>
        <v>2627.68268537838</v>
      </c>
      <c r="J88" s="496">
        <f t="shared" si="14"/>
        <v>2505.27119878224</v>
      </c>
      <c r="K88" s="496">
        <f t="shared" si="14"/>
        <v>2408.2941304209794</v>
      </c>
      <c r="L88" s="496">
        <f t="shared" si="14"/>
        <v>2490.47190527478</v>
      </c>
      <c r="M88" s="496">
        <f t="shared" si="14"/>
        <v>2520.79911510765</v>
      </c>
      <c r="N88" s="496">
        <f t="shared" si="14"/>
        <v>2941.9882544902607</v>
      </c>
      <c r="O88" s="496">
        <f t="shared" si="14"/>
        <v>2838.56413689713</v>
      </c>
      <c r="P88" s="496">
        <f t="shared" si="14"/>
        <v>2777.1791484948703</v>
      </c>
      <c r="Q88" s="496">
        <f t="shared" si="14"/>
        <v>2750.4274237184504</v>
      </c>
      <c r="R88" s="496">
        <f t="shared" si="14"/>
        <v>2762.31298462049</v>
      </c>
      <c r="S88" s="496">
        <f t="shared" si="14"/>
        <v>2905.34821947538</v>
      </c>
      <c r="T88" s="496">
        <f t="shared" si="14"/>
        <v>3286.7306770780906</v>
      </c>
      <c r="U88" s="496">
        <f t="shared" si="14"/>
        <v>3391.9345634295596</v>
      </c>
      <c r="V88" s="496">
        <f t="shared" si="14"/>
        <v>3657.43652390106</v>
      </c>
      <c r="W88" s="496">
        <f t="shared" si="14"/>
        <v>3536.984677898101</v>
      </c>
      <c r="X88" s="496">
        <f t="shared" si="14"/>
        <v>3440.14675961</v>
      </c>
      <c r="Y88" s="496">
        <f t="shared" si="14"/>
        <v>3584.663998364371</v>
      </c>
      <c r="Z88" s="496">
        <f t="shared" si="14"/>
        <v>3539.7414519850504</v>
      </c>
      <c r="AA88" s="574">
        <f t="shared" si="14"/>
        <v>3371.90416253984</v>
      </c>
      <c r="AB88" s="574">
        <f t="shared" si="14"/>
        <v>5453.7192580111105</v>
      </c>
      <c r="AC88" s="574">
        <f t="shared" si="14"/>
        <v>5399.57230506184</v>
      </c>
      <c r="AD88" s="574">
        <f t="shared" si="14"/>
        <v>5274.12095846896</v>
      </c>
      <c r="AE88" s="575">
        <f>+AE79/AE87</f>
        <v>5027.926314577824</v>
      </c>
      <c r="AF88" s="575">
        <f aca="true" t="shared" si="15" ref="AF88:AR88">+AF79*AF87</f>
        <v>5179.84684062086</v>
      </c>
      <c r="AG88" s="575">
        <f t="shared" si="15"/>
        <v>5112.54848306954</v>
      </c>
      <c r="AH88" s="575">
        <f t="shared" si="15"/>
        <v>4928.767966525078</v>
      </c>
      <c r="AI88" s="575">
        <f t="shared" si="15"/>
        <v>4985.27793591452</v>
      </c>
      <c r="AJ88" s="575">
        <f t="shared" si="15"/>
        <v>4957.1715082296805</v>
      </c>
      <c r="AK88" s="575">
        <f t="shared" si="15"/>
        <v>4820.305931059562</v>
      </c>
      <c r="AL88" s="575">
        <f t="shared" si="15"/>
        <v>4744.61885017251</v>
      </c>
      <c r="AM88" s="575">
        <f t="shared" si="15"/>
        <v>4611.74371833706</v>
      </c>
      <c r="AN88" s="575">
        <f t="shared" si="15"/>
        <v>4626.749960565649</v>
      </c>
      <c r="AO88" s="596">
        <f t="shared" si="15"/>
        <v>4615.68370304966</v>
      </c>
      <c r="AP88" s="596">
        <f t="shared" si="15"/>
        <v>4691.867705709299</v>
      </c>
      <c r="AQ88" s="596">
        <f t="shared" si="15"/>
        <v>4691.7030707737395</v>
      </c>
      <c r="AR88" s="596">
        <f t="shared" si="15"/>
        <v>4641.643316019599</v>
      </c>
      <c r="AS88" s="597">
        <f>+AS79*AS87</f>
        <v>4616.35944936264</v>
      </c>
      <c r="AT88" s="597">
        <f>+AT79*AT87</f>
        <v>4791.328251497969</v>
      </c>
      <c r="AU88" s="597">
        <f>+AU79*AU87</f>
        <v>4696.137368114059</v>
      </c>
      <c r="AV88" s="597">
        <f>+AV79*AV87</f>
        <v>4890.33003202955</v>
      </c>
      <c r="AW88" s="597">
        <f>+AW79*AW87</f>
        <v>5155.406061150081</v>
      </c>
      <c r="AX88" s="64"/>
      <c r="AY88" s="64"/>
      <c r="AZ88" s="64"/>
      <c r="BA88" s="64"/>
      <c r="BB88" s="64"/>
    </row>
    <row r="89" spans="1:54" ht="15" customHeight="1">
      <c r="A89" s="516"/>
      <c r="B89" s="517"/>
      <c r="C89" s="497">
        <f aca="true" t="shared" si="16" ref="C89:AU89">+C88-C164</f>
        <v>0</v>
      </c>
      <c r="D89" s="497">
        <f t="shared" si="16"/>
        <v>0</v>
      </c>
      <c r="E89" s="497">
        <f t="shared" si="16"/>
        <v>0</v>
      </c>
      <c r="F89" s="497">
        <f t="shared" si="16"/>
        <v>0</v>
      </c>
      <c r="G89" s="497">
        <f t="shared" si="16"/>
        <v>0</v>
      </c>
      <c r="H89" s="497">
        <f t="shared" si="16"/>
        <v>0</v>
      </c>
      <c r="I89" s="497">
        <f t="shared" si="16"/>
        <v>0</v>
      </c>
      <c r="J89" s="497">
        <f t="shared" si="16"/>
        <v>0</v>
      </c>
      <c r="K89" s="497">
        <f t="shared" si="16"/>
        <v>0</v>
      </c>
      <c r="L89" s="497">
        <f t="shared" si="16"/>
        <v>0</v>
      </c>
      <c r="M89" s="497">
        <f t="shared" si="16"/>
        <v>0</v>
      </c>
      <c r="N89" s="497">
        <f t="shared" si="16"/>
        <v>0</v>
      </c>
      <c r="O89" s="497">
        <f t="shared" si="16"/>
        <v>0</v>
      </c>
      <c r="P89" s="497">
        <f t="shared" si="16"/>
        <v>0</v>
      </c>
      <c r="Q89" s="497">
        <f t="shared" si="16"/>
        <v>0</v>
      </c>
      <c r="R89" s="497">
        <f t="shared" si="16"/>
        <v>0</v>
      </c>
      <c r="S89" s="497">
        <f t="shared" si="16"/>
        <v>0</v>
      </c>
      <c r="T89" s="497">
        <f t="shared" si="16"/>
        <v>0</v>
      </c>
      <c r="U89" s="497">
        <f t="shared" si="16"/>
        <v>0</v>
      </c>
      <c r="V89" s="497">
        <f t="shared" si="16"/>
        <v>0</v>
      </c>
      <c r="W89" s="497">
        <f t="shared" si="16"/>
        <v>0</v>
      </c>
      <c r="X89" s="497">
        <f t="shared" si="16"/>
        <v>0</v>
      </c>
      <c r="Y89" s="497">
        <f t="shared" si="16"/>
        <v>0</v>
      </c>
      <c r="Z89" s="497">
        <f t="shared" si="16"/>
        <v>0</v>
      </c>
      <c r="AA89" s="576">
        <f t="shared" si="16"/>
        <v>0</v>
      </c>
      <c r="AB89" s="576">
        <f t="shared" si="16"/>
        <v>0</v>
      </c>
      <c r="AC89" s="576">
        <f t="shared" si="16"/>
        <v>0</v>
      </c>
      <c r="AD89" s="576">
        <f t="shared" si="16"/>
        <v>0</v>
      </c>
      <c r="AE89" s="577">
        <f t="shared" si="16"/>
        <v>0</v>
      </c>
      <c r="AF89" s="578">
        <f t="shared" si="16"/>
        <v>0</v>
      </c>
      <c r="AG89" s="579">
        <f t="shared" si="16"/>
        <v>0</v>
      </c>
      <c r="AH89" s="579">
        <f t="shared" si="16"/>
        <v>0</v>
      </c>
      <c r="AI89" s="579">
        <f t="shared" si="16"/>
        <v>0</v>
      </c>
      <c r="AJ89" s="579">
        <f t="shared" si="16"/>
        <v>0</v>
      </c>
      <c r="AK89" s="579">
        <f t="shared" si="16"/>
        <v>0</v>
      </c>
      <c r="AL89" s="579">
        <f t="shared" si="16"/>
        <v>0</v>
      </c>
      <c r="AM89" s="579">
        <f t="shared" si="16"/>
        <v>0</v>
      </c>
      <c r="AN89" s="579">
        <f t="shared" si="16"/>
        <v>0</v>
      </c>
      <c r="AO89" s="598">
        <f t="shared" si="16"/>
        <v>0</v>
      </c>
      <c r="AP89" s="598">
        <f t="shared" si="16"/>
        <v>0</v>
      </c>
      <c r="AQ89" s="598">
        <f t="shared" si="16"/>
        <v>0</v>
      </c>
      <c r="AR89" s="598">
        <f t="shared" si="16"/>
        <v>0</v>
      </c>
      <c r="AS89" s="598">
        <f t="shared" si="16"/>
        <v>0</v>
      </c>
      <c r="AT89" s="598">
        <f t="shared" si="16"/>
        <v>0</v>
      </c>
      <c r="AU89" s="598">
        <f t="shared" si="16"/>
        <v>0</v>
      </c>
      <c r="AV89" s="598">
        <f>+AV88-AV164</f>
        <v>0</v>
      </c>
      <c r="AW89" s="598">
        <f>+AW88-AW164</f>
        <v>0</v>
      </c>
      <c r="AX89" s="64"/>
      <c r="AY89" s="64"/>
      <c r="AZ89" s="64"/>
      <c r="BA89" s="64"/>
      <c r="BB89" s="64"/>
    </row>
    <row r="90" spans="1:54" ht="18">
      <c r="A90" s="64"/>
      <c r="B90" s="44" t="s">
        <v>84</v>
      </c>
      <c r="C90" s="379"/>
      <c r="D90" s="379"/>
      <c r="E90" s="379"/>
      <c r="F90" s="44"/>
      <c r="G90" s="379"/>
      <c r="H90" s="379"/>
      <c r="I90" s="379"/>
      <c r="J90" s="44"/>
      <c r="K90" s="379"/>
      <c r="L90" s="379"/>
      <c r="M90" s="379"/>
      <c r="N90" s="44"/>
      <c r="O90" s="379"/>
      <c r="P90" s="379"/>
      <c r="Q90" s="379"/>
      <c r="R90" s="44"/>
      <c r="S90" s="379"/>
      <c r="T90" s="379"/>
      <c r="U90" s="379"/>
      <c r="V90" s="44"/>
      <c r="W90" s="379"/>
      <c r="X90" s="379"/>
      <c r="Y90" s="379"/>
      <c r="Z90" s="44"/>
      <c r="AA90" s="44"/>
      <c r="AB90" s="44"/>
      <c r="AC90" s="11"/>
      <c r="AD90" s="11"/>
      <c r="AE90" s="65"/>
      <c r="AF90" s="64"/>
      <c r="AG90" s="213"/>
      <c r="AH90" s="228"/>
      <c r="AI90" s="590"/>
      <c r="AJ90" s="590"/>
      <c r="AK90" s="590"/>
      <c r="AL90" s="591"/>
      <c r="AM90" s="591"/>
      <c r="AN90" s="516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</row>
    <row r="91" spans="1:54" ht="15.75">
      <c r="A91" s="64"/>
      <c r="B91" s="45" t="str">
        <f>+B6</f>
        <v>POR OPERACIONES DE ENDEUDAMIENTO, SECTOR INSTITUCIONAL Y DEUDOR</v>
      </c>
      <c r="C91" s="380"/>
      <c r="D91" s="380"/>
      <c r="E91" s="380"/>
      <c r="F91" s="211"/>
      <c r="G91" s="380"/>
      <c r="H91" s="380"/>
      <c r="I91" s="380"/>
      <c r="J91" s="211"/>
      <c r="K91" s="380"/>
      <c r="L91" s="380"/>
      <c r="M91" s="380"/>
      <c r="N91" s="211"/>
      <c r="O91" s="380"/>
      <c r="P91" s="380"/>
      <c r="Q91" s="380"/>
      <c r="R91" s="211"/>
      <c r="S91" s="380"/>
      <c r="T91" s="380"/>
      <c r="U91" s="380"/>
      <c r="V91" s="211"/>
      <c r="W91" s="380"/>
      <c r="X91" s="380"/>
      <c r="Y91" s="380"/>
      <c r="Z91" s="211"/>
      <c r="AA91" s="211"/>
      <c r="AB91" s="211"/>
      <c r="AC91" s="211"/>
      <c r="AD91" s="211"/>
      <c r="AE91" s="211"/>
      <c r="AF91" s="211"/>
      <c r="AG91" s="64"/>
      <c r="AH91" s="64"/>
      <c r="AI91" s="232"/>
      <c r="AJ91" s="232"/>
      <c r="AK91" s="232"/>
      <c r="AL91" s="232"/>
      <c r="AM91" s="232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</row>
    <row r="92" spans="1:54" ht="16.5">
      <c r="A92" s="64"/>
      <c r="B92" s="54" t="str">
        <f>+B7</f>
        <v>Período: De 2006 al 30 de noviembre de 2015</v>
      </c>
      <c r="C92" s="372"/>
      <c r="D92" s="372"/>
      <c r="E92" s="372"/>
      <c r="F92" s="54"/>
      <c r="G92" s="372"/>
      <c r="H92" s="372"/>
      <c r="I92" s="372"/>
      <c r="J92" s="54"/>
      <c r="K92" s="372"/>
      <c r="L92" s="372"/>
      <c r="M92" s="372"/>
      <c r="N92" s="54"/>
      <c r="O92" s="372"/>
      <c r="P92" s="372"/>
      <c r="Q92" s="372"/>
      <c r="R92" s="54"/>
      <c r="S92" s="372"/>
      <c r="T92" s="372"/>
      <c r="U92" s="372"/>
      <c r="V92" s="54"/>
      <c r="W92" s="372"/>
      <c r="X92" s="372"/>
      <c r="Y92" s="372"/>
      <c r="Z92" s="54"/>
      <c r="AA92" s="54"/>
      <c r="AB92" s="54"/>
      <c r="AC92" s="2"/>
      <c r="AD92" s="2"/>
      <c r="AE92" s="65"/>
      <c r="AF92" s="64"/>
      <c r="AG92" s="64"/>
      <c r="AH92" s="64"/>
      <c r="AI92" s="503"/>
      <c r="AJ92" s="503"/>
      <c r="AK92" s="503"/>
      <c r="AL92" s="503"/>
      <c r="AM92" s="503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</row>
    <row r="93" spans="1:51" ht="15">
      <c r="A93" s="64"/>
      <c r="B93" s="55" t="s">
        <v>40</v>
      </c>
      <c r="C93" s="373"/>
      <c r="D93" s="373"/>
      <c r="E93" s="373"/>
      <c r="F93" s="55"/>
      <c r="G93" s="373"/>
      <c r="H93" s="373"/>
      <c r="I93" s="373"/>
      <c r="J93" s="55"/>
      <c r="K93" s="373"/>
      <c r="L93" s="373"/>
      <c r="M93" s="373"/>
      <c r="N93" s="55"/>
      <c r="O93" s="373"/>
      <c r="P93" s="373"/>
      <c r="Q93" s="373"/>
      <c r="R93" s="55"/>
      <c r="S93" s="373"/>
      <c r="T93" s="373"/>
      <c r="U93" s="373"/>
      <c r="V93" s="55"/>
      <c r="W93" s="373"/>
      <c r="X93" s="373"/>
      <c r="Y93" s="373"/>
      <c r="Z93" s="55"/>
      <c r="AA93" s="55"/>
      <c r="AB93" s="55"/>
      <c r="AC93" s="12"/>
      <c r="AD93" s="12"/>
      <c r="AE93" s="66"/>
      <c r="AF93" s="64"/>
      <c r="AG93" s="64"/>
      <c r="AH93" s="64"/>
      <c r="AI93" s="67"/>
      <c r="AJ93" s="67"/>
      <c r="AK93" s="67"/>
      <c r="AL93" s="67"/>
      <c r="AM93" s="67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</row>
    <row r="94" spans="1:51" ht="7.5" customHeight="1">
      <c r="A94" s="64"/>
      <c r="B94" s="1"/>
      <c r="C94" s="381"/>
      <c r="D94" s="381"/>
      <c r="E94" s="381"/>
      <c r="F94" s="1"/>
      <c r="G94" s="381"/>
      <c r="H94" s="381"/>
      <c r="I94" s="381"/>
      <c r="J94" s="1"/>
      <c r="K94" s="381"/>
      <c r="L94" s="381"/>
      <c r="M94" s="381"/>
      <c r="N94" s="1"/>
      <c r="O94" s="381"/>
      <c r="P94" s="381"/>
      <c r="Q94" s="381"/>
      <c r="R94" s="1"/>
      <c r="S94" s="381"/>
      <c r="T94" s="381"/>
      <c r="U94" s="381"/>
      <c r="V94" s="1"/>
      <c r="W94" s="381"/>
      <c r="X94" s="381"/>
      <c r="Y94" s="381"/>
      <c r="Z94" s="1"/>
      <c r="AA94" s="1"/>
      <c r="AB94" s="1"/>
      <c r="AC94" s="1"/>
      <c r="AD94" s="1"/>
      <c r="AE94" s="66"/>
      <c r="AF94" s="64"/>
      <c r="AG94" s="64"/>
      <c r="AH94" s="64"/>
      <c r="AI94" s="67"/>
      <c r="AJ94" s="67"/>
      <c r="AK94" s="67"/>
      <c r="AL94" s="67"/>
      <c r="AM94" s="67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</row>
    <row r="95" spans="2:51" ht="19.5" customHeight="1">
      <c r="B95" s="649" t="s">
        <v>87</v>
      </c>
      <c r="C95" s="691">
        <v>2006</v>
      </c>
      <c r="D95" s="692"/>
      <c r="E95" s="692"/>
      <c r="F95" s="693"/>
      <c r="G95" s="691">
        <v>2007</v>
      </c>
      <c r="H95" s="692"/>
      <c r="I95" s="692"/>
      <c r="J95" s="693"/>
      <c r="K95" s="691">
        <v>2008</v>
      </c>
      <c r="L95" s="692"/>
      <c r="M95" s="692"/>
      <c r="N95" s="693"/>
      <c r="O95" s="691">
        <v>2009</v>
      </c>
      <c r="P95" s="692"/>
      <c r="Q95" s="692"/>
      <c r="R95" s="693"/>
      <c r="S95" s="691">
        <v>2010</v>
      </c>
      <c r="T95" s="692"/>
      <c r="U95" s="692"/>
      <c r="V95" s="693"/>
      <c r="W95" s="667">
        <v>2011</v>
      </c>
      <c r="X95" s="668"/>
      <c r="Y95" s="668"/>
      <c r="Z95" s="669"/>
      <c r="AA95" s="667">
        <v>2012</v>
      </c>
      <c r="AB95" s="668"/>
      <c r="AC95" s="668"/>
      <c r="AD95" s="669"/>
      <c r="AE95" s="629">
        <v>2013</v>
      </c>
      <c r="AF95" s="629"/>
      <c r="AG95" s="629"/>
      <c r="AH95" s="630"/>
      <c r="AI95" s="629">
        <v>2014</v>
      </c>
      <c r="AJ95" s="629"/>
      <c r="AK95" s="629"/>
      <c r="AL95" s="630"/>
      <c r="AM95" s="625">
        <v>2015</v>
      </c>
      <c r="AN95" s="626"/>
      <c r="AO95" s="626"/>
      <c r="AP95" s="626"/>
      <c r="AQ95" s="626"/>
      <c r="AR95" s="626"/>
      <c r="AS95" s="626"/>
      <c r="AT95" s="626"/>
      <c r="AU95" s="626"/>
      <c r="AV95" s="626"/>
      <c r="AW95" s="627"/>
      <c r="AX95" s="64"/>
      <c r="AY95" s="64"/>
    </row>
    <row r="96" spans="2:50" ht="13.5" customHeight="1">
      <c r="B96" s="650"/>
      <c r="C96" s="689" t="s">
        <v>35</v>
      </c>
      <c r="D96" s="689" t="s">
        <v>74</v>
      </c>
      <c r="E96" s="639" t="s">
        <v>77</v>
      </c>
      <c r="F96" s="690" t="s">
        <v>80</v>
      </c>
      <c r="G96" s="689" t="s">
        <v>35</v>
      </c>
      <c r="H96" s="689" t="s">
        <v>74</v>
      </c>
      <c r="I96" s="639" t="s">
        <v>77</v>
      </c>
      <c r="J96" s="690" t="s">
        <v>80</v>
      </c>
      <c r="K96" s="689" t="s">
        <v>35</v>
      </c>
      <c r="L96" s="689" t="s">
        <v>74</v>
      </c>
      <c r="M96" s="639" t="s">
        <v>77</v>
      </c>
      <c r="N96" s="690" t="s">
        <v>80</v>
      </c>
      <c r="O96" s="697" t="s">
        <v>35</v>
      </c>
      <c r="P96" s="689" t="s">
        <v>74</v>
      </c>
      <c r="Q96" s="639" t="s">
        <v>77</v>
      </c>
      <c r="R96" s="690" t="s">
        <v>80</v>
      </c>
      <c r="S96" s="699" t="s">
        <v>35</v>
      </c>
      <c r="T96" s="663" t="s">
        <v>74</v>
      </c>
      <c r="U96" s="639" t="s">
        <v>77</v>
      </c>
      <c r="V96" s="690" t="s">
        <v>80</v>
      </c>
      <c r="W96" s="663" t="s">
        <v>35</v>
      </c>
      <c r="X96" s="663" t="s">
        <v>74</v>
      </c>
      <c r="Y96" s="641" t="s">
        <v>77</v>
      </c>
      <c r="Z96" s="638" t="s">
        <v>80</v>
      </c>
      <c r="AA96" s="663" t="s">
        <v>35</v>
      </c>
      <c r="AB96" s="663" t="s">
        <v>74</v>
      </c>
      <c r="AC96" s="641" t="s">
        <v>77</v>
      </c>
      <c r="AD96" s="646" t="s">
        <v>80</v>
      </c>
      <c r="AE96" s="641" t="s">
        <v>35</v>
      </c>
      <c r="AF96" s="631" t="s">
        <v>74</v>
      </c>
      <c r="AG96" s="631" t="s">
        <v>77</v>
      </c>
      <c r="AH96" s="638" t="s">
        <v>80</v>
      </c>
      <c r="AI96" s="637" t="s">
        <v>35</v>
      </c>
      <c r="AJ96" s="637" t="s">
        <v>74</v>
      </c>
      <c r="AK96" s="637" t="s">
        <v>77</v>
      </c>
      <c r="AL96" s="619" t="s">
        <v>80</v>
      </c>
      <c r="AM96" s="637" t="s">
        <v>33</v>
      </c>
      <c r="AN96" s="637" t="s">
        <v>34</v>
      </c>
      <c r="AO96" s="637" t="s">
        <v>35</v>
      </c>
      <c r="AP96" s="637" t="s">
        <v>36</v>
      </c>
      <c r="AQ96" s="637" t="s">
        <v>37</v>
      </c>
      <c r="AR96" s="637" t="s">
        <v>74</v>
      </c>
      <c r="AS96" s="637" t="s">
        <v>75</v>
      </c>
      <c r="AT96" s="637" t="s">
        <v>76</v>
      </c>
      <c r="AU96" s="637" t="s">
        <v>77</v>
      </c>
      <c r="AV96" s="637" t="s">
        <v>78</v>
      </c>
      <c r="AW96" s="619" t="s">
        <v>79</v>
      </c>
      <c r="AX96" s="64"/>
    </row>
    <row r="97" spans="2:50" ht="11.25" customHeight="1">
      <c r="B97" s="651"/>
      <c r="C97" s="664"/>
      <c r="D97" s="664"/>
      <c r="E97" s="640"/>
      <c r="F97" s="660"/>
      <c r="G97" s="664"/>
      <c r="H97" s="664"/>
      <c r="I97" s="640"/>
      <c r="J97" s="660"/>
      <c r="K97" s="664"/>
      <c r="L97" s="664"/>
      <c r="M97" s="640"/>
      <c r="N97" s="660"/>
      <c r="O97" s="698"/>
      <c r="P97" s="664"/>
      <c r="Q97" s="640"/>
      <c r="R97" s="660"/>
      <c r="S97" s="698"/>
      <c r="T97" s="664"/>
      <c r="U97" s="640"/>
      <c r="V97" s="660"/>
      <c r="W97" s="664"/>
      <c r="X97" s="664"/>
      <c r="Y97" s="640"/>
      <c r="Z97" s="660"/>
      <c r="AA97" s="664"/>
      <c r="AB97" s="664"/>
      <c r="AC97" s="640"/>
      <c r="AD97" s="620"/>
      <c r="AE97" s="640"/>
      <c r="AF97" s="632"/>
      <c r="AG97" s="632"/>
      <c r="AH97" s="620"/>
      <c r="AI97" s="632"/>
      <c r="AJ97" s="632"/>
      <c r="AK97" s="632"/>
      <c r="AL97" s="620"/>
      <c r="AM97" s="632"/>
      <c r="AN97" s="632"/>
      <c r="AO97" s="632"/>
      <c r="AP97" s="632"/>
      <c r="AQ97" s="632"/>
      <c r="AR97" s="632"/>
      <c r="AS97" s="632"/>
      <c r="AT97" s="632"/>
      <c r="AU97" s="632"/>
      <c r="AV97" s="632"/>
      <c r="AW97" s="620"/>
      <c r="AX97" s="64"/>
    </row>
    <row r="98" spans="2:49" ht="11.25" customHeight="1">
      <c r="B98" s="103"/>
      <c r="C98" s="132"/>
      <c r="D98" s="592"/>
      <c r="E98" s="592"/>
      <c r="F98" s="171"/>
      <c r="G98" s="132"/>
      <c r="H98" s="592"/>
      <c r="I98" s="130"/>
      <c r="J98" s="594"/>
      <c r="K98" s="132"/>
      <c r="L98" s="592"/>
      <c r="M98" s="592"/>
      <c r="N98" s="171"/>
      <c r="O98" s="132"/>
      <c r="P98" s="592"/>
      <c r="Q98" s="130"/>
      <c r="R98" s="594"/>
      <c r="S98" s="132"/>
      <c r="T98" s="592"/>
      <c r="U98" s="592"/>
      <c r="V98" s="171"/>
      <c r="W98" s="132"/>
      <c r="X98" s="592"/>
      <c r="Y98" s="592"/>
      <c r="Z98" s="171"/>
      <c r="AA98" s="130"/>
      <c r="AB98" s="130"/>
      <c r="AC98" s="130"/>
      <c r="AD98" s="171"/>
      <c r="AE98" s="130"/>
      <c r="AF98" s="131"/>
      <c r="AG98" s="131"/>
      <c r="AH98" s="171"/>
      <c r="AI98" s="593"/>
      <c r="AJ98" s="593"/>
      <c r="AK98" s="593"/>
      <c r="AL98" s="594"/>
      <c r="AM98" s="593"/>
      <c r="AN98" s="560"/>
      <c r="AO98" s="560"/>
      <c r="AP98" s="560"/>
      <c r="AQ98" s="560"/>
      <c r="AR98" s="560"/>
      <c r="AS98" s="560"/>
      <c r="AT98" s="560"/>
      <c r="AU98" s="560"/>
      <c r="AV98" s="560"/>
      <c r="AW98" s="558"/>
    </row>
    <row r="99" spans="2:49" s="29" customFormat="1" ht="16.5">
      <c r="B99" s="221" t="s">
        <v>89</v>
      </c>
      <c r="C99" s="446">
        <f aca="true" t="shared" si="17" ref="C99:AT99">+C101+C109+C112+C141</f>
        <v>2696.0301446977405</v>
      </c>
      <c r="D99" s="298">
        <f t="shared" si="17"/>
        <v>2640.6128225580005</v>
      </c>
      <c r="E99" s="298">
        <f t="shared" si="17"/>
        <v>2576.7372049574997</v>
      </c>
      <c r="F99" s="241">
        <f t="shared" si="17"/>
        <v>2556.4878643415595</v>
      </c>
      <c r="G99" s="446">
        <f t="shared" si="17"/>
        <v>2537.33901489696</v>
      </c>
      <c r="H99" s="298">
        <f t="shared" si="17"/>
        <v>2470.4229232796797</v>
      </c>
      <c r="I99" s="298">
        <f t="shared" si="17"/>
        <v>2627.6826853783805</v>
      </c>
      <c r="J99" s="241">
        <f t="shared" si="17"/>
        <v>2505.27119878224</v>
      </c>
      <c r="K99" s="446">
        <f t="shared" si="17"/>
        <v>2408.2941304209794</v>
      </c>
      <c r="L99" s="298">
        <f t="shared" si="17"/>
        <v>2490.47190527478</v>
      </c>
      <c r="M99" s="298">
        <f t="shared" si="17"/>
        <v>2520.79911510765</v>
      </c>
      <c r="N99" s="241">
        <f t="shared" si="17"/>
        <v>2941.9882544902594</v>
      </c>
      <c r="O99" s="446">
        <f t="shared" si="17"/>
        <v>2838.5641368971305</v>
      </c>
      <c r="P99" s="298">
        <f t="shared" si="17"/>
        <v>2777.1791484948703</v>
      </c>
      <c r="Q99" s="298">
        <f t="shared" si="17"/>
        <v>2750.42742371845</v>
      </c>
      <c r="R99" s="241">
        <f t="shared" si="17"/>
        <v>2762.31298462049</v>
      </c>
      <c r="S99" s="446">
        <f t="shared" si="17"/>
        <v>2905.34821947538</v>
      </c>
      <c r="T99" s="298">
        <f t="shared" si="17"/>
        <v>3286.7306770780897</v>
      </c>
      <c r="U99" s="298">
        <f t="shared" si="17"/>
        <v>3391.934563429559</v>
      </c>
      <c r="V99" s="241">
        <f t="shared" si="17"/>
        <v>3657.4365239010613</v>
      </c>
      <c r="W99" s="446">
        <f t="shared" si="17"/>
        <v>3536.9846778981</v>
      </c>
      <c r="X99" s="298">
        <f t="shared" si="17"/>
        <v>3440.1467596099988</v>
      </c>
      <c r="Y99" s="298">
        <f t="shared" si="17"/>
        <v>3554.1170029169202</v>
      </c>
      <c r="Z99" s="241">
        <f t="shared" si="17"/>
        <v>3509.194456539391</v>
      </c>
      <c r="AA99" s="298">
        <f t="shared" si="17"/>
        <v>3326.73857583224</v>
      </c>
      <c r="AB99" s="298">
        <f t="shared" si="17"/>
        <v>3789.5913589300585</v>
      </c>
      <c r="AC99" s="298">
        <f t="shared" si="17"/>
        <v>3702.3127006592995</v>
      </c>
      <c r="AD99" s="241">
        <f t="shared" si="17"/>
        <v>3485.5954475643593</v>
      </c>
      <c r="AE99" s="300">
        <f t="shared" si="17"/>
        <v>3267.835788919955</v>
      </c>
      <c r="AF99" s="240">
        <f t="shared" si="17"/>
        <v>3432.945214146799</v>
      </c>
      <c r="AG99" s="240">
        <f t="shared" si="17"/>
        <v>3360.2437000886002</v>
      </c>
      <c r="AH99" s="241">
        <f t="shared" si="17"/>
        <v>3196.2768942211187</v>
      </c>
      <c r="AI99" s="240">
        <f t="shared" si="17"/>
        <v>3258.22052827942</v>
      </c>
      <c r="AJ99" s="240">
        <f t="shared" si="17"/>
        <v>3237.1110130035604</v>
      </c>
      <c r="AK99" s="240">
        <f t="shared" si="17"/>
        <v>3108.227110059961</v>
      </c>
      <c r="AL99" s="241">
        <f t="shared" si="17"/>
        <v>3016.0819916018395</v>
      </c>
      <c r="AM99" s="240">
        <f t="shared" si="17"/>
        <v>2802.0350402605004</v>
      </c>
      <c r="AN99" s="240">
        <f t="shared" si="17"/>
        <v>2812.5135249314494</v>
      </c>
      <c r="AO99" s="240">
        <f t="shared" si="17"/>
        <v>2837.2386771428296</v>
      </c>
      <c r="AP99" s="240">
        <f t="shared" si="17"/>
        <v>2811.93682394091</v>
      </c>
      <c r="AQ99" s="240">
        <f t="shared" si="17"/>
        <v>2797.6174643755403</v>
      </c>
      <c r="AR99" s="240">
        <f t="shared" si="17"/>
        <v>2853.9988608424696</v>
      </c>
      <c r="AS99" s="240">
        <f t="shared" si="17"/>
        <v>2860.5018973524006</v>
      </c>
      <c r="AT99" s="240">
        <f t="shared" si="17"/>
        <v>2998.79771703954</v>
      </c>
      <c r="AU99" s="240">
        <f>+AU101+AU109+AU112+AU141</f>
        <v>2927.0139676234594</v>
      </c>
      <c r="AV99" s="240">
        <f>+AV101+AV109+AV112+AV141</f>
        <v>3112.797359728491</v>
      </c>
      <c r="AW99" s="582">
        <f>+AW101+AW109+AW112+AW141</f>
        <v>3336.2613952812803</v>
      </c>
    </row>
    <row r="100" spans="2:49" s="29" customFormat="1" ht="10.5" customHeight="1">
      <c r="B100" s="50"/>
      <c r="C100" s="447"/>
      <c r="D100" s="302"/>
      <c r="E100" s="302"/>
      <c r="F100" s="455"/>
      <c r="G100" s="447"/>
      <c r="H100" s="302"/>
      <c r="I100" s="302"/>
      <c r="J100" s="455"/>
      <c r="K100" s="447"/>
      <c r="L100" s="302"/>
      <c r="M100" s="302"/>
      <c r="N100" s="455"/>
      <c r="O100" s="447"/>
      <c r="P100" s="302"/>
      <c r="Q100" s="302"/>
      <c r="R100" s="455"/>
      <c r="S100" s="447"/>
      <c r="T100" s="302"/>
      <c r="U100" s="302"/>
      <c r="V100" s="455"/>
      <c r="W100" s="447"/>
      <c r="X100" s="302"/>
      <c r="Y100" s="302"/>
      <c r="Z100" s="455"/>
      <c r="AA100" s="302"/>
      <c r="AB100" s="302"/>
      <c r="AC100" s="298"/>
      <c r="AD100" s="241"/>
      <c r="AE100" s="300"/>
      <c r="AF100" s="240"/>
      <c r="AG100" s="240"/>
      <c r="AH100" s="241"/>
      <c r="AI100" s="240"/>
      <c r="AJ100" s="240"/>
      <c r="AK100" s="240"/>
      <c r="AL100" s="241"/>
      <c r="AM100" s="240"/>
      <c r="AN100" s="240"/>
      <c r="AO100" s="240"/>
      <c r="AP100" s="240"/>
      <c r="AQ100" s="240"/>
      <c r="AR100" s="240"/>
      <c r="AS100" s="240"/>
      <c r="AT100" s="240"/>
      <c r="AU100" s="240"/>
      <c r="AV100" s="240"/>
      <c r="AW100" s="582"/>
    </row>
    <row r="101" spans="2:49" s="29" customFormat="1" ht="15.75">
      <c r="B101" s="85" t="s">
        <v>101</v>
      </c>
      <c r="C101" s="452">
        <f aca="true" t="shared" si="18" ref="C101:Y101">SUM(C102:C107)</f>
        <v>0</v>
      </c>
      <c r="D101" s="453">
        <f t="shared" si="18"/>
        <v>0</v>
      </c>
      <c r="E101" s="453">
        <f t="shared" si="18"/>
        <v>0</v>
      </c>
      <c r="F101" s="456">
        <f t="shared" si="18"/>
        <v>0</v>
      </c>
      <c r="G101" s="452">
        <f t="shared" si="18"/>
        <v>0</v>
      </c>
      <c r="H101" s="453">
        <f t="shared" si="18"/>
        <v>0</v>
      </c>
      <c r="I101" s="453">
        <f t="shared" si="18"/>
        <v>0</v>
      </c>
      <c r="J101" s="490">
        <f t="shared" si="18"/>
        <v>0.6285489718499999</v>
      </c>
      <c r="K101" s="491">
        <f t="shared" si="18"/>
        <v>0.8483528372600001</v>
      </c>
      <c r="L101" s="304">
        <f t="shared" si="18"/>
        <v>1.12992895938</v>
      </c>
      <c r="M101" s="304">
        <f t="shared" si="18"/>
        <v>2.19968484801</v>
      </c>
      <c r="N101" s="243">
        <f t="shared" si="18"/>
        <v>2.29899832084</v>
      </c>
      <c r="O101" s="448">
        <f t="shared" si="18"/>
        <v>2.20318140714</v>
      </c>
      <c r="P101" s="304">
        <f t="shared" si="18"/>
        <v>10.32874645338</v>
      </c>
      <c r="Q101" s="304">
        <f t="shared" si="18"/>
        <v>20.447647008699995</v>
      </c>
      <c r="R101" s="243">
        <f t="shared" si="18"/>
        <v>25.61794004063</v>
      </c>
      <c r="S101" s="448">
        <f t="shared" si="18"/>
        <v>31.432355419780002</v>
      </c>
      <c r="T101" s="304">
        <f t="shared" si="18"/>
        <v>40.28399343826</v>
      </c>
      <c r="U101" s="304">
        <f t="shared" si="18"/>
        <v>173.25233050979998</v>
      </c>
      <c r="V101" s="243">
        <f t="shared" si="18"/>
        <v>229.4932252726</v>
      </c>
      <c r="W101" s="448">
        <f t="shared" si="18"/>
        <v>306.0707894739</v>
      </c>
      <c r="X101" s="304">
        <f t="shared" si="18"/>
        <v>341.183464875</v>
      </c>
      <c r="Y101" s="304">
        <f t="shared" si="18"/>
        <v>416.78076864372997</v>
      </c>
      <c r="Z101" s="243">
        <f aca="true" t="shared" si="19" ref="Z101:AN101">+Z102+Z103+Z107+Z106</f>
        <v>458.6817310785001</v>
      </c>
      <c r="AA101" s="304">
        <f t="shared" si="19"/>
        <v>460.75266776328</v>
      </c>
      <c r="AB101" s="304">
        <f t="shared" si="19"/>
        <v>500.25430504479</v>
      </c>
      <c r="AC101" s="304">
        <f t="shared" si="19"/>
        <v>516.77406231366</v>
      </c>
      <c r="AD101" s="243">
        <f t="shared" si="19"/>
        <v>510.01402350313</v>
      </c>
      <c r="AE101" s="306">
        <f t="shared" si="19"/>
        <v>473.0835208295167</v>
      </c>
      <c r="AF101" s="242">
        <f t="shared" si="19"/>
        <v>494.43696941033994</v>
      </c>
      <c r="AG101" s="242">
        <f t="shared" si="19"/>
        <v>501.79506282437995</v>
      </c>
      <c r="AH101" s="243">
        <f t="shared" si="19"/>
        <v>462.00484473504</v>
      </c>
      <c r="AI101" s="242">
        <f t="shared" si="19"/>
        <v>465.93435468502</v>
      </c>
      <c r="AJ101" s="242">
        <f t="shared" si="19"/>
        <v>460.0200414207599</v>
      </c>
      <c r="AK101" s="242">
        <f t="shared" si="19"/>
        <v>434.36424805584</v>
      </c>
      <c r="AL101" s="243">
        <f t="shared" si="19"/>
        <v>401.09134956281997</v>
      </c>
      <c r="AM101" s="242">
        <f t="shared" si="19"/>
        <v>441.96681081322004</v>
      </c>
      <c r="AN101" s="242">
        <f t="shared" si="19"/>
        <v>441.89988009129996</v>
      </c>
      <c r="AO101" s="242">
        <f aca="true" t="shared" si="20" ref="AO101:AT101">SUM(AO102:AO107)</f>
        <v>500.31076332940995</v>
      </c>
      <c r="AP101" s="242">
        <f t="shared" si="20"/>
        <v>490.94278035538</v>
      </c>
      <c r="AQ101" s="242">
        <f t="shared" si="20"/>
        <v>518.7799687208</v>
      </c>
      <c r="AR101" s="242">
        <f t="shared" si="20"/>
        <v>524.85772937785</v>
      </c>
      <c r="AS101" s="242">
        <f t="shared" si="20"/>
        <v>525.1266315540001</v>
      </c>
      <c r="AT101" s="242">
        <f t="shared" si="20"/>
        <v>601.6101099457801</v>
      </c>
      <c r="AU101" s="242">
        <f>SUM(AU102:AU107)</f>
        <v>587.4660607127399</v>
      </c>
      <c r="AV101" s="242">
        <f>SUM(AV102:AV107)</f>
        <v>700.60283698393</v>
      </c>
      <c r="AW101" s="583">
        <f>SUM(AW102:AW107)</f>
        <v>850.9249297932802</v>
      </c>
    </row>
    <row r="102" spans="2:49" s="29" customFormat="1" ht="14.25">
      <c r="B102" s="74" t="s">
        <v>61</v>
      </c>
      <c r="C102" s="454">
        <f aca="true" t="shared" si="21" ref="C102:Y102">+C17*C87</f>
        <v>0</v>
      </c>
      <c r="D102" s="311">
        <f t="shared" si="21"/>
        <v>0</v>
      </c>
      <c r="E102" s="311">
        <f t="shared" si="21"/>
        <v>0</v>
      </c>
      <c r="F102" s="457">
        <f t="shared" si="21"/>
        <v>0</v>
      </c>
      <c r="G102" s="454">
        <f t="shared" si="21"/>
        <v>0</v>
      </c>
      <c r="H102" s="311">
        <f t="shared" si="21"/>
        <v>0</v>
      </c>
      <c r="I102" s="311">
        <f t="shared" si="21"/>
        <v>0</v>
      </c>
      <c r="J102" s="457">
        <f t="shared" si="21"/>
        <v>0</v>
      </c>
      <c r="K102" s="454">
        <f t="shared" si="21"/>
        <v>0</v>
      </c>
      <c r="L102" s="311">
        <f t="shared" si="21"/>
        <v>0</v>
      </c>
      <c r="M102" s="311">
        <f t="shared" si="21"/>
        <v>0</v>
      </c>
      <c r="N102" s="457">
        <f t="shared" si="21"/>
        <v>0</v>
      </c>
      <c r="O102" s="454">
        <f t="shared" si="21"/>
        <v>0</v>
      </c>
      <c r="P102" s="311">
        <f t="shared" si="21"/>
        <v>0</v>
      </c>
      <c r="Q102" s="308">
        <f t="shared" si="21"/>
        <v>5.6340018501</v>
      </c>
      <c r="R102" s="279">
        <f t="shared" si="21"/>
        <v>9.50911591049</v>
      </c>
      <c r="S102" s="449">
        <f t="shared" si="21"/>
        <v>13.508255576760002</v>
      </c>
      <c r="T102" s="308">
        <f t="shared" si="21"/>
        <v>20.435252765399998</v>
      </c>
      <c r="U102" s="308">
        <f t="shared" si="21"/>
        <v>63.352995913479994</v>
      </c>
      <c r="V102" s="279">
        <f t="shared" si="21"/>
        <v>94.91521847958</v>
      </c>
      <c r="W102" s="449">
        <f t="shared" si="21"/>
        <v>128.4633648672</v>
      </c>
      <c r="X102" s="308">
        <f t="shared" si="21"/>
        <v>151.160069555</v>
      </c>
      <c r="Y102" s="308">
        <f t="shared" si="21"/>
        <v>194.58938548076</v>
      </c>
      <c r="Z102" s="279">
        <f>+Z17*$Z$87</f>
        <v>226.21110920748004</v>
      </c>
      <c r="AA102" s="308">
        <f>+AA17*$AA$87</f>
        <v>230.12598927856</v>
      </c>
      <c r="AB102" s="308">
        <f>+AB17*$AB$87</f>
        <v>254.63051422610002</v>
      </c>
      <c r="AC102" s="308">
        <f>+AC17*$AC$87</f>
        <v>267.28561565934</v>
      </c>
      <c r="AD102" s="279">
        <f>+AD17*$AD$87</f>
        <v>264.21303773287</v>
      </c>
      <c r="AE102" s="269">
        <f>+AE17/$AE$87</f>
        <v>243.34987138443523</v>
      </c>
      <c r="AF102" s="237">
        <f>+AF17*$AF$87</f>
        <v>254.41593393546</v>
      </c>
      <c r="AG102" s="237">
        <f>+AG17*$AG$87</f>
        <v>254.4159339202</v>
      </c>
      <c r="AH102" s="265">
        <f>+AH17*$AH$87</f>
        <v>236.90301540564005</v>
      </c>
      <c r="AI102" s="237">
        <f>+AI17*$AI$87</f>
        <v>233.45578817335002</v>
      </c>
      <c r="AJ102" s="237">
        <f>+AJ17*$AJ$87</f>
        <v>234.88123236312</v>
      </c>
      <c r="AK102" s="237">
        <f>+AK17*$AK$87</f>
        <v>214.70865594528</v>
      </c>
      <c r="AL102" s="265">
        <f>+AL17*$AL$87</f>
        <v>198.80431102966</v>
      </c>
      <c r="AM102" s="237">
        <f>+AM17*$AM$87</f>
        <v>222.66082838758</v>
      </c>
      <c r="AN102" s="237">
        <f>+AN17*$AN$87</f>
        <v>222.66082837635</v>
      </c>
      <c r="AO102" s="237">
        <f>+AO17*$AO$87</f>
        <v>210.44042440386997</v>
      </c>
      <c r="AP102" s="237">
        <f>+AP17*$AP$87</f>
        <v>204.60792544348</v>
      </c>
      <c r="AQ102" s="237">
        <f>+AQ17*$AQ$87</f>
        <v>197.02985406393998</v>
      </c>
      <c r="AR102" s="237">
        <f>+AR17*$AR$87</f>
        <v>204.60792540056002</v>
      </c>
      <c r="AS102" s="237">
        <f>+AS17*$AS$87</f>
        <v>204.60792544584004</v>
      </c>
      <c r="AT102" s="237">
        <f>+AT17*$AT$87</f>
        <v>212.1859967526</v>
      </c>
      <c r="AU102" s="237">
        <f>+AU17*$AU$87</f>
        <v>200.39695200051997</v>
      </c>
      <c r="AV102" s="237">
        <f aca="true" t="shared" si="22" ref="AV102:AV107">+AV17*$AV$87</f>
        <v>207.55398598765</v>
      </c>
      <c r="AW102" s="584">
        <f aca="true" t="shared" si="23" ref="AW102:AW107">+AW17*$AW$87</f>
        <v>207.55398601376</v>
      </c>
    </row>
    <row r="103" spans="2:49" s="29" customFormat="1" ht="14.25">
      <c r="B103" s="74" t="s">
        <v>62</v>
      </c>
      <c r="C103" s="454">
        <f aca="true" t="shared" si="24" ref="C103:Y103">+C18*C87</f>
        <v>0</v>
      </c>
      <c r="D103" s="311">
        <f t="shared" si="24"/>
        <v>0</v>
      </c>
      <c r="E103" s="311">
        <f t="shared" si="24"/>
        <v>0</v>
      </c>
      <c r="F103" s="457">
        <f t="shared" si="24"/>
        <v>0</v>
      </c>
      <c r="G103" s="454">
        <f t="shared" si="24"/>
        <v>0</v>
      </c>
      <c r="H103" s="311">
        <f t="shared" si="24"/>
        <v>0</v>
      </c>
      <c r="I103" s="311">
        <f t="shared" si="24"/>
        <v>0</v>
      </c>
      <c r="J103" s="457">
        <f t="shared" si="24"/>
        <v>0</v>
      </c>
      <c r="K103" s="454">
        <f t="shared" si="24"/>
        <v>0</v>
      </c>
      <c r="L103" s="311">
        <f t="shared" si="24"/>
        <v>0</v>
      </c>
      <c r="M103" s="311">
        <f t="shared" si="24"/>
        <v>0</v>
      </c>
      <c r="N103" s="457">
        <f t="shared" si="24"/>
        <v>0</v>
      </c>
      <c r="O103" s="454">
        <f t="shared" si="24"/>
        <v>0</v>
      </c>
      <c r="P103" s="308">
        <f t="shared" si="24"/>
        <v>8.19197678399</v>
      </c>
      <c r="Q103" s="308">
        <f t="shared" si="24"/>
        <v>11.962082452849998</v>
      </c>
      <c r="R103" s="279">
        <f t="shared" si="24"/>
        <v>13.29479295774</v>
      </c>
      <c r="S103" s="449">
        <f t="shared" si="24"/>
        <v>15.2766209309</v>
      </c>
      <c r="T103" s="308">
        <f t="shared" si="24"/>
        <v>16.97416268691</v>
      </c>
      <c r="U103" s="308">
        <f t="shared" si="24"/>
        <v>106.63102420144</v>
      </c>
      <c r="V103" s="279">
        <f t="shared" si="24"/>
        <v>131.33765256761</v>
      </c>
      <c r="W103" s="449">
        <f t="shared" si="24"/>
        <v>173.17409329935</v>
      </c>
      <c r="X103" s="308">
        <f t="shared" si="24"/>
        <v>183.083140515</v>
      </c>
      <c r="Y103" s="308">
        <f t="shared" si="24"/>
        <v>214.40574603155</v>
      </c>
      <c r="Z103" s="279">
        <f>+Z18*$Z$87</f>
        <v>224.55561495663005</v>
      </c>
      <c r="AA103" s="308">
        <f>+AA18*$AA$87</f>
        <v>222.73025056388</v>
      </c>
      <c r="AB103" s="308">
        <f>+AB18*$AB$87</f>
        <v>237.10489380309</v>
      </c>
      <c r="AC103" s="308">
        <f>+AC18*$AC$87</f>
        <v>240.78540445385997</v>
      </c>
      <c r="AD103" s="279">
        <f>+AD18*$AD$87</f>
        <v>228.54255878776</v>
      </c>
      <c r="AE103" s="269">
        <f>+AE18/$AE$87</f>
        <v>207.59509258097557</v>
      </c>
      <c r="AF103" s="237">
        <f>+AF18*$AF$87</f>
        <v>215.00920304918998</v>
      </c>
      <c r="AG103" s="237">
        <f>+AG18*$AG$87</f>
        <v>215.00920304084</v>
      </c>
      <c r="AH103" s="265">
        <f>+AH18*$AH$87</f>
        <v>191.64167999844</v>
      </c>
      <c r="AI103" s="237">
        <f>+AI18*$AI$87</f>
        <v>197.73207999819</v>
      </c>
      <c r="AJ103" s="237">
        <f>+AJ18*$AJ$87</f>
        <v>188.85210403211997</v>
      </c>
      <c r="AK103" s="237">
        <f>+AK18*$AK$87</f>
        <v>181.1367089856</v>
      </c>
      <c r="AL103" s="265">
        <f>+AL18*$AL$87</f>
        <v>159.79062498944998</v>
      </c>
      <c r="AM103" s="237">
        <f>+AM18*$AM$87</f>
        <v>178.96550001198</v>
      </c>
      <c r="AN103" s="237">
        <f>+AN18*$AN$87</f>
        <v>178.96550002355002</v>
      </c>
      <c r="AO103" s="237">
        <f>+AO18*$AO$87</f>
        <v>177.95887201648</v>
      </c>
      <c r="AP103" s="237">
        <f>+AP18*$AP$87</f>
        <v>171.60319802177003</v>
      </c>
      <c r="AQ103" s="237">
        <f>+AQ18*$AQ$87</f>
        <v>165.24752400404</v>
      </c>
      <c r="AR103" s="237">
        <f>+AR18*$AR$87</f>
        <v>163.04036401719</v>
      </c>
      <c r="AS103" s="237">
        <f>+AS18*$AS$87</f>
        <v>163.04036402976</v>
      </c>
      <c r="AT103" s="237">
        <f>+AT18*$AT$87</f>
        <v>169.07889604398002</v>
      </c>
      <c r="AU103" s="237">
        <f>+AU18*$AU$87</f>
        <v>168.07226796348996</v>
      </c>
      <c r="AV103" s="237">
        <f t="shared" si="22"/>
        <v>174.07484897578001</v>
      </c>
      <c r="AW103" s="584">
        <f t="shared" si="23"/>
        <v>174.07484902528</v>
      </c>
    </row>
    <row r="104" spans="2:49" s="29" customFormat="1" ht="14.25">
      <c r="B104" s="74" t="s">
        <v>127</v>
      </c>
      <c r="C104" s="454">
        <v>0</v>
      </c>
      <c r="D104" s="311">
        <v>0</v>
      </c>
      <c r="E104" s="311">
        <v>0</v>
      </c>
      <c r="F104" s="457">
        <v>0</v>
      </c>
      <c r="G104" s="454">
        <v>0</v>
      </c>
      <c r="H104" s="311">
        <v>0</v>
      </c>
      <c r="I104" s="311">
        <v>0</v>
      </c>
      <c r="J104" s="457">
        <v>0</v>
      </c>
      <c r="K104" s="454">
        <v>0</v>
      </c>
      <c r="L104" s="311">
        <v>0</v>
      </c>
      <c r="M104" s="311">
        <v>0</v>
      </c>
      <c r="N104" s="457">
        <v>0</v>
      </c>
      <c r="O104" s="454">
        <v>0</v>
      </c>
      <c r="P104" s="311">
        <v>0</v>
      </c>
      <c r="Q104" s="311">
        <v>0</v>
      </c>
      <c r="R104" s="457">
        <v>0</v>
      </c>
      <c r="S104" s="454">
        <v>0</v>
      </c>
      <c r="T104" s="311">
        <v>0</v>
      </c>
      <c r="U104" s="311">
        <v>0</v>
      </c>
      <c r="V104" s="457">
        <v>0</v>
      </c>
      <c r="W104" s="454">
        <v>0</v>
      </c>
      <c r="X104" s="311">
        <v>0</v>
      </c>
      <c r="Y104" s="311">
        <v>0</v>
      </c>
      <c r="Z104" s="457">
        <v>0</v>
      </c>
      <c r="AA104" s="311">
        <v>0</v>
      </c>
      <c r="AB104" s="311">
        <v>0</v>
      </c>
      <c r="AC104" s="311">
        <v>0</v>
      </c>
      <c r="AD104" s="457">
        <v>0</v>
      </c>
      <c r="AE104" s="561">
        <v>0</v>
      </c>
      <c r="AF104" s="562">
        <v>0</v>
      </c>
      <c r="AG104" s="562">
        <v>0</v>
      </c>
      <c r="AH104" s="457">
        <v>0</v>
      </c>
      <c r="AI104" s="562">
        <v>0</v>
      </c>
      <c r="AJ104" s="562">
        <v>0</v>
      </c>
      <c r="AK104" s="562">
        <v>0</v>
      </c>
      <c r="AL104" s="457">
        <v>0</v>
      </c>
      <c r="AM104" s="562">
        <v>0</v>
      </c>
      <c r="AN104" s="562">
        <v>0</v>
      </c>
      <c r="AO104" s="237">
        <f>+AO19*AO87</f>
        <v>73.57984999847</v>
      </c>
      <c r="AP104" s="237">
        <f>+AP19*AP87</f>
        <v>74.29260282377</v>
      </c>
      <c r="AQ104" s="237">
        <f>+AQ19*AQ87</f>
        <v>114.93009331751999</v>
      </c>
      <c r="AR104" s="237">
        <f>+AR19*AR87</f>
        <v>115.69435296276</v>
      </c>
      <c r="AS104" s="237">
        <f>+AS19*AS87</f>
        <v>116.16746607648001</v>
      </c>
      <c r="AT104" s="237">
        <f>+AT19*$AT$87</f>
        <v>177.39266172927</v>
      </c>
      <c r="AU104" s="237">
        <f>+AU19*$AU$87</f>
        <v>176.62543983733</v>
      </c>
      <c r="AV104" s="237">
        <f t="shared" si="22"/>
        <v>180.13273991477</v>
      </c>
      <c r="AW104" s="584">
        <f t="shared" si="23"/>
        <v>328.40645245904</v>
      </c>
    </row>
    <row r="105" spans="2:49" s="29" customFormat="1" ht="14.25">
      <c r="B105" s="117" t="s">
        <v>142</v>
      </c>
      <c r="C105" s="407">
        <v>0</v>
      </c>
      <c r="D105" s="204">
        <v>0</v>
      </c>
      <c r="E105" s="204">
        <v>0</v>
      </c>
      <c r="F105" s="196">
        <v>0</v>
      </c>
      <c r="G105" s="407">
        <v>0</v>
      </c>
      <c r="H105" s="204">
        <v>0</v>
      </c>
      <c r="I105" s="204">
        <v>0</v>
      </c>
      <c r="J105" s="196">
        <v>0</v>
      </c>
      <c r="K105" s="407">
        <v>0</v>
      </c>
      <c r="L105" s="204">
        <v>0</v>
      </c>
      <c r="M105" s="204">
        <v>0</v>
      </c>
      <c r="N105" s="196">
        <v>0</v>
      </c>
      <c r="O105" s="407">
        <v>0</v>
      </c>
      <c r="P105" s="204">
        <v>0</v>
      </c>
      <c r="Q105" s="204">
        <v>0</v>
      </c>
      <c r="R105" s="196">
        <v>0</v>
      </c>
      <c r="S105" s="407">
        <v>0</v>
      </c>
      <c r="T105" s="204">
        <v>0</v>
      </c>
      <c r="U105" s="204">
        <v>0</v>
      </c>
      <c r="V105" s="196">
        <v>0</v>
      </c>
      <c r="W105" s="407">
        <v>0</v>
      </c>
      <c r="X105" s="204">
        <v>0</v>
      </c>
      <c r="Y105" s="204">
        <v>0</v>
      </c>
      <c r="Z105" s="196">
        <v>0</v>
      </c>
      <c r="AA105" s="194">
        <v>0</v>
      </c>
      <c r="AB105" s="177">
        <v>0</v>
      </c>
      <c r="AC105" s="177">
        <v>0</v>
      </c>
      <c r="AD105" s="203">
        <v>0</v>
      </c>
      <c r="AE105" s="587">
        <v>0</v>
      </c>
      <c r="AF105" s="203">
        <v>0</v>
      </c>
      <c r="AG105" s="203">
        <v>0</v>
      </c>
      <c r="AH105" s="466">
        <v>0</v>
      </c>
      <c r="AI105" s="203">
        <v>0</v>
      </c>
      <c r="AJ105" s="203">
        <v>0</v>
      </c>
      <c r="AK105" s="203">
        <v>0</v>
      </c>
      <c r="AL105" s="466">
        <v>0</v>
      </c>
      <c r="AM105" s="203">
        <v>0</v>
      </c>
      <c r="AN105" s="203">
        <v>0</v>
      </c>
      <c r="AO105" s="203">
        <v>0</v>
      </c>
      <c r="AP105" s="203">
        <v>0</v>
      </c>
      <c r="AQ105" s="203">
        <v>0</v>
      </c>
      <c r="AR105" s="203">
        <v>0</v>
      </c>
      <c r="AS105" s="125"/>
      <c r="AT105" s="125"/>
      <c r="AU105" s="203">
        <v>0</v>
      </c>
      <c r="AV105" s="237">
        <f t="shared" si="22"/>
        <v>95.85750383615</v>
      </c>
      <c r="AW105" s="584">
        <f t="shared" si="23"/>
        <v>98.4529762552</v>
      </c>
    </row>
    <row r="106" spans="2:49" s="29" customFormat="1" ht="14.25">
      <c r="B106" s="74" t="s">
        <v>64</v>
      </c>
      <c r="C106" s="454">
        <f aca="true" t="shared" si="25" ref="C106:Y106">+C21*C87</f>
        <v>0</v>
      </c>
      <c r="D106" s="311">
        <f t="shared" si="25"/>
        <v>0</v>
      </c>
      <c r="E106" s="311">
        <f t="shared" si="25"/>
        <v>0</v>
      </c>
      <c r="F106" s="457">
        <f t="shared" si="25"/>
        <v>0</v>
      </c>
      <c r="G106" s="454">
        <f t="shared" si="25"/>
        <v>0</v>
      </c>
      <c r="H106" s="311">
        <f t="shared" si="25"/>
        <v>0</v>
      </c>
      <c r="I106" s="311">
        <f t="shared" si="25"/>
        <v>0</v>
      </c>
      <c r="J106" s="457">
        <f t="shared" si="25"/>
        <v>0</v>
      </c>
      <c r="K106" s="454">
        <f t="shared" si="25"/>
        <v>0</v>
      </c>
      <c r="L106" s="311">
        <f t="shared" si="25"/>
        <v>0</v>
      </c>
      <c r="M106" s="311">
        <f t="shared" si="25"/>
        <v>0</v>
      </c>
      <c r="N106" s="457">
        <f t="shared" si="25"/>
        <v>0</v>
      </c>
      <c r="O106" s="454">
        <f t="shared" si="25"/>
        <v>0</v>
      </c>
      <c r="P106" s="311">
        <f t="shared" si="25"/>
        <v>0</v>
      </c>
      <c r="Q106" s="311">
        <f t="shared" si="25"/>
        <v>0</v>
      </c>
      <c r="R106" s="457">
        <f t="shared" si="25"/>
        <v>0</v>
      </c>
      <c r="S106" s="454">
        <f t="shared" si="25"/>
        <v>0</v>
      </c>
      <c r="T106" s="311">
        <f t="shared" si="25"/>
        <v>0</v>
      </c>
      <c r="U106" s="311">
        <f t="shared" si="25"/>
        <v>0</v>
      </c>
      <c r="V106" s="457">
        <f t="shared" si="25"/>
        <v>0</v>
      </c>
      <c r="W106" s="454">
        <f t="shared" si="25"/>
        <v>0</v>
      </c>
      <c r="X106" s="311">
        <f t="shared" si="25"/>
        <v>0</v>
      </c>
      <c r="Y106" s="311">
        <f t="shared" si="25"/>
        <v>0</v>
      </c>
      <c r="Z106" s="457">
        <f>+Z21*$Z$87</f>
        <v>0</v>
      </c>
      <c r="AA106" s="311">
        <f>+AA21*$AA$87</f>
        <v>0</v>
      </c>
      <c r="AB106" s="311">
        <f>+AB21*$AB$87</f>
        <v>0</v>
      </c>
      <c r="AC106" s="311">
        <f>+AC21*$AC$87</f>
        <v>0</v>
      </c>
      <c r="AD106" s="279">
        <f>+AD21*$AD$87</f>
        <v>8.183827130900001</v>
      </c>
      <c r="AE106" s="269">
        <f>+AE21/$AE$87</f>
        <v>8.001026881532145</v>
      </c>
      <c r="AF106" s="237">
        <f>+AF21*$AF$87</f>
        <v>9.60459898552</v>
      </c>
      <c r="AG106" s="237">
        <f>+AG21*$AG$87</f>
        <v>16.50731097652</v>
      </c>
      <c r="AH106" s="265">
        <f>+AH21*$AH$87</f>
        <v>17.00309075652</v>
      </c>
      <c r="AI106" s="237">
        <f>+AI21*$AI$87</f>
        <v>17.06344656812</v>
      </c>
      <c r="AJ106" s="237">
        <f>+AJ21*$AJ$87</f>
        <v>18.298694777759998</v>
      </c>
      <c r="AK106" s="237">
        <f>+AK21*$AK$87</f>
        <v>17.97765342912</v>
      </c>
      <c r="AL106" s="265">
        <f>+AL21*$AL$87</f>
        <v>18.46481866208</v>
      </c>
      <c r="AM106" s="237">
        <f>+AM21*$AM$87</f>
        <v>17.636206250740003</v>
      </c>
      <c r="AN106" s="237">
        <f>+AN21*$AN$87</f>
        <v>17.5822729039</v>
      </c>
      <c r="AO106" s="237">
        <f>+AO21*$AO$87</f>
        <v>16.64579378601</v>
      </c>
      <c r="AP106" s="237">
        <f>+AP21*$AP$87</f>
        <v>17.48421227015</v>
      </c>
      <c r="AQ106" s="237">
        <f>+AQ21*$AQ$87</f>
        <v>18.4188272036</v>
      </c>
      <c r="AR106" s="237">
        <f>+AR21*$AR$87</f>
        <v>18.377850944859997</v>
      </c>
      <c r="AS106" s="237">
        <f>+AS21*$AS$87</f>
        <v>18.5417559936</v>
      </c>
      <c r="AT106" s="237">
        <f>+AT21*$AT$87</f>
        <v>19.32030485424</v>
      </c>
      <c r="AU106" s="237">
        <f>+AU21*$AU$87</f>
        <v>19.043715121749997</v>
      </c>
      <c r="AV106" s="237">
        <f t="shared" si="22"/>
        <v>19.310060800880002</v>
      </c>
      <c r="AW106" s="584">
        <f t="shared" si="23"/>
        <v>18.99761682992</v>
      </c>
    </row>
    <row r="107" spans="2:49" s="29" customFormat="1" ht="14.25">
      <c r="B107" s="74" t="s">
        <v>63</v>
      </c>
      <c r="C107" s="454">
        <f aca="true" t="shared" si="26" ref="C107:Y107">+C22*C87</f>
        <v>0</v>
      </c>
      <c r="D107" s="311">
        <f t="shared" si="26"/>
        <v>0</v>
      </c>
      <c r="E107" s="311">
        <f t="shared" si="26"/>
        <v>0</v>
      </c>
      <c r="F107" s="457">
        <f t="shared" si="26"/>
        <v>0</v>
      </c>
      <c r="G107" s="454">
        <f t="shared" si="26"/>
        <v>0</v>
      </c>
      <c r="H107" s="311">
        <f t="shared" si="26"/>
        <v>0</v>
      </c>
      <c r="I107" s="311">
        <f t="shared" si="26"/>
        <v>0</v>
      </c>
      <c r="J107" s="279">
        <f t="shared" si="26"/>
        <v>0.6285489718499999</v>
      </c>
      <c r="K107" s="449">
        <f t="shared" si="26"/>
        <v>0.8483528372600001</v>
      </c>
      <c r="L107" s="308">
        <f t="shared" si="26"/>
        <v>1.12992895938</v>
      </c>
      <c r="M107" s="308">
        <f t="shared" si="26"/>
        <v>2.19968484801</v>
      </c>
      <c r="N107" s="279">
        <f t="shared" si="26"/>
        <v>2.29899832084</v>
      </c>
      <c r="O107" s="449">
        <f t="shared" si="26"/>
        <v>2.20318140714</v>
      </c>
      <c r="P107" s="308">
        <f t="shared" si="26"/>
        <v>2.13676966939</v>
      </c>
      <c r="Q107" s="308">
        <f t="shared" si="26"/>
        <v>2.8515627057499997</v>
      </c>
      <c r="R107" s="279">
        <f t="shared" si="26"/>
        <v>2.8140311724</v>
      </c>
      <c r="S107" s="449">
        <f t="shared" si="26"/>
        <v>2.64747891212</v>
      </c>
      <c r="T107" s="308">
        <f t="shared" si="26"/>
        <v>2.87457798595</v>
      </c>
      <c r="U107" s="308">
        <f t="shared" si="26"/>
        <v>3.26831039488</v>
      </c>
      <c r="V107" s="279">
        <f t="shared" si="26"/>
        <v>3.24035422541</v>
      </c>
      <c r="W107" s="449">
        <f t="shared" si="26"/>
        <v>4.4333313073500005</v>
      </c>
      <c r="X107" s="308">
        <f t="shared" si="26"/>
        <v>6.940254805</v>
      </c>
      <c r="Y107" s="308">
        <f t="shared" si="26"/>
        <v>7.78563713142</v>
      </c>
      <c r="Z107" s="107">
        <f>+Z22*$Z$87</f>
        <v>7.915006914390001</v>
      </c>
      <c r="AA107" s="96">
        <f>+AA22*$AA$87</f>
        <v>7.89642792084</v>
      </c>
      <c r="AB107" s="96">
        <f>+AB22*$AB$87</f>
        <v>8.518897015599999</v>
      </c>
      <c r="AC107" s="96">
        <f>+AC22*$AC$87</f>
        <v>8.70304220046</v>
      </c>
      <c r="AD107" s="107">
        <f>+AD22*$AD$87</f>
        <v>9.074599851599999</v>
      </c>
      <c r="AE107" s="71">
        <f>+AE22/$AE$87</f>
        <v>14.137529982573788</v>
      </c>
      <c r="AF107" s="125">
        <f>+AF22*$AF$87</f>
        <v>15.407233440170002</v>
      </c>
      <c r="AG107" s="125">
        <f>+AG22*$AG$87</f>
        <v>15.86261488682</v>
      </c>
      <c r="AH107" s="126">
        <f>+AH22*$AH$87</f>
        <v>16.45705857444</v>
      </c>
      <c r="AI107" s="125">
        <f>+AI22*$AI$87</f>
        <v>17.68303994536</v>
      </c>
      <c r="AJ107" s="125">
        <f>+AJ22*$AJ$87</f>
        <v>17.98801024776</v>
      </c>
      <c r="AK107" s="237">
        <f>+AK22*$AK$87</f>
        <v>20.541229695840002</v>
      </c>
      <c r="AL107" s="265">
        <f>+AL22*$AL$87</f>
        <v>24.03159488163</v>
      </c>
      <c r="AM107" s="237">
        <f>+AM22*$AM$87</f>
        <v>22.704276162920003</v>
      </c>
      <c r="AN107" s="237">
        <f>+AN22*$AN$87</f>
        <v>22.691278787500003</v>
      </c>
      <c r="AO107" s="237">
        <f>+AO22*$AO$87</f>
        <v>21.68582312458</v>
      </c>
      <c r="AP107" s="237">
        <f>+AP22*$AP$87</f>
        <v>22.954841796209998</v>
      </c>
      <c r="AQ107" s="237">
        <f>+AQ22*$AQ$87</f>
        <v>23.1536701317</v>
      </c>
      <c r="AR107" s="237">
        <f>+AR22*$AR$87</f>
        <v>23.13723605248</v>
      </c>
      <c r="AS107" s="237">
        <f>+AS22*$AS$87</f>
        <v>22.76912000832</v>
      </c>
      <c r="AT107" s="237">
        <f>+AT22*$AT$87</f>
        <v>23.63225056569</v>
      </c>
      <c r="AU107" s="237">
        <f>+AU22*$AU$87</f>
        <v>23.32768578965</v>
      </c>
      <c r="AV107" s="237">
        <f t="shared" si="22"/>
        <v>23.6736974687</v>
      </c>
      <c r="AW107" s="584">
        <f t="shared" si="23"/>
        <v>23.43904921008</v>
      </c>
    </row>
    <row r="108" spans="2:49" s="29" customFormat="1" ht="13.5" customHeight="1">
      <c r="B108" s="49"/>
      <c r="C108" s="147"/>
      <c r="D108" s="145"/>
      <c r="E108" s="145"/>
      <c r="F108" s="458"/>
      <c r="G108" s="147"/>
      <c r="H108" s="145"/>
      <c r="I108" s="145"/>
      <c r="J108" s="458"/>
      <c r="K108" s="147"/>
      <c r="L108" s="145"/>
      <c r="M108" s="145"/>
      <c r="N108" s="458"/>
      <c r="O108" s="147"/>
      <c r="P108" s="145"/>
      <c r="Q108" s="145"/>
      <c r="R108" s="458"/>
      <c r="S108" s="147"/>
      <c r="T108" s="145"/>
      <c r="U108" s="145"/>
      <c r="V108" s="458"/>
      <c r="W108" s="147"/>
      <c r="X108" s="145"/>
      <c r="Y108" s="145"/>
      <c r="Z108" s="458"/>
      <c r="AA108" s="145"/>
      <c r="AB108" s="145"/>
      <c r="AC108" s="157"/>
      <c r="AD108" s="123"/>
      <c r="AE108" s="69"/>
      <c r="AF108" s="170"/>
      <c r="AG108" s="170"/>
      <c r="AH108" s="123"/>
      <c r="AI108" s="170"/>
      <c r="AJ108" s="170"/>
      <c r="AK108" s="170"/>
      <c r="AL108" s="123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258"/>
    </row>
    <row r="109" spans="2:49" s="29" customFormat="1" ht="15.75">
      <c r="B109" s="85" t="s">
        <v>104</v>
      </c>
      <c r="C109" s="148">
        <f>+C110</f>
        <v>6.517042529600001</v>
      </c>
      <c r="D109" s="144">
        <f aca="true" t="shared" si="27" ref="D109:Y109">+D110</f>
        <v>6.0514308437999995</v>
      </c>
      <c r="E109" s="144">
        <f t="shared" si="27"/>
        <v>6.0328681725</v>
      </c>
      <c r="F109" s="185">
        <f t="shared" si="27"/>
        <v>5.654521591549999</v>
      </c>
      <c r="G109" s="148">
        <f t="shared" si="27"/>
        <v>5.6315285416</v>
      </c>
      <c r="H109" s="144">
        <f t="shared" si="27"/>
        <v>5.31742393028</v>
      </c>
      <c r="I109" s="144">
        <f t="shared" si="27"/>
        <v>5.179832020440001</v>
      </c>
      <c r="J109" s="185">
        <f t="shared" si="27"/>
        <v>4.74704663157</v>
      </c>
      <c r="K109" s="148">
        <f t="shared" si="27"/>
        <v>4.34947949626</v>
      </c>
      <c r="L109" s="144">
        <f t="shared" si="27"/>
        <v>4.41032628594</v>
      </c>
      <c r="M109" s="144">
        <f t="shared" si="27"/>
        <v>4.425190884139999</v>
      </c>
      <c r="N109" s="185">
        <f t="shared" si="27"/>
        <v>4.35303655006</v>
      </c>
      <c r="O109" s="148">
        <f t="shared" si="27"/>
        <v>4.37935981373</v>
      </c>
      <c r="P109" s="144">
        <f t="shared" si="27"/>
        <v>3.85637399057</v>
      </c>
      <c r="Q109" s="144">
        <f t="shared" si="27"/>
        <v>3.694997994949999</v>
      </c>
      <c r="R109" s="185">
        <f t="shared" si="27"/>
        <v>3.3889929054800003</v>
      </c>
      <c r="S109" s="148">
        <f t="shared" si="27"/>
        <v>3.33155234776</v>
      </c>
      <c r="T109" s="144">
        <f t="shared" si="27"/>
        <v>2.9961393817299995</v>
      </c>
      <c r="U109" s="144">
        <f t="shared" si="27"/>
        <v>2.95480601212</v>
      </c>
      <c r="V109" s="185">
        <f t="shared" si="27"/>
        <v>2.64970315495</v>
      </c>
      <c r="W109" s="148">
        <f t="shared" si="27"/>
        <v>2.6459312550000003</v>
      </c>
      <c r="X109" s="144">
        <f t="shared" si="27"/>
        <v>2.26198962</v>
      </c>
      <c r="Y109" s="144">
        <f t="shared" si="27"/>
        <v>2.2809080786400004</v>
      </c>
      <c r="Z109" s="185">
        <f>+Z110</f>
        <v>1.8808852108800003</v>
      </c>
      <c r="AA109" s="144">
        <f>+AA110</f>
        <v>1.860660532</v>
      </c>
      <c r="AB109" s="144">
        <f>+AB110</f>
        <v>1.5162684989099997</v>
      </c>
      <c r="AC109" s="144">
        <f>+AC110</f>
        <v>1.4748279895799998</v>
      </c>
      <c r="AD109" s="185">
        <f aca="true" t="shared" si="28" ref="AD109:AW109">+AD110</f>
        <v>1.10530483096</v>
      </c>
      <c r="AE109" s="87">
        <f t="shared" si="28"/>
        <v>1.1217695834403005</v>
      </c>
      <c r="AF109" s="159">
        <f t="shared" si="28"/>
        <v>0.8182824008699999</v>
      </c>
      <c r="AG109" s="159">
        <f t="shared" si="28"/>
        <v>0.81798837198</v>
      </c>
      <c r="AH109" s="109">
        <f t="shared" si="28"/>
        <v>0.4183805784</v>
      </c>
      <c r="AI109" s="159">
        <f t="shared" si="28"/>
        <v>0.42032583860000006</v>
      </c>
      <c r="AJ109" s="203">
        <f t="shared" si="28"/>
        <v>0</v>
      </c>
      <c r="AK109" s="203">
        <f t="shared" si="28"/>
        <v>0</v>
      </c>
      <c r="AL109" s="196">
        <f t="shared" si="28"/>
        <v>0</v>
      </c>
      <c r="AM109" s="203">
        <f t="shared" si="28"/>
        <v>0</v>
      </c>
      <c r="AN109" s="203">
        <f t="shared" si="28"/>
        <v>0</v>
      </c>
      <c r="AO109" s="203">
        <f t="shared" si="28"/>
        <v>0</v>
      </c>
      <c r="AP109" s="203">
        <f t="shared" si="28"/>
        <v>0</v>
      </c>
      <c r="AQ109" s="203">
        <f t="shared" si="28"/>
        <v>0</v>
      </c>
      <c r="AR109" s="203">
        <f t="shared" si="28"/>
        <v>0</v>
      </c>
      <c r="AS109" s="203">
        <f t="shared" si="28"/>
        <v>0</v>
      </c>
      <c r="AT109" s="203">
        <f t="shared" si="28"/>
        <v>0</v>
      </c>
      <c r="AU109" s="203">
        <f t="shared" si="28"/>
        <v>0</v>
      </c>
      <c r="AV109" s="203">
        <f t="shared" si="28"/>
        <v>0</v>
      </c>
      <c r="AW109" s="217">
        <f t="shared" si="28"/>
        <v>0</v>
      </c>
    </row>
    <row r="110" spans="2:49" s="29" customFormat="1" ht="14.25">
      <c r="B110" s="74" t="s">
        <v>83</v>
      </c>
      <c r="C110" s="146">
        <f aca="true" t="shared" si="29" ref="C110:Y110">+C25*C87</f>
        <v>6.517042529600001</v>
      </c>
      <c r="D110" s="96">
        <f t="shared" si="29"/>
        <v>6.0514308437999995</v>
      </c>
      <c r="E110" s="96">
        <f t="shared" si="29"/>
        <v>6.0328681725</v>
      </c>
      <c r="F110" s="107">
        <f t="shared" si="29"/>
        <v>5.654521591549999</v>
      </c>
      <c r="G110" s="146">
        <f t="shared" si="29"/>
        <v>5.6315285416</v>
      </c>
      <c r="H110" s="96">
        <f t="shared" si="29"/>
        <v>5.31742393028</v>
      </c>
      <c r="I110" s="96">
        <f t="shared" si="29"/>
        <v>5.179832020440001</v>
      </c>
      <c r="J110" s="107">
        <f t="shared" si="29"/>
        <v>4.74704663157</v>
      </c>
      <c r="K110" s="146">
        <f t="shared" si="29"/>
        <v>4.34947949626</v>
      </c>
      <c r="L110" s="96">
        <f t="shared" si="29"/>
        <v>4.41032628594</v>
      </c>
      <c r="M110" s="96">
        <f t="shared" si="29"/>
        <v>4.425190884139999</v>
      </c>
      <c r="N110" s="107">
        <f t="shared" si="29"/>
        <v>4.35303655006</v>
      </c>
      <c r="O110" s="146">
        <f t="shared" si="29"/>
        <v>4.37935981373</v>
      </c>
      <c r="P110" s="96">
        <f t="shared" si="29"/>
        <v>3.85637399057</v>
      </c>
      <c r="Q110" s="96">
        <f t="shared" si="29"/>
        <v>3.694997994949999</v>
      </c>
      <c r="R110" s="107">
        <f t="shared" si="29"/>
        <v>3.3889929054800003</v>
      </c>
      <c r="S110" s="146">
        <f t="shared" si="29"/>
        <v>3.33155234776</v>
      </c>
      <c r="T110" s="96">
        <f t="shared" si="29"/>
        <v>2.9961393817299995</v>
      </c>
      <c r="U110" s="96">
        <f t="shared" si="29"/>
        <v>2.95480601212</v>
      </c>
      <c r="V110" s="107">
        <f t="shared" si="29"/>
        <v>2.64970315495</v>
      </c>
      <c r="W110" s="146">
        <f t="shared" si="29"/>
        <v>2.6459312550000003</v>
      </c>
      <c r="X110" s="96">
        <f t="shared" si="29"/>
        <v>2.26198962</v>
      </c>
      <c r="Y110" s="96">
        <f t="shared" si="29"/>
        <v>2.2809080786400004</v>
      </c>
      <c r="Z110" s="107">
        <f>+Z25*$Z$87</f>
        <v>1.8808852108800003</v>
      </c>
      <c r="AA110" s="96">
        <f>+AA25*$AA$87</f>
        <v>1.860660532</v>
      </c>
      <c r="AB110" s="96">
        <f>+AB25*$AB$87</f>
        <v>1.5162684989099997</v>
      </c>
      <c r="AC110" s="96">
        <f>+AC25*$AC$87</f>
        <v>1.4748279895799998</v>
      </c>
      <c r="AD110" s="107">
        <f>+AD25*$AD$87</f>
        <v>1.10530483096</v>
      </c>
      <c r="AE110" s="71">
        <f>+AE25/$AE$87</f>
        <v>1.1217695834403005</v>
      </c>
      <c r="AF110" s="129">
        <f>+AF25*$AF$87</f>
        <v>0.8182824008699999</v>
      </c>
      <c r="AG110" s="129">
        <f>+AG25*$AG$87</f>
        <v>0.81798837198</v>
      </c>
      <c r="AH110" s="107">
        <f>+AH25*$AH$87</f>
        <v>0.4183805784</v>
      </c>
      <c r="AI110" s="129">
        <f>+AI25*$AI$87</f>
        <v>0.42032583860000006</v>
      </c>
      <c r="AJ110" s="203">
        <f>+AJ25*$AJ$87</f>
        <v>0</v>
      </c>
      <c r="AK110" s="203">
        <f>+AK25*$AK$87</f>
        <v>0</v>
      </c>
      <c r="AL110" s="196">
        <f>+AL25*$AL$87</f>
        <v>0</v>
      </c>
      <c r="AM110" s="203">
        <f>+AM25*$AM$87</f>
        <v>0</v>
      </c>
      <c r="AN110" s="203">
        <f>+AN25*$AN$87</f>
        <v>0</v>
      </c>
      <c r="AO110" s="203">
        <f>+AO25*$AO$87</f>
        <v>0</v>
      </c>
      <c r="AP110" s="203">
        <f>+AP25*$AP$87</f>
        <v>0</v>
      </c>
      <c r="AQ110" s="203">
        <f>+AQ25*$AQ$87</f>
        <v>0</v>
      </c>
      <c r="AR110" s="203">
        <f>+AR25*$AR$87</f>
        <v>0</v>
      </c>
      <c r="AS110" s="203">
        <f>+AS25*$AS$87</f>
        <v>0</v>
      </c>
      <c r="AT110" s="203">
        <f>+AT25*$AT$87</f>
        <v>0</v>
      </c>
      <c r="AU110" s="203">
        <f>+AU25*$AU$87</f>
        <v>0</v>
      </c>
      <c r="AV110" s="203">
        <f>+AV25*$AV$87</f>
        <v>0</v>
      </c>
      <c r="AW110" s="217">
        <f>+AW25*$AW$87</f>
        <v>0</v>
      </c>
    </row>
    <row r="111" spans="2:49" s="29" customFormat="1" ht="12" customHeight="1">
      <c r="B111" s="49"/>
      <c r="C111" s="147"/>
      <c r="D111" s="145"/>
      <c r="E111" s="145"/>
      <c r="F111" s="458"/>
      <c r="G111" s="147"/>
      <c r="H111" s="145"/>
      <c r="I111" s="145"/>
      <c r="J111" s="458"/>
      <c r="K111" s="147"/>
      <c r="L111" s="145"/>
      <c r="M111" s="145"/>
      <c r="N111" s="458"/>
      <c r="O111" s="147"/>
      <c r="P111" s="145"/>
      <c r="Q111" s="145"/>
      <c r="R111" s="458"/>
      <c r="S111" s="147"/>
      <c r="T111" s="145"/>
      <c r="U111" s="145"/>
      <c r="V111" s="458"/>
      <c r="W111" s="147"/>
      <c r="X111" s="145"/>
      <c r="Y111" s="145"/>
      <c r="Z111" s="458"/>
      <c r="AA111" s="145"/>
      <c r="AB111" s="145"/>
      <c r="AC111" s="157"/>
      <c r="AD111" s="251"/>
      <c r="AE111" s="69"/>
      <c r="AF111" s="170"/>
      <c r="AG111" s="170"/>
      <c r="AH111" s="123"/>
      <c r="AI111" s="170"/>
      <c r="AJ111" s="170"/>
      <c r="AK111" s="170"/>
      <c r="AL111" s="123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258"/>
    </row>
    <row r="112" spans="2:49" s="29" customFormat="1" ht="15.75">
      <c r="B112" s="85" t="s">
        <v>105</v>
      </c>
      <c r="C112" s="148">
        <f>SUM(C113:C139)</f>
        <v>1441.7818218285802</v>
      </c>
      <c r="D112" s="144">
        <f aca="true" t="shared" si="30" ref="D112:AW112">SUM(D113:D139)</f>
        <v>1413.4235173186003</v>
      </c>
      <c r="E112" s="144">
        <f t="shared" si="30"/>
        <v>1405.3716169675</v>
      </c>
      <c r="F112" s="185">
        <f t="shared" si="30"/>
        <v>1413.3264959589098</v>
      </c>
      <c r="G112" s="148">
        <f t="shared" si="30"/>
        <v>1431.8760753176002</v>
      </c>
      <c r="H112" s="144">
        <f t="shared" si="30"/>
        <v>1393.74364423585</v>
      </c>
      <c r="I112" s="144">
        <f t="shared" si="30"/>
        <v>1588.2634888306202</v>
      </c>
      <c r="J112" s="185">
        <f t="shared" si="30"/>
        <v>1487.61581059449</v>
      </c>
      <c r="K112" s="148">
        <f t="shared" si="30"/>
        <v>1465.6230978681397</v>
      </c>
      <c r="L112" s="144">
        <f t="shared" si="30"/>
        <v>1499.8974407734202</v>
      </c>
      <c r="M112" s="144">
        <f t="shared" si="30"/>
        <v>1566.89985393175</v>
      </c>
      <c r="N112" s="185">
        <f t="shared" si="30"/>
        <v>1873.8873852516595</v>
      </c>
      <c r="O112" s="148">
        <f t="shared" si="30"/>
        <v>1831.6550042731703</v>
      </c>
      <c r="P112" s="144">
        <f t="shared" si="30"/>
        <v>1797.6109005907704</v>
      </c>
      <c r="Q112" s="144">
        <f t="shared" si="30"/>
        <v>1815.0264342136497</v>
      </c>
      <c r="R112" s="185">
        <f t="shared" si="30"/>
        <v>1836.9956728586403</v>
      </c>
      <c r="S112" s="148">
        <f t="shared" si="30"/>
        <v>2034.0033218965598</v>
      </c>
      <c r="T112" s="144">
        <f t="shared" si="30"/>
        <v>2399.8855515911096</v>
      </c>
      <c r="U112" s="144">
        <f t="shared" si="30"/>
        <v>2398.0064054624395</v>
      </c>
      <c r="V112" s="185">
        <f t="shared" si="30"/>
        <v>2598.295351566801</v>
      </c>
      <c r="W112" s="148">
        <f t="shared" si="30"/>
        <v>2447.8573817742</v>
      </c>
      <c r="X112" s="144">
        <f t="shared" si="30"/>
        <v>2323.860350817499</v>
      </c>
      <c r="Y112" s="144">
        <f t="shared" si="30"/>
        <v>2384.7767180713104</v>
      </c>
      <c r="Z112" s="185">
        <f t="shared" si="30"/>
        <v>2327.297962540591</v>
      </c>
      <c r="AA112" s="144">
        <f t="shared" si="30"/>
        <v>2208.1357473689595</v>
      </c>
      <c r="AB112" s="144">
        <f t="shared" si="30"/>
        <v>2621.1060549166887</v>
      </c>
      <c r="AC112" s="144">
        <f t="shared" si="30"/>
        <v>2565.3378396643193</v>
      </c>
      <c r="AD112" s="185">
        <f t="shared" si="30"/>
        <v>2390.451725620959</v>
      </c>
      <c r="AE112" s="87">
        <f t="shared" si="30"/>
        <v>2188.509517252186</v>
      </c>
      <c r="AF112" s="121">
        <f t="shared" si="30"/>
        <v>2303.2880439739492</v>
      </c>
      <c r="AG112" s="121">
        <f t="shared" si="30"/>
        <v>2258.89322481446</v>
      </c>
      <c r="AH112" s="185">
        <f t="shared" si="30"/>
        <v>2157.614615915279</v>
      </c>
      <c r="AI112" s="121">
        <f t="shared" si="30"/>
        <v>2189.5517623574096</v>
      </c>
      <c r="AJ112" s="121">
        <f t="shared" si="30"/>
        <v>2181.4999897372804</v>
      </c>
      <c r="AK112" s="121">
        <f t="shared" si="30"/>
        <v>2117.7820977247206</v>
      </c>
      <c r="AL112" s="185">
        <f t="shared" si="30"/>
        <v>2044.5625074885493</v>
      </c>
      <c r="AM112" s="121">
        <f t="shared" si="30"/>
        <v>2198.5539059528005</v>
      </c>
      <c r="AN112" s="121">
        <f t="shared" si="30"/>
        <v>2208.6890754177994</v>
      </c>
      <c r="AO112" s="121">
        <f t="shared" si="30"/>
        <v>2174.9811689117796</v>
      </c>
      <c r="AP112" s="121">
        <f t="shared" si="30"/>
        <v>2144.51009722645</v>
      </c>
      <c r="AQ112" s="121">
        <f t="shared" si="30"/>
        <v>2106.3812600946403</v>
      </c>
      <c r="AR112" s="121">
        <f t="shared" si="30"/>
        <v>2151.76862323115</v>
      </c>
      <c r="AS112" s="121">
        <f t="shared" si="30"/>
        <v>2157.7806170726403</v>
      </c>
      <c r="AT112" s="121">
        <f t="shared" si="30"/>
        <v>2214.2665802739302</v>
      </c>
      <c r="AU112" s="121">
        <f t="shared" si="30"/>
        <v>2156.8661082742397</v>
      </c>
      <c r="AV112" s="121">
        <f t="shared" si="30"/>
        <v>2223.8616791129407</v>
      </c>
      <c r="AW112" s="214">
        <f t="shared" si="30"/>
        <v>2242.3115843875203</v>
      </c>
    </row>
    <row r="113" spans="2:49" s="29" customFormat="1" ht="14.25">
      <c r="B113" s="117" t="s">
        <v>42</v>
      </c>
      <c r="C113" s="450">
        <f aca="true" t="shared" si="31" ref="C113:Y113">+C28*C87</f>
        <v>767.5371733201</v>
      </c>
      <c r="D113" s="158">
        <f t="shared" si="31"/>
        <v>741.4229070959999</v>
      </c>
      <c r="E113" s="158">
        <f t="shared" si="31"/>
        <v>751.814199045</v>
      </c>
      <c r="F113" s="126">
        <f t="shared" si="31"/>
        <v>750.6063426061401</v>
      </c>
      <c r="G113" s="450">
        <f t="shared" si="31"/>
        <v>779.4125723716801</v>
      </c>
      <c r="H113" s="158">
        <f t="shared" si="31"/>
        <v>748.87586001777</v>
      </c>
      <c r="I113" s="158">
        <f t="shared" si="31"/>
        <v>783.01195064505</v>
      </c>
      <c r="J113" s="126">
        <f t="shared" si="31"/>
        <v>792.12431929347</v>
      </c>
      <c r="K113" s="450">
        <f t="shared" si="31"/>
        <v>776.6276657274</v>
      </c>
      <c r="L113" s="158">
        <f t="shared" si="31"/>
        <v>800.3297768646</v>
      </c>
      <c r="M113" s="158">
        <f t="shared" si="31"/>
        <v>892.3665445722299</v>
      </c>
      <c r="N113" s="126">
        <f t="shared" si="31"/>
        <v>1095.31444758318</v>
      </c>
      <c r="O113" s="450">
        <f t="shared" si="31"/>
        <v>1111.80201687278</v>
      </c>
      <c r="P113" s="158">
        <f t="shared" si="31"/>
        <v>1097.7557252777501</v>
      </c>
      <c r="Q113" s="158">
        <f t="shared" si="31"/>
        <v>1118.57708196815</v>
      </c>
      <c r="R113" s="126">
        <f t="shared" si="31"/>
        <v>1171.8952512129101</v>
      </c>
      <c r="S113" s="450">
        <f t="shared" si="31"/>
        <v>1402.95893003042</v>
      </c>
      <c r="T113" s="158">
        <f t="shared" si="31"/>
        <v>1482.7887935541999</v>
      </c>
      <c r="U113" s="158">
        <f t="shared" si="31"/>
        <v>1579.41675314808</v>
      </c>
      <c r="V113" s="126">
        <f t="shared" si="31"/>
        <v>1782.6291870331702</v>
      </c>
      <c r="W113" s="450">
        <f t="shared" si="31"/>
        <v>1812.42301076595</v>
      </c>
      <c r="X113" s="158">
        <f t="shared" si="31"/>
        <v>1833.8466638525001</v>
      </c>
      <c r="Y113" s="158">
        <f t="shared" si="31"/>
        <v>1892.2943870673203</v>
      </c>
      <c r="Z113" s="126">
        <f>+Z28*$Z$87</f>
        <v>1843.66045125564</v>
      </c>
      <c r="AA113" s="158">
        <f>+AA28*$AA$87</f>
        <v>1719.6964741278</v>
      </c>
      <c r="AB113" s="158">
        <f>+AB28*$AB$87</f>
        <v>1765.75502248594</v>
      </c>
      <c r="AC113" s="158">
        <f>+AC28*$AC$87</f>
        <v>1739.55793377786</v>
      </c>
      <c r="AD113" s="126">
        <f>+AD28*$AD$87</f>
        <v>1616.20625884343</v>
      </c>
      <c r="AE113" s="71">
        <f>+AE28/$AE$87</f>
        <v>1504.6179221944033</v>
      </c>
      <c r="AF113" s="125">
        <f>+AF28*$AF$87</f>
        <v>1586.94373691194</v>
      </c>
      <c r="AG113" s="125">
        <f>+AG28*$AG$87</f>
        <v>1567.3032773798402</v>
      </c>
      <c r="AH113" s="126">
        <f aca="true" t="shared" si="32" ref="AH113:AH120">+AH28*$AH$87</f>
        <v>1496.2615455827997</v>
      </c>
      <c r="AI113" s="125">
        <f aca="true" t="shared" si="33" ref="AI113:AI120">+AI28*$AI$87</f>
        <v>1537.4755431359997</v>
      </c>
      <c r="AJ113" s="125">
        <f aca="true" t="shared" si="34" ref="AJ113:AJ120">+AJ28*$AJ$87</f>
        <v>1538.9537215884006</v>
      </c>
      <c r="AK113" s="125">
        <f aca="true" t="shared" si="35" ref="AK113:AK139">+AK28*$AK$87</f>
        <v>1526.1625240981202</v>
      </c>
      <c r="AL113" s="126">
        <f aca="true" t="shared" si="36" ref="AL113:AL139">+AL28*$AL$87</f>
        <v>1490.0761707819397</v>
      </c>
      <c r="AM113" s="125">
        <f aca="true" t="shared" si="37" ref="AM113:AM133">+AM28*$AM$87</f>
        <v>1603.9196174782</v>
      </c>
      <c r="AN113" s="125">
        <f aca="true" t="shared" si="38" ref="AN113:AN133">+AN28*$AN$87</f>
        <v>1614.49329934665</v>
      </c>
      <c r="AO113" s="125">
        <f aca="true" t="shared" si="39" ref="AO113:AO139">+AO28*$AO$87</f>
        <v>1616.68124247419</v>
      </c>
      <c r="AP113" s="125">
        <f aca="true" t="shared" si="40" ref="AP113:AP139">+AP28*$AP$87</f>
        <v>1593.80092093608</v>
      </c>
      <c r="AQ113" s="125">
        <f aca="true" t="shared" si="41" ref="AQ113:AQ139">+AQ28*$AQ$87</f>
        <v>1569.22055227138</v>
      </c>
      <c r="AR113" s="125">
        <f aca="true" t="shared" si="42" ref="AR113:AR139">+AR28*$AR$87</f>
        <v>1605.62741872456</v>
      </c>
      <c r="AS113" s="125">
        <f aca="true" t="shared" si="43" ref="AS113:AS139">+AS28*$AS$87</f>
        <v>1609.38039426528</v>
      </c>
      <c r="AT113" s="125">
        <f aca="true" t="shared" si="44" ref="AT113:AT139">+AT28*$AT$87</f>
        <v>1644.3703313345102</v>
      </c>
      <c r="AU113" s="125">
        <f aca="true" t="shared" si="45" ref="AU113:AU139">+AU28*$AU$87</f>
        <v>1616.1147387458702</v>
      </c>
      <c r="AV113" s="125">
        <f aca="true" t="shared" si="46" ref="AV113:AV139">+AV28*$AV$87</f>
        <v>1667.07909156062</v>
      </c>
      <c r="AW113" s="257">
        <f>+AW28*$AW$87</f>
        <v>1688.1113175232</v>
      </c>
    </row>
    <row r="114" spans="2:49" s="29" customFormat="1" ht="14.25">
      <c r="B114" s="117" t="s">
        <v>43</v>
      </c>
      <c r="C114" s="450">
        <f aca="true" t="shared" si="47" ref="C114:Y114">+C29*C87</f>
        <v>181.45063814000002</v>
      </c>
      <c r="D114" s="158">
        <f t="shared" si="47"/>
        <v>187.8727799786</v>
      </c>
      <c r="E114" s="158">
        <f t="shared" si="47"/>
        <v>173.31445553499998</v>
      </c>
      <c r="F114" s="126">
        <f t="shared" si="47"/>
        <v>169.67804399472</v>
      </c>
      <c r="G114" s="450">
        <f t="shared" si="47"/>
        <v>162.24274304992</v>
      </c>
      <c r="H114" s="158">
        <f t="shared" si="47"/>
        <v>156.66200253824</v>
      </c>
      <c r="I114" s="158">
        <f t="shared" si="47"/>
        <v>290.029864131</v>
      </c>
      <c r="J114" s="126">
        <f t="shared" si="47"/>
        <v>216.15462886013998</v>
      </c>
      <c r="K114" s="450">
        <f t="shared" si="47"/>
        <v>212.39248102578</v>
      </c>
      <c r="L114" s="158">
        <f t="shared" si="47"/>
        <v>215.56973100689999</v>
      </c>
      <c r="M114" s="158">
        <f t="shared" si="47"/>
        <v>207.97516302836</v>
      </c>
      <c r="N114" s="126">
        <f t="shared" si="47"/>
        <v>256.7783259002</v>
      </c>
      <c r="O114" s="450">
        <f t="shared" si="47"/>
        <v>228.164194737</v>
      </c>
      <c r="P114" s="158">
        <f t="shared" si="47"/>
        <v>225.89717442275003</v>
      </c>
      <c r="Q114" s="158">
        <f t="shared" si="47"/>
        <v>220.40827916039999</v>
      </c>
      <c r="R114" s="126">
        <f t="shared" si="47"/>
        <v>214.72101901151999</v>
      </c>
      <c r="S114" s="450">
        <f t="shared" si="47"/>
        <v>199.83997079704002</v>
      </c>
      <c r="T114" s="158">
        <f t="shared" si="47"/>
        <v>511.95839977425</v>
      </c>
      <c r="U114" s="158">
        <f t="shared" si="47"/>
        <v>382.2420908988</v>
      </c>
      <c r="V114" s="126">
        <f t="shared" si="47"/>
        <v>394.47446581290006</v>
      </c>
      <c r="W114" s="450">
        <f t="shared" si="47"/>
        <v>202.079740401</v>
      </c>
      <c r="X114" s="158">
        <f t="shared" si="47"/>
        <v>204.74383371750002</v>
      </c>
      <c r="Y114" s="158">
        <f t="shared" si="47"/>
        <v>205.26819151</v>
      </c>
      <c r="Z114" s="107">
        <f>+Z29*$Z$87</f>
        <v>198.4106823024</v>
      </c>
      <c r="AA114" s="96">
        <f>+AA29*$AA$87</f>
        <v>174.64211256424</v>
      </c>
      <c r="AB114" s="96">
        <f>+AB29*$AB$87</f>
        <v>520.3788399855999</v>
      </c>
      <c r="AC114" s="96">
        <f>+AC29*$AC$87</f>
        <v>492.9904799969399</v>
      </c>
      <c r="AD114" s="107">
        <f>+AD29*$AD$87</f>
        <v>449.49132001006</v>
      </c>
      <c r="AE114" s="71">
        <f>+AE29/$AE$87</f>
        <v>383.4370399948328</v>
      </c>
      <c r="AF114" s="125">
        <f>+AF29*$AF$87</f>
        <v>397.13122001244994</v>
      </c>
      <c r="AG114" s="125">
        <f>+AG29*$AG$87</f>
        <v>373.77056000231994</v>
      </c>
      <c r="AH114" s="126">
        <f t="shared" si="32"/>
        <v>347.9932800284399</v>
      </c>
      <c r="AI114" s="125">
        <f t="shared" si="33"/>
        <v>338.32679998718</v>
      </c>
      <c r="AJ114" s="125">
        <f t="shared" si="34"/>
        <v>338.32679999736</v>
      </c>
      <c r="AK114" s="125">
        <f t="shared" si="35"/>
        <v>304.49412001007994</v>
      </c>
      <c r="AL114" s="126">
        <f t="shared" si="36"/>
        <v>281.93899999377004</v>
      </c>
      <c r="AM114" s="125">
        <f t="shared" si="37"/>
        <v>315.77168003391995</v>
      </c>
      <c r="AN114" s="125">
        <f t="shared" si="38"/>
        <v>315.77167999025</v>
      </c>
      <c r="AO114" s="125">
        <f t="shared" si="39"/>
        <v>293.21655999723</v>
      </c>
      <c r="AP114" s="125">
        <f t="shared" si="40"/>
        <v>282.74454001751997</v>
      </c>
      <c r="AQ114" s="125">
        <f t="shared" si="41"/>
        <v>272.27251999552</v>
      </c>
      <c r="AR114" s="125">
        <f t="shared" si="42"/>
        <v>282.74454001486004</v>
      </c>
      <c r="AS114" s="125">
        <f t="shared" si="43"/>
        <v>282.74453999568004</v>
      </c>
      <c r="AT114" s="125">
        <f t="shared" si="44"/>
        <v>293.21656001624996</v>
      </c>
      <c r="AU114" s="125">
        <f t="shared" si="45"/>
        <v>270.66144002128004</v>
      </c>
      <c r="AV114" s="125">
        <f t="shared" si="46"/>
        <v>280.32791998857</v>
      </c>
      <c r="AW114" s="257">
        <f aca="true" t="shared" si="48" ref="AW114:AW134">+AW29*$AW$87</f>
        <v>280.32792001008</v>
      </c>
    </row>
    <row r="115" spans="2:49" s="29" customFormat="1" ht="14.25">
      <c r="B115" s="117" t="s">
        <v>44</v>
      </c>
      <c r="C115" s="450">
        <f aca="true" t="shared" si="49" ref="C115:Y115">+C30*C87</f>
        <v>3.1153845</v>
      </c>
      <c r="D115" s="158">
        <f t="shared" si="49"/>
        <v>3.6268794219999996</v>
      </c>
      <c r="E115" s="158">
        <f t="shared" si="49"/>
        <v>4.47912647</v>
      </c>
      <c r="F115" s="126">
        <f t="shared" si="49"/>
        <v>23.702337407</v>
      </c>
      <c r="G115" s="450">
        <f t="shared" si="49"/>
        <v>24.1023611672</v>
      </c>
      <c r="H115" s="158">
        <f t="shared" si="49"/>
        <v>44.54683166461</v>
      </c>
      <c r="I115" s="158">
        <f t="shared" si="49"/>
        <v>59.14445879664</v>
      </c>
      <c r="J115" s="126">
        <f t="shared" si="49"/>
        <v>61.0873481034</v>
      </c>
      <c r="K115" s="450">
        <f t="shared" si="49"/>
        <v>60.21536297662</v>
      </c>
      <c r="L115" s="158">
        <f t="shared" si="49"/>
        <v>62.93785208496001</v>
      </c>
      <c r="M115" s="158">
        <f t="shared" si="49"/>
        <v>67.14079078148</v>
      </c>
      <c r="N115" s="126">
        <f t="shared" si="49"/>
        <v>91.39416159694</v>
      </c>
      <c r="O115" s="450">
        <f t="shared" si="49"/>
        <v>82.38884076941</v>
      </c>
      <c r="P115" s="158">
        <f t="shared" si="49"/>
        <v>82.89299699006</v>
      </c>
      <c r="Q115" s="158">
        <f t="shared" si="49"/>
        <v>81.9184112487</v>
      </c>
      <c r="R115" s="126">
        <f t="shared" si="49"/>
        <v>79.80502077365999</v>
      </c>
      <c r="S115" s="450">
        <f t="shared" si="49"/>
        <v>75.67622658456</v>
      </c>
      <c r="T115" s="158">
        <f t="shared" si="49"/>
        <v>79.86906729901</v>
      </c>
      <c r="U115" s="158">
        <f t="shared" si="49"/>
        <v>92.86920661967999</v>
      </c>
      <c r="V115" s="126">
        <f t="shared" si="49"/>
        <v>97.06960970947001</v>
      </c>
      <c r="W115" s="450">
        <f t="shared" si="49"/>
        <v>95.32290026325</v>
      </c>
      <c r="X115" s="158">
        <f t="shared" si="49"/>
        <v>99.72627887750001</v>
      </c>
      <c r="Y115" s="158">
        <f t="shared" si="49"/>
        <v>107.55711742947001</v>
      </c>
      <c r="Z115" s="107">
        <f>+Z30*$Z$87</f>
        <v>119.05839288063</v>
      </c>
      <c r="AA115" s="96">
        <f>+AA30*$AA$87</f>
        <v>113.69170154871999</v>
      </c>
      <c r="AB115" s="96">
        <f>+AB30*$AB$87</f>
        <v>121.91004698991</v>
      </c>
      <c r="AC115" s="96">
        <f>+AC30*$AC$87</f>
        <v>121.67941731113999</v>
      </c>
      <c r="AD115" s="107">
        <f>+AD30*$AD$87</f>
        <v>115.01263430483002</v>
      </c>
      <c r="AE115" s="71">
        <f>+AE30/$AE$87</f>
        <v>100.23683600141686</v>
      </c>
      <c r="AF115" s="125">
        <f>+AF30*$AF$87</f>
        <v>103.81672297568001</v>
      </c>
      <c r="AG115" s="125">
        <f>+AG30*$AG$87</f>
        <v>100.04274999758</v>
      </c>
      <c r="AH115" s="126">
        <f t="shared" si="32"/>
        <v>93.14325002604</v>
      </c>
      <c r="AI115" s="125">
        <f t="shared" si="33"/>
        <v>92.94916401427001</v>
      </c>
      <c r="AJ115" s="125">
        <f t="shared" si="34"/>
        <v>92.94916400843998</v>
      </c>
      <c r="AK115" s="125">
        <f t="shared" si="35"/>
        <v>86.11585202844</v>
      </c>
      <c r="AL115" s="126">
        <f t="shared" si="36"/>
        <v>79.73690002306</v>
      </c>
      <c r="AM115" s="125">
        <f t="shared" si="37"/>
        <v>89.30532798044</v>
      </c>
      <c r="AN115" s="125">
        <f t="shared" si="38"/>
        <v>89.30532800709999</v>
      </c>
      <c r="AO115" s="125">
        <f t="shared" si="39"/>
        <v>85.66149197117001</v>
      </c>
      <c r="AP115" s="125">
        <f t="shared" si="40"/>
        <v>82.60215300321998</v>
      </c>
      <c r="AQ115" s="125">
        <f t="shared" si="41"/>
        <v>79.54281401244002</v>
      </c>
      <c r="AR115" s="125">
        <f t="shared" si="42"/>
        <v>82.60215298962</v>
      </c>
      <c r="AS115" s="125">
        <f t="shared" si="43"/>
        <v>82.60215299616</v>
      </c>
      <c r="AT115" s="125">
        <f t="shared" si="44"/>
        <v>85.66149198633</v>
      </c>
      <c r="AU115" s="125">
        <f t="shared" si="45"/>
        <v>82.01765602216999</v>
      </c>
      <c r="AV115" s="125">
        <f t="shared" si="46"/>
        <v>84.94685800725999</v>
      </c>
      <c r="AW115" s="257">
        <f t="shared" si="48"/>
        <v>84.94685798399999</v>
      </c>
    </row>
    <row r="116" spans="2:49" s="29" customFormat="1" ht="14.25">
      <c r="B116" s="117" t="s">
        <v>45</v>
      </c>
      <c r="C116" s="450">
        <f aca="true" t="shared" si="50" ref="C116:Y116">+C31*C87</f>
        <v>18.08562644166</v>
      </c>
      <c r="D116" s="158">
        <f t="shared" si="50"/>
        <v>18.0780855652</v>
      </c>
      <c r="E116" s="158">
        <f t="shared" si="50"/>
        <v>17.42660998</v>
      </c>
      <c r="F116" s="126">
        <f t="shared" si="50"/>
        <v>17.32322375795</v>
      </c>
      <c r="G116" s="450">
        <f t="shared" si="50"/>
        <v>16.96775190704</v>
      </c>
      <c r="H116" s="158">
        <f t="shared" si="50"/>
        <v>16.49964574538</v>
      </c>
      <c r="I116" s="158">
        <f t="shared" si="50"/>
        <v>17.142567505560002</v>
      </c>
      <c r="J116" s="126">
        <f t="shared" si="50"/>
        <v>15.939164600279998</v>
      </c>
      <c r="K116" s="450">
        <f t="shared" si="50"/>
        <v>15.300627587960001</v>
      </c>
      <c r="L116" s="158">
        <f t="shared" si="50"/>
        <v>15.93654049569</v>
      </c>
      <c r="M116" s="158">
        <f t="shared" si="50"/>
        <v>13.815264259809998</v>
      </c>
      <c r="N116" s="126">
        <f t="shared" si="50"/>
        <v>13.930775606819997</v>
      </c>
      <c r="O116" s="450">
        <f t="shared" si="50"/>
        <v>12.869048343300001</v>
      </c>
      <c r="P116" s="158">
        <f t="shared" si="50"/>
        <v>12.4999807213</v>
      </c>
      <c r="Q116" s="158">
        <f t="shared" si="50"/>
        <v>11.977966166549999</v>
      </c>
      <c r="R116" s="126">
        <f t="shared" si="50"/>
        <v>12.511172605819999</v>
      </c>
      <c r="S116" s="450">
        <f t="shared" si="50"/>
        <v>11.64449567904</v>
      </c>
      <c r="T116" s="158">
        <f t="shared" si="50"/>
        <v>11.01497794452</v>
      </c>
      <c r="U116" s="158">
        <f t="shared" si="50"/>
        <v>12.13958624212</v>
      </c>
      <c r="V116" s="126">
        <f t="shared" si="50"/>
        <v>13.183888999390003</v>
      </c>
      <c r="W116" s="450">
        <f t="shared" si="50"/>
        <v>13.130422892400002</v>
      </c>
      <c r="X116" s="158">
        <f t="shared" si="50"/>
        <v>12.763571535000002</v>
      </c>
      <c r="Y116" s="158">
        <f t="shared" si="50"/>
        <v>11.97049003263</v>
      </c>
      <c r="Z116" s="107">
        <f>+Z31*$Z$87</f>
        <v>10.98506668845</v>
      </c>
      <c r="AA116" s="96">
        <f>+AA31*$AA$87</f>
        <v>40.50966174852</v>
      </c>
      <c r="AB116" s="96">
        <f>+AB31*$AB$87</f>
        <v>41.91952861316</v>
      </c>
      <c r="AC116" s="96">
        <f>+AC31*$AC$87</f>
        <v>41.822277015720005</v>
      </c>
      <c r="AD116" s="107">
        <f>+AD31*$AD$87</f>
        <v>45.176857026129994</v>
      </c>
      <c r="AE116" s="71">
        <f>+AE31/$AE$87</f>
        <v>40.10659783546075</v>
      </c>
      <c r="AF116" s="125">
        <f>+AF31*$AF$87</f>
        <v>41.36286507331</v>
      </c>
      <c r="AG116" s="125">
        <f>+AG31*$AG$87</f>
        <v>40.336548751980004</v>
      </c>
      <c r="AH116" s="126">
        <f t="shared" si="32"/>
        <v>37.47231614027999</v>
      </c>
      <c r="AI116" s="125">
        <f t="shared" si="33"/>
        <v>37.6374140322</v>
      </c>
      <c r="AJ116" s="125">
        <f t="shared" si="34"/>
        <v>37.168934119199996</v>
      </c>
      <c r="AK116" s="125">
        <f t="shared" si="35"/>
        <v>34.7625097872</v>
      </c>
      <c r="AL116" s="126">
        <f t="shared" si="36"/>
        <v>32.03859443743</v>
      </c>
      <c r="AM116" s="125">
        <f t="shared" si="37"/>
        <v>35.60264203781999</v>
      </c>
      <c r="AN116" s="125">
        <f t="shared" si="38"/>
        <v>35.597671311700005</v>
      </c>
      <c r="AO116" s="125">
        <f t="shared" si="39"/>
        <v>34.46863590059</v>
      </c>
      <c r="AP116" s="125">
        <f t="shared" si="40"/>
        <v>33.33616284221</v>
      </c>
      <c r="AQ116" s="125">
        <f t="shared" si="41"/>
        <v>32.15614302518</v>
      </c>
      <c r="AR116" s="125">
        <f t="shared" si="42"/>
        <v>33.0671972653</v>
      </c>
      <c r="AS116" s="125">
        <f t="shared" si="43"/>
        <v>33.07552302432</v>
      </c>
      <c r="AT116" s="125">
        <f t="shared" si="44"/>
        <v>34.30520636439</v>
      </c>
      <c r="AU116" s="125">
        <f t="shared" si="45"/>
        <v>33.21139154267</v>
      </c>
      <c r="AV116" s="125">
        <f t="shared" si="46"/>
        <v>34.385757812049995</v>
      </c>
      <c r="AW116" s="257">
        <f t="shared" si="48"/>
        <v>34.376881996959995</v>
      </c>
    </row>
    <row r="117" spans="2:49" s="133" customFormat="1" ht="14.25">
      <c r="B117" s="117" t="s">
        <v>85</v>
      </c>
      <c r="C117" s="450">
        <f aca="true" t="shared" si="51" ref="C117:AD117">+C32*C87</f>
        <v>67.38379411148</v>
      </c>
      <c r="D117" s="158">
        <f t="shared" si="51"/>
        <v>70.20406355319999</v>
      </c>
      <c r="E117" s="158">
        <f t="shared" si="51"/>
        <v>66.677405405</v>
      </c>
      <c r="F117" s="126">
        <f t="shared" si="51"/>
        <v>69.18440816168001</v>
      </c>
      <c r="G117" s="450">
        <f t="shared" si="51"/>
        <v>66.82162258384</v>
      </c>
      <c r="H117" s="158">
        <f t="shared" si="51"/>
        <v>67.93148902107</v>
      </c>
      <c r="I117" s="158">
        <f t="shared" si="51"/>
        <v>66.91194427239</v>
      </c>
      <c r="J117" s="126">
        <f t="shared" si="51"/>
        <v>64.93056088356</v>
      </c>
      <c r="K117" s="450">
        <f t="shared" si="51"/>
        <v>64.35487727168</v>
      </c>
      <c r="L117" s="158">
        <f t="shared" si="51"/>
        <v>67.27298260422</v>
      </c>
      <c r="M117" s="158">
        <f t="shared" si="51"/>
        <v>60.34618210880999</v>
      </c>
      <c r="N117" s="126">
        <f t="shared" si="51"/>
        <v>61.16133578812</v>
      </c>
      <c r="O117" s="450">
        <f t="shared" si="51"/>
        <v>58.612273203899996</v>
      </c>
      <c r="P117" s="158">
        <f t="shared" si="51"/>
        <v>57.32350053151001</v>
      </c>
      <c r="Q117" s="158">
        <f t="shared" si="51"/>
        <v>57.1502784251</v>
      </c>
      <c r="R117" s="126">
        <f t="shared" si="51"/>
        <v>54.29522841743</v>
      </c>
      <c r="S117" s="450">
        <f t="shared" si="51"/>
        <v>50.28913097166001</v>
      </c>
      <c r="T117" s="158">
        <f t="shared" si="51"/>
        <v>45.952217206060006</v>
      </c>
      <c r="U117" s="158">
        <f t="shared" si="51"/>
        <v>46.494649999239996</v>
      </c>
      <c r="V117" s="126">
        <f t="shared" si="51"/>
        <v>42.31940011962</v>
      </c>
      <c r="W117" s="450">
        <f t="shared" si="51"/>
        <v>48.554496144000005</v>
      </c>
      <c r="X117" s="158">
        <f t="shared" si="51"/>
        <v>31.358237185</v>
      </c>
      <c r="Y117" s="158">
        <f t="shared" si="51"/>
        <v>29.1958746293</v>
      </c>
      <c r="Z117" s="107">
        <f t="shared" si="51"/>
        <v>27.481693044750003</v>
      </c>
      <c r="AA117" s="96">
        <f t="shared" si="51"/>
        <v>27.98547603848</v>
      </c>
      <c r="AB117" s="96">
        <f t="shared" si="51"/>
        <v>38.131400438339995</v>
      </c>
      <c r="AC117" s="96">
        <f t="shared" si="51"/>
        <v>37.367244126239996</v>
      </c>
      <c r="AD117" s="107">
        <f t="shared" si="51"/>
        <v>36.59572562471</v>
      </c>
      <c r="AE117" s="71">
        <f>+AE32/AE87</f>
        <v>35.778295337709594</v>
      </c>
      <c r="AF117" s="188">
        <f>+AF32*AF87</f>
        <v>37.64203481643</v>
      </c>
      <c r="AG117" s="188">
        <f>+AG32*AG87</f>
        <v>38.4555366195</v>
      </c>
      <c r="AH117" s="126">
        <f t="shared" si="32"/>
        <v>40.20466595519999</v>
      </c>
      <c r="AI117" s="125">
        <f t="shared" si="33"/>
        <v>40.34738032146</v>
      </c>
      <c r="AJ117" s="125">
        <f t="shared" si="34"/>
        <v>36.16626623508</v>
      </c>
      <c r="AK117" s="125">
        <f t="shared" si="35"/>
        <v>34.65322518492</v>
      </c>
      <c r="AL117" s="126">
        <f t="shared" si="36"/>
        <v>32.88961731657</v>
      </c>
      <c r="AM117" s="125">
        <f t="shared" si="37"/>
        <v>31.41368920712</v>
      </c>
      <c r="AN117" s="125">
        <f t="shared" si="38"/>
        <v>31.317622862</v>
      </c>
      <c r="AO117" s="125">
        <f t="shared" si="39"/>
        <v>29.649562088959996</v>
      </c>
      <c r="AP117" s="125">
        <f t="shared" si="40"/>
        <v>31.142956806859996</v>
      </c>
      <c r="AQ117" s="125">
        <f t="shared" si="41"/>
        <v>31.40495591276</v>
      </c>
      <c r="AR117" s="125">
        <f t="shared" si="42"/>
        <v>29.76841343542</v>
      </c>
      <c r="AS117" s="125">
        <f t="shared" si="43"/>
        <v>30.03390650736</v>
      </c>
      <c r="AT117" s="125">
        <f t="shared" si="44"/>
        <v>31.294998741630003</v>
      </c>
      <c r="AU117" s="125">
        <f t="shared" si="45"/>
        <v>30.846979114599996</v>
      </c>
      <c r="AV117" s="125">
        <f t="shared" si="46"/>
        <v>31.278405411439998</v>
      </c>
      <c r="AW117" s="257">
        <f t="shared" si="48"/>
        <v>30.772309208</v>
      </c>
    </row>
    <row r="118" spans="2:49" s="133" customFormat="1" ht="14.25">
      <c r="B118" s="117" t="s">
        <v>51</v>
      </c>
      <c r="C118" s="450">
        <f aca="true" t="shared" si="52" ref="C118:AD118">+C33*C87</f>
        <v>38.396441724480006</v>
      </c>
      <c r="D118" s="158">
        <f t="shared" si="52"/>
        <v>38.5489051804</v>
      </c>
      <c r="E118" s="158">
        <f t="shared" si="52"/>
        <v>38.169244392500005</v>
      </c>
      <c r="F118" s="126">
        <f t="shared" si="52"/>
        <v>38.146254024410005</v>
      </c>
      <c r="G118" s="450">
        <f t="shared" si="52"/>
        <v>38.43724752240001</v>
      </c>
      <c r="H118" s="158">
        <f t="shared" si="52"/>
        <v>37.61925800678</v>
      </c>
      <c r="I118" s="158">
        <f t="shared" si="52"/>
        <v>38.685501414630004</v>
      </c>
      <c r="J118" s="126">
        <f t="shared" si="52"/>
        <v>17.973156242610003</v>
      </c>
      <c r="K118" s="450">
        <f t="shared" si="52"/>
        <v>37.4070120932</v>
      </c>
      <c r="L118" s="158">
        <f t="shared" si="52"/>
        <v>39.324802962780005</v>
      </c>
      <c r="M118" s="158">
        <f t="shared" si="52"/>
        <v>36.75495156280999</v>
      </c>
      <c r="N118" s="126">
        <f t="shared" si="52"/>
        <v>37.7105403872</v>
      </c>
      <c r="O118" s="450">
        <f t="shared" si="52"/>
        <v>36.22884008185</v>
      </c>
      <c r="P118" s="158">
        <f t="shared" si="52"/>
        <v>36.1638867911</v>
      </c>
      <c r="Q118" s="158">
        <f t="shared" si="52"/>
        <v>37.28236382875</v>
      </c>
      <c r="R118" s="126">
        <f t="shared" si="52"/>
        <v>37.5125671452</v>
      </c>
      <c r="S118" s="450">
        <f t="shared" si="52"/>
        <v>34.74475484746</v>
      </c>
      <c r="T118" s="158">
        <f t="shared" si="52"/>
        <v>30.821665720229998</v>
      </c>
      <c r="U118" s="158">
        <f t="shared" si="52"/>
        <v>33.93062460344</v>
      </c>
      <c r="V118" s="126">
        <f t="shared" si="52"/>
        <v>32.54144915404</v>
      </c>
      <c r="W118" s="450">
        <f t="shared" si="52"/>
        <v>34.4685486552</v>
      </c>
      <c r="X118" s="158">
        <f t="shared" si="52"/>
        <v>33.84490153</v>
      </c>
      <c r="Y118" s="158">
        <f t="shared" si="52"/>
        <v>31.32217583993</v>
      </c>
      <c r="Z118" s="113">
        <f t="shared" si="52"/>
        <v>28.633679861610002</v>
      </c>
      <c r="AA118" s="208">
        <f t="shared" si="52"/>
        <v>29.15858091112</v>
      </c>
      <c r="AB118" s="134">
        <f t="shared" si="52"/>
        <v>27.7679721489</v>
      </c>
      <c r="AC118" s="134">
        <f t="shared" si="52"/>
        <v>27.211499751239998</v>
      </c>
      <c r="AD118" s="113">
        <f t="shared" si="52"/>
        <v>26.911289758980004</v>
      </c>
      <c r="AE118" s="136">
        <f>+AE33/AE87</f>
        <v>26.310178466977053</v>
      </c>
      <c r="AF118" s="188">
        <f>+AF33*AF87</f>
        <v>27.9732140149</v>
      </c>
      <c r="AG118" s="188">
        <f>+AG33*AG87</f>
        <v>28.577757905060004</v>
      </c>
      <c r="AH118" s="126">
        <f t="shared" si="32"/>
        <v>29.50147584528</v>
      </c>
      <c r="AI118" s="125">
        <f t="shared" si="33"/>
        <v>29.606197104090004</v>
      </c>
      <c r="AJ118" s="125">
        <f t="shared" si="34"/>
        <v>27.51887751252</v>
      </c>
      <c r="AK118" s="125">
        <f t="shared" si="35"/>
        <v>26.36760599832</v>
      </c>
      <c r="AL118" s="126">
        <f t="shared" si="36"/>
        <v>25.357720028129997</v>
      </c>
      <c r="AM118" s="125">
        <f t="shared" si="37"/>
        <v>24.219787294339998</v>
      </c>
      <c r="AN118" s="125">
        <f t="shared" si="38"/>
        <v>24.14572071065</v>
      </c>
      <c r="AO118" s="125">
        <f t="shared" si="39"/>
        <v>22.85965469216</v>
      </c>
      <c r="AP118" s="125">
        <f t="shared" si="40"/>
        <v>24.01105408973</v>
      </c>
      <c r="AQ118" s="125">
        <f t="shared" si="41"/>
        <v>24.21305401174</v>
      </c>
      <c r="AR118" s="125">
        <f t="shared" si="42"/>
        <v>23.283452663349998</v>
      </c>
      <c r="AS118" s="125">
        <f t="shared" si="43"/>
        <v>23.491108880400002</v>
      </c>
      <c r="AT118" s="125">
        <f t="shared" si="44"/>
        <v>24.477475871550002</v>
      </c>
      <c r="AU118" s="125">
        <f t="shared" si="45"/>
        <v>24.1270560223</v>
      </c>
      <c r="AV118" s="125">
        <f t="shared" si="46"/>
        <v>24.46449737253</v>
      </c>
      <c r="AW118" s="257">
        <f t="shared" si="48"/>
        <v>24.06865271776</v>
      </c>
    </row>
    <row r="119" spans="2:49" s="133" customFormat="1" ht="14.25">
      <c r="B119" s="117" t="s">
        <v>46</v>
      </c>
      <c r="C119" s="450">
        <f aca="true" t="shared" si="53" ref="C119:Y119">+C34*C87</f>
        <v>28.71319425276</v>
      </c>
      <c r="D119" s="158">
        <f t="shared" si="53"/>
        <v>29.5756923276</v>
      </c>
      <c r="E119" s="158">
        <f t="shared" si="53"/>
        <v>30.1595981375</v>
      </c>
      <c r="F119" s="126">
        <f t="shared" si="53"/>
        <v>30.56156881128</v>
      </c>
      <c r="G119" s="450">
        <f t="shared" si="53"/>
        <v>30.794703561920002</v>
      </c>
      <c r="H119" s="158">
        <f t="shared" si="53"/>
        <v>30.95295676872</v>
      </c>
      <c r="I119" s="158">
        <f t="shared" si="53"/>
        <v>32.28279354909</v>
      </c>
      <c r="J119" s="126">
        <f t="shared" si="53"/>
        <v>32.69093206428</v>
      </c>
      <c r="K119" s="450">
        <f t="shared" si="53"/>
        <v>33.18734046546</v>
      </c>
      <c r="L119" s="158">
        <f t="shared" si="53"/>
        <v>36.15820477287</v>
      </c>
      <c r="M119" s="158">
        <f t="shared" si="53"/>
        <v>33.25695697415</v>
      </c>
      <c r="N119" s="126">
        <f t="shared" si="53"/>
        <v>35.32485507186</v>
      </c>
      <c r="O119" s="450">
        <f t="shared" si="53"/>
        <v>33.90966656996</v>
      </c>
      <c r="P119" s="158">
        <f t="shared" si="53"/>
        <v>34.23278022483</v>
      </c>
      <c r="Q119" s="158">
        <f t="shared" si="53"/>
        <v>34.12933446165</v>
      </c>
      <c r="R119" s="126">
        <f t="shared" si="53"/>
        <v>32.471815093059995</v>
      </c>
      <c r="S119" s="450">
        <f t="shared" si="53"/>
        <v>30.075927649180002</v>
      </c>
      <c r="T119" s="158">
        <f t="shared" si="53"/>
        <v>26.215367666619997</v>
      </c>
      <c r="U119" s="158">
        <f t="shared" si="53"/>
        <v>28.843583151279997</v>
      </c>
      <c r="V119" s="126">
        <f t="shared" si="53"/>
        <v>27.34230622272</v>
      </c>
      <c r="W119" s="450">
        <f t="shared" si="53"/>
        <v>29.132511602700003</v>
      </c>
      <c r="X119" s="158">
        <f t="shared" si="53"/>
        <v>28.260158382500002</v>
      </c>
      <c r="Y119" s="158">
        <f t="shared" si="53"/>
        <v>26.311429478560004</v>
      </c>
      <c r="Z119" s="113">
        <f>+Z34*$Z$87</f>
        <v>23.89633991973</v>
      </c>
      <c r="AA119" s="156">
        <f>+AA34*$AA$87</f>
        <v>24.334398105160002</v>
      </c>
      <c r="AB119" s="156">
        <f>+AB34*$AB$87</f>
        <v>23.211562822660003</v>
      </c>
      <c r="AC119" s="156">
        <f>+AC34*$AC$87</f>
        <v>22.74640122252</v>
      </c>
      <c r="AD119" s="113">
        <f>+AD34*$AD$87</f>
        <v>22.450365089519998</v>
      </c>
      <c r="AE119" s="136">
        <f>+AE34/$AE$87</f>
        <v>21.94889645874588</v>
      </c>
      <c r="AF119" s="188">
        <f>+AF34*$AF$87</f>
        <v>23.16296207181</v>
      </c>
      <c r="AG119" s="188">
        <f>+AG34*$AG$87</f>
        <v>23.663549033019997</v>
      </c>
      <c r="AH119" s="126">
        <f t="shared" si="32"/>
        <v>23.59106300352</v>
      </c>
      <c r="AI119" s="125">
        <f t="shared" si="33"/>
        <v>23.674804108950003</v>
      </c>
      <c r="AJ119" s="125">
        <f t="shared" si="34"/>
        <v>22.71685694796</v>
      </c>
      <c r="AK119" s="125">
        <f t="shared" si="35"/>
        <v>21.76648134036</v>
      </c>
      <c r="AL119" s="126">
        <f t="shared" si="36"/>
        <v>20.994893281179998</v>
      </c>
      <c r="AM119" s="125">
        <f t="shared" si="37"/>
        <v>20.05274326</v>
      </c>
      <c r="AN119" s="125">
        <f t="shared" si="38"/>
        <v>19.99141988255</v>
      </c>
      <c r="AO119" s="125">
        <f t="shared" si="39"/>
        <v>18.926623103709996</v>
      </c>
      <c r="AP119" s="125">
        <f t="shared" si="40"/>
        <v>19.8799228255</v>
      </c>
      <c r="AQ119" s="125">
        <f t="shared" si="41"/>
        <v>20.047168395619998</v>
      </c>
      <c r="AR119" s="125">
        <f t="shared" si="42"/>
        <v>19.33878959144</v>
      </c>
      <c r="AS119" s="125">
        <f t="shared" si="43"/>
        <v>19.5112648668</v>
      </c>
      <c r="AT119" s="125">
        <f t="shared" si="44"/>
        <v>20.33052238074</v>
      </c>
      <c r="AU119" s="125">
        <f t="shared" si="45"/>
        <v>20.03947038291</v>
      </c>
      <c r="AV119" s="125">
        <f t="shared" si="46"/>
        <v>20.31974269211</v>
      </c>
      <c r="AW119" s="257">
        <f t="shared" si="48"/>
        <v>19.99096168464</v>
      </c>
    </row>
    <row r="120" spans="2:49" s="133" customFormat="1" ht="14.25">
      <c r="B120" s="117" t="s">
        <v>47</v>
      </c>
      <c r="C120" s="450">
        <f aca="true" t="shared" si="54" ref="C120:Y120">+C35*C87</f>
        <v>33.73697622452</v>
      </c>
      <c r="D120" s="158">
        <f t="shared" si="54"/>
        <v>33.918971713</v>
      </c>
      <c r="E120" s="158">
        <f t="shared" si="54"/>
        <v>33.3113289925</v>
      </c>
      <c r="F120" s="126">
        <f t="shared" si="54"/>
        <v>33.337943485560004</v>
      </c>
      <c r="G120" s="450">
        <f t="shared" si="54"/>
        <v>33.3072384624</v>
      </c>
      <c r="H120" s="158">
        <f t="shared" si="54"/>
        <v>32.643337875600004</v>
      </c>
      <c r="I120" s="158">
        <f t="shared" si="54"/>
        <v>33.271663403160005</v>
      </c>
      <c r="J120" s="126">
        <f t="shared" si="54"/>
        <v>31.91118591096</v>
      </c>
      <c r="K120" s="450">
        <f t="shared" si="54"/>
        <v>31.011672610519998</v>
      </c>
      <c r="L120" s="158">
        <f t="shared" si="54"/>
        <v>32.97220818861</v>
      </c>
      <c r="M120" s="158">
        <f t="shared" si="54"/>
        <v>28.98152550397</v>
      </c>
      <c r="N120" s="126">
        <f t="shared" si="54"/>
        <v>29.88960890468</v>
      </c>
      <c r="O120" s="450">
        <f t="shared" si="54"/>
        <v>28.04725178831</v>
      </c>
      <c r="P120" s="158">
        <f t="shared" si="54"/>
        <v>27.927133877760003</v>
      </c>
      <c r="Q120" s="158">
        <f t="shared" si="54"/>
        <v>27.242250142699998</v>
      </c>
      <c r="R120" s="126">
        <f t="shared" si="54"/>
        <v>26.36399404471</v>
      </c>
      <c r="S120" s="450">
        <f t="shared" si="54"/>
        <v>23.872768055919998</v>
      </c>
      <c r="T120" s="158">
        <f t="shared" si="54"/>
        <v>21.17549030487</v>
      </c>
      <c r="U120" s="158">
        <f t="shared" si="54"/>
        <v>18.855264073599997</v>
      </c>
      <c r="V120" s="126">
        <f t="shared" si="54"/>
        <v>18.480609933380002</v>
      </c>
      <c r="W120" s="450">
        <f t="shared" si="54"/>
        <v>19.6906064322</v>
      </c>
      <c r="X120" s="158">
        <f t="shared" si="54"/>
        <v>14.181054552500001</v>
      </c>
      <c r="Y120" s="158">
        <f t="shared" si="54"/>
        <v>17.42725076086</v>
      </c>
      <c r="Z120" s="113">
        <f>+Z35*$Z$87</f>
        <v>18.96120720306</v>
      </c>
      <c r="AA120" s="156">
        <f>+AA35*$AA$87</f>
        <v>18.802677920640004</v>
      </c>
      <c r="AB120" s="156">
        <f>+AB35*$AB$87</f>
        <v>18.133953760909996</v>
      </c>
      <c r="AC120" s="156">
        <f>+AC35*$AC$87</f>
        <v>17.2837859151</v>
      </c>
      <c r="AD120" s="113">
        <f>+AD35*$AD$87</f>
        <v>17.312822312639998</v>
      </c>
      <c r="AE120" s="136">
        <f>+AE35/$AE$87</f>
        <v>16.44062767050441</v>
      </c>
      <c r="AF120" s="188">
        <f>+AF35*$AF$87</f>
        <v>17.70627577928</v>
      </c>
      <c r="AG120" s="188">
        <f>+AG35*$AG$87</f>
        <v>17.544438935139997</v>
      </c>
      <c r="AH120" s="126">
        <f t="shared" si="32"/>
        <v>17.71066343232</v>
      </c>
      <c r="AI120" s="125">
        <f t="shared" si="33"/>
        <v>17.21069021889</v>
      </c>
      <c r="AJ120" s="125">
        <f t="shared" si="34"/>
        <v>16.78910926968</v>
      </c>
      <c r="AK120" s="125">
        <f t="shared" si="35"/>
        <v>15.549338865480003</v>
      </c>
      <c r="AL120" s="126">
        <f t="shared" si="36"/>
        <v>15.151423089879996</v>
      </c>
      <c r="AM120" s="125">
        <f t="shared" si="37"/>
        <v>14.471499940039998</v>
      </c>
      <c r="AN120" s="125">
        <f t="shared" si="38"/>
        <v>14.427244574200003</v>
      </c>
      <c r="AO120" s="125">
        <f t="shared" si="39"/>
        <v>13.176030535079999</v>
      </c>
      <c r="AP120" s="125">
        <f t="shared" si="40"/>
        <v>13.839683325969997</v>
      </c>
      <c r="AQ120" s="125">
        <f t="shared" si="41"/>
        <v>13.956113588279997</v>
      </c>
      <c r="AR120" s="125">
        <f t="shared" si="42"/>
        <v>13.59691968789</v>
      </c>
      <c r="AS120" s="125">
        <f t="shared" si="43"/>
        <v>13.718185430880002</v>
      </c>
      <c r="AT120" s="125">
        <f t="shared" si="44"/>
        <v>14.294197668660003</v>
      </c>
      <c r="AU120" s="125">
        <f t="shared" si="45"/>
        <v>13.56084981977</v>
      </c>
      <c r="AV120" s="125">
        <f t="shared" si="46"/>
        <v>13.750512063370001</v>
      </c>
      <c r="AW120" s="257">
        <f t="shared" si="48"/>
        <v>13.52802364976</v>
      </c>
    </row>
    <row r="121" spans="2:49" s="133" customFormat="1" ht="14.25">
      <c r="B121" s="117" t="s">
        <v>128</v>
      </c>
      <c r="C121" s="428">
        <f aca="true" t="shared" si="55" ref="C121:AD121">+C36*C87</f>
        <v>0</v>
      </c>
      <c r="D121" s="204">
        <f t="shared" si="55"/>
        <v>0</v>
      </c>
      <c r="E121" s="96">
        <f t="shared" si="55"/>
        <v>0.180816805</v>
      </c>
      <c r="F121" s="107">
        <f t="shared" si="55"/>
        <v>0.9495352473700001</v>
      </c>
      <c r="G121" s="450">
        <f t="shared" si="55"/>
        <v>1.09876897984</v>
      </c>
      <c r="H121" s="158">
        <f t="shared" si="55"/>
        <v>1.4981475070299999</v>
      </c>
      <c r="I121" s="158">
        <f t="shared" si="55"/>
        <v>1.6711693059600004</v>
      </c>
      <c r="J121" s="126">
        <f t="shared" si="55"/>
        <v>2.6940635996399998</v>
      </c>
      <c r="K121" s="450">
        <f t="shared" si="55"/>
        <v>3.37720055772</v>
      </c>
      <c r="L121" s="158">
        <f t="shared" si="55"/>
        <v>5.69432312904</v>
      </c>
      <c r="M121" s="158">
        <f t="shared" si="55"/>
        <v>6.31714267652</v>
      </c>
      <c r="N121" s="126">
        <f t="shared" si="55"/>
        <v>7.43752632466</v>
      </c>
      <c r="O121" s="450">
        <f t="shared" si="55"/>
        <v>9.21180788446</v>
      </c>
      <c r="P121" s="158">
        <f t="shared" si="55"/>
        <v>10.31875372724</v>
      </c>
      <c r="Q121" s="158">
        <f t="shared" si="55"/>
        <v>11.012412577849998</v>
      </c>
      <c r="R121" s="126">
        <f t="shared" si="55"/>
        <v>11.75419920801</v>
      </c>
      <c r="S121" s="450">
        <f t="shared" si="55"/>
        <v>11.2226133691</v>
      </c>
      <c r="T121" s="158">
        <f t="shared" si="55"/>
        <v>10.10323137538</v>
      </c>
      <c r="U121" s="158">
        <f t="shared" si="55"/>
        <v>11.5588784896</v>
      </c>
      <c r="V121" s="126">
        <f t="shared" si="55"/>
        <v>11.384622336060001</v>
      </c>
      <c r="W121" s="450">
        <f t="shared" si="55"/>
        <v>12.316184154450003</v>
      </c>
      <c r="X121" s="158">
        <f t="shared" si="55"/>
        <v>12.367198195000002</v>
      </c>
      <c r="Y121" s="158">
        <f t="shared" si="55"/>
        <v>11.87590696802</v>
      </c>
      <c r="Z121" s="113">
        <f t="shared" si="55"/>
        <v>11.178635017289999</v>
      </c>
      <c r="AA121" s="156">
        <f t="shared" si="55"/>
        <v>11.383557014040003</v>
      </c>
      <c r="AB121" s="156">
        <f t="shared" si="55"/>
        <v>11.172102840310002</v>
      </c>
      <c r="AC121" s="156">
        <f t="shared" si="55"/>
        <v>10.948213016459999</v>
      </c>
      <c r="AD121" s="113">
        <f t="shared" si="55"/>
        <v>12.868404271330002</v>
      </c>
      <c r="AE121" s="136">
        <f>+AE36/AE87</f>
        <v>12.580965680883372</v>
      </c>
      <c r="AF121" s="188">
        <f>+AF36*AF87</f>
        <v>14.3694318955</v>
      </c>
      <c r="AG121" s="188">
        <f>+AG36*AG87</f>
        <v>14.9876513774</v>
      </c>
      <c r="AH121" s="126">
        <f>+AH36*AH87</f>
        <v>16.129304548319997</v>
      </c>
      <c r="AI121" s="125">
        <f>+AI36*AI87</f>
        <v>16.48072937771</v>
      </c>
      <c r="AJ121" s="125">
        <f>+AJ36*AJ87</f>
        <v>16.422434755799998</v>
      </c>
      <c r="AK121" s="125">
        <f t="shared" si="35"/>
        <v>15.73539071124</v>
      </c>
      <c r="AL121" s="126">
        <f t="shared" si="36"/>
        <v>15.68125992524</v>
      </c>
      <c r="AM121" s="125">
        <f t="shared" si="37"/>
        <v>14.977560286919998</v>
      </c>
      <c r="AN121" s="125">
        <f t="shared" si="38"/>
        <v>14.960768071250001</v>
      </c>
      <c r="AO121" s="125">
        <f t="shared" si="39"/>
        <v>14.163917355499999</v>
      </c>
      <c r="AP121" s="125">
        <f t="shared" si="40"/>
        <v>14.877328212699998</v>
      </c>
      <c r="AQ121" s="125">
        <f t="shared" si="41"/>
        <v>15.002488024160002</v>
      </c>
      <c r="AR121" s="125">
        <f t="shared" si="42"/>
        <v>14.24433604</v>
      </c>
      <c r="AS121" s="125">
        <f t="shared" si="43"/>
        <v>14.371375850160002</v>
      </c>
      <c r="AT121" s="125">
        <f t="shared" si="44"/>
        <v>15.433448035979998</v>
      </c>
      <c r="AU121" s="125">
        <f t="shared" si="45"/>
        <v>15.212502630600001</v>
      </c>
      <c r="AV121" s="125">
        <f t="shared" si="46"/>
        <v>15.42526489224</v>
      </c>
      <c r="AW121" s="257">
        <f t="shared" si="48"/>
        <v>15.175678356639997</v>
      </c>
    </row>
    <row r="122" spans="2:49" s="133" customFormat="1" ht="14.25">
      <c r="B122" s="117" t="s">
        <v>48</v>
      </c>
      <c r="C122" s="450">
        <f aca="true" t="shared" si="56" ref="C122:Y122">+C37*C87</f>
        <v>1.3923151154</v>
      </c>
      <c r="D122" s="158">
        <f t="shared" si="56"/>
        <v>1.4289972998</v>
      </c>
      <c r="E122" s="158">
        <f t="shared" si="56"/>
        <v>8.902964135</v>
      </c>
      <c r="F122" s="126">
        <f t="shared" si="56"/>
        <v>13.45103801057</v>
      </c>
      <c r="G122" s="450">
        <f t="shared" si="56"/>
        <v>13.90603619712</v>
      </c>
      <c r="H122" s="158">
        <f t="shared" si="56"/>
        <v>15.500499816329999</v>
      </c>
      <c r="I122" s="158">
        <f t="shared" si="56"/>
        <v>16.31453241978</v>
      </c>
      <c r="J122" s="126">
        <f t="shared" si="56"/>
        <v>16.29662919786</v>
      </c>
      <c r="K122" s="450">
        <f t="shared" si="56"/>
        <v>16.836452673980002</v>
      </c>
      <c r="L122" s="158">
        <f t="shared" si="56"/>
        <v>18.132705677100002</v>
      </c>
      <c r="M122" s="158">
        <f t="shared" si="56"/>
        <v>16.51000479778</v>
      </c>
      <c r="N122" s="126">
        <f t="shared" si="56"/>
        <v>17.26610654296</v>
      </c>
      <c r="O122" s="450">
        <f t="shared" si="56"/>
        <v>18.55395492564</v>
      </c>
      <c r="P122" s="158">
        <f t="shared" si="56"/>
        <v>18.730749219270002</v>
      </c>
      <c r="Q122" s="158">
        <f t="shared" si="56"/>
        <v>18.674148015999997</v>
      </c>
      <c r="R122" s="126">
        <f t="shared" si="56"/>
        <v>18.48111165894</v>
      </c>
      <c r="S122" s="450">
        <f t="shared" si="56"/>
        <v>17.11750869682</v>
      </c>
      <c r="T122" s="158">
        <f t="shared" si="56"/>
        <v>15.41014961662</v>
      </c>
      <c r="U122" s="158">
        <f t="shared" si="56"/>
        <v>17.06200552256</v>
      </c>
      <c r="V122" s="126">
        <f t="shared" si="56"/>
        <v>16.722983520880003</v>
      </c>
      <c r="W122" s="450">
        <f t="shared" si="56"/>
        <v>18.0093796971</v>
      </c>
      <c r="X122" s="158">
        <f t="shared" si="56"/>
        <v>14.919279759999998</v>
      </c>
      <c r="Y122" s="158">
        <f t="shared" si="56"/>
        <v>13.890494019180002</v>
      </c>
      <c r="Z122" s="113">
        <f>+Z37*$Z$87</f>
        <v>13.074939948089998</v>
      </c>
      <c r="AA122" s="156">
        <f>+AA37*$AA$87</f>
        <v>13.314624438560001</v>
      </c>
      <c r="AB122" s="156">
        <f>+AB37*$AB$87</f>
        <v>15.839150782619997</v>
      </c>
      <c r="AC122" s="156">
        <f>+AC37*$AC$87</f>
        <v>15.52173291792</v>
      </c>
      <c r="AD122" s="113">
        <f>+AD37*$AD$87</f>
        <v>15.440020228849999</v>
      </c>
      <c r="AE122" s="136">
        <f>+AE37/$AE$87</f>
        <v>15.095140059844045</v>
      </c>
      <c r="AF122" s="188">
        <f>+AF37*$AF$87</f>
        <v>16.148410655299998</v>
      </c>
      <c r="AG122" s="188">
        <f>+AG37*$AG$87</f>
        <v>16.497402466220002</v>
      </c>
      <c r="AH122" s="126">
        <f aca="true" t="shared" si="57" ref="AH122:AH133">+AH37*$AH$87</f>
        <v>16.54721263068</v>
      </c>
      <c r="AI122" s="125">
        <f aca="true" t="shared" si="58" ref="AI122:AI133">+AI37*$AI$87</f>
        <v>16.60595021567</v>
      </c>
      <c r="AJ122" s="125">
        <f aca="true" t="shared" si="59" ref="AJ122:AJ133">+AJ37*$AJ$87</f>
        <v>16.1015406318</v>
      </c>
      <c r="AK122" s="125">
        <f t="shared" si="35"/>
        <v>15.42792142668</v>
      </c>
      <c r="AL122" s="126">
        <f t="shared" si="36"/>
        <v>14.949290380709996</v>
      </c>
      <c r="AM122" s="125">
        <f t="shared" si="37"/>
        <v>14.27843800284</v>
      </c>
      <c r="AN122" s="125">
        <f t="shared" si="38"/>
        <v>14.23477305465</v>
      </c>
      <c r="AO122" s="125">
        <f t="shared" si="39"/>
        <v>13.47659079256</v>
      </c>
      <c r="AP122" s="125">
        <f t="shared" si="40"/>
        <v>14.155382244050001</v>
      </c>
      <c r="AQ122" s="125">
        <f t="shared" si="41"/>
        <v>14.27446847344</v>
      </c>
      <c r="AR122" s="125">
        <f t="shared" si="42"/>
        <v>13.837268141839997</v>
      </c>
      <c r="AS122" s="125">
        <f t="shared" si="43"/>
        <v>13.960677457440001</v>
      </c>
      <c r="AT122" s="125">
        <f t="shared" si="44"/>
        <v>14.54687164125</v>
      </c>
      <c r="AU122" s="125">
        <f t="shared" si="45"/>
        <v>14.338618442829999</v>
      </c>
      <c r="AV122" s="125">
        <f t="shared" si="46"/>
        <v>14.53915855489</v>
      </c>
      <c r="AW122" s="257">
        <f t="shared" si="48"/>
        <v>14.30390957504</v>
      </c>
    </row>
    <row r="123" spans="2:49" s="133" customFormat="1" ht="14.25">
      <c r="B123" s="117" t="s">
        <v>49</v>
      </c>
      <c r="C123" s="450">
        <f aca="true" t="shared" si="60" ref="C123:Y123">+C38*C87</f>
        <v>12.1724333406</v>
      </c>
      <c r="D123" s="158">
        <f t="shared" si="60"/>
        <v>12.633359498999999</v>
      </c>
      <c r="E123" s="158">
        <f t="shared" si="60"/>
        <v>12.85100167</v>
      </c>
      <c r="F123" s="126">
        <f t="shared" si="60"/>
        <v>13.13602263861</v>
      </c>
      <c r="G123" s="450">
        <f t="shared" si="60"/>
        <v>13.42901485728</v>
      </c>
      <c r="H123" s="158">
        <f t="shared" si="60"/>
        <v>13.449817669949999</v>
      </c>
      <c r="I123" s="158">
        <f t="shared" si="60"/>
        <v>13.83102613305</v>
      </c>
      <c r="J123" s="126">
        <f t="shared" si="60"/>
        <v>13.81584824208</v>
      </c>
      <c r="K123" s="450">
        <f t="shared" si="60"/>
        <v>13.69335495952</v>
      </c>
      <c r="L123" s="158">
        <f t="shared" si="60"/>
        <v>14.74761817092</v>
      </c>
      <c r="M123" s="158">
        <f t="shared" si="60"/>
        <v>13.22912136039</v>
      </c>
      <c r="N123" s="126">
        <f t="shared" si="60"/>
        <v>13.826402325739998</v>
      </c>
      <c r="O123" s="450">
        <f t="shared" si="60"/>
        <v>13.250149977729999</v>
      </c>
      <c r="P123" s="158">
        <f t="shared" si="60"/>
        <v>13.37640613113</v>
      </c>
      <c r="Q123" s="158">
        <f t="shared" si="60"/>
        <v>13.715185014849999</v>
      </c>
      <c r="R123" s="126">
        <f t="shared" si="60"/>
        <v>14.53520429025</v>
      </c>
      <c r="S123" s="450">
        <f t="shared" si="60"/>
        <v>13.99267456202</v>
      </c>
      <c r="T123" s="158">
        <f t="shared" si="60"/>
        <v>12.596997167260001</v>
      </c>
      <c r="U123" s="158">
        <f t="shared" si="60"/>
        <v>13.85990614084</v>
      </c>
      <c r="V123" s="126">
        <f t="shared" si="60"/>
        <v>13.829885150780001</v>
      </c>
      <c r="W123" s="450">
        <f t="shared" si="60"/>
        <v>14.735380639650002</v>
      </c>
      <c r="X123" s="158">
        <f t="shared" si="60"/>
        <v>10.942676387499999</v>
      </c>
      <c r="Y123" s="158">
        <f t="shared" si="60"/>
        <v>11.164372111050001</v>
      </c>
      <c r="Z123" s="113">
        <f>+Z38*$Z$87</f>
        <v>10.51783290657</v>
      </c>
      <c r="AA123" s="156">
        <f>+AA38*$AA$87</f>
        <v>10.7106415778</v>
      </c>
      <c r="AB123" s="156">
        <f>+AB38*$AB$87</f>
        <v>12.956786886849999</v>
      </c>
      <c r="AC123" s="156">
        <f>+AC38*$AC$87</f>
        <v>12.69713185062</v>
      </c>
      <c r="AD123" s="113">
        <f>+AD38*$AD$87</f>
        <v>12.603877535519999</v>
      </c>
      <c r="AE123" s="136">
        <f>+AE38/$AE$87</f>
        <v>12.322347622983303</v>
      </c>
      <c r="AF123" s="188">
        <f>+AF38*$AF$87</f>
        <v>13.153073154320001</v>
      </c>
      <c r="AG123" s="188">
        <f>+AG38*$AG$87</f>
        <v>13.43733113372</v>
      </c>
      <c r="AH123" s="126">
        <f t="shared" si="57"/>
        <v>13.446507290759998</v>
      </c>
      <c r="AI123" s="125">
        <f t="shared" si="58"/>
        <v>13.494238302580001</v>
      </c>
      <c r="AJ123" s="125">
        <f t="shared" si="59"/>
        <v>13.0521072774</v>
      </c>
      <c r="AK123" s="125">
        <f t="shared" si="35"/>
        <v>12.506063232959999</v>
      </c>
      <c r="AL123" s="126">
        <f t="shared" si="36"/>
        <v>12.08644157406</v>
      </c>
      <c r="AM123" s="125">
        <f t="shared" si="37"/>
        <v>11.54406011858</v>
      </c>
      <c r="AN123" s="125">
        <f t="shared" si="38"/>
        <v>11.5087571905</v>
      </c>
      <c r="AO123" s="125">
        <f t="shared" si="39"/>
        <v>10.89576982658</v>
      </c>
      <c r="AP123" s="125">
        <f t="shared" si="40"/>
        <v>11.44457002762</v>
      </c>
      <c r="AQ123" s="125">
        <f t="shared" si="41"/>
        <v>11.54085074536</v>
      </c>
      <c r="AR123" s="125">
        <f t="shared" si="42"/>
        <v>11.15637589231</v>
      </c>
      <c r="AS123" s="125">
        <f t="shared" si="43"/>
        <v>11.25587535408</v>
      </c>
      <c r="AT123" s="125">
        <f t="shared" si="44"/>
        <v>11.72849773446</v>
      </c>
      <c r="AU123" s="125">
        <f t="shared" si="45"/>
        <v>11.56059239775</v>
      </c>
      <c r="AV123" s="125">
        <f t="shared" si="46"/>
        <v>11.722279034549999</v>
      </c>
      <c r="AW123" s="257">
        <f t="shared" si="48"/>
        <v>11.53260819568</v>
      </c>
    </row>
    <row r="124" spans="2:49" s="133" customFormat="1" ht="14.25">
      <c r="B124" s="117" t="s">
        <v>50</v>
      </c>
      <c r="C124" s="450">
        <f aca="true" t="shared" si="61" ref="C124:Y124">+C39*C87</f>
        <v>12.64514172058</v>
      </c>
      <c r="D124" s="158">
        <f t="shared" si="61"/>
        <v>12.9782929596</v>
      </c>
      <c r="E124" s="158">
        <f t="shared" si="61"/>
        <v>12.974336407500001</v>
      </c>
      <c r="F124" s="126">
        <f t="shared" si="61"/>
        <v>13.262092784939998</v>
      </c>
      <c r="G124" s="450">
        <f t="shared" si="61"/>
        <v>13.68195914048</v>
      </c>
      <c r="H124" s="158">
        <f t="shared" si="61"/>
        <v>13.70315377288</v>
      </c>
      <c r="I124" s="158">
        <f t="shared" si="61"/>
        <v>14.0915425392</v>
      </c>
      <c r="J124" s="126">
        <f t="shared" si="61"/>
        <v>14.076078771059999</v>
      </c>
      <c r="K124" s="450">
        <f t="shared" si="61"/>
        <v>13.951278254380002</v>
      </c>
      <c r="L124" s="158">
        <f t="shared" si="61"/>
        <v>15.03521915334</v>
      </c>
      <c r="M124" s="158">
        <f t="shared" si="61"/>
        <v>14.166357886070001</v>
      </c>
      <c r="N124" s="126">
        <f t="shared" si="61"/>
        <v>14.805954099520001</v>
      </c>
      <c r="O124" s="450">
        <f t="shared" si="61"/>
        <v>14.5467851287</v>
      </c>
      <c r="P124" s="158">
        <f t="shared" si="61"/>
        <v>14.685396498120001</v>
      </c>
      <c r="Q124" s="158">
        <f t="shared" si="61"/>
        <v>14.641019683399998</v>
      </c>
      <c r="R124" s="126">
        <f t="shared" si="61"/>
        <v>13.84288920602</v>
      </c>
      <c r="S124" s="450">
        <f t="shared" si="61"/>
        <v>12.82151100216</v>
      </c>
      <c r="T124" s="158">
        <f t="shared" si="61"/>
        <v>11.10082005395</v>
      </c>
      <c r="U124" s="158">
        <f t="shared" si="61"/>
        <v>12.21373014684</v>
      </c>
      <c r="V124" s="126">
        <f t="shared" si="61"/>
        <v>11.49457774779</v>
      </c>
      <c r="W124" s="450">
        <f t="shared" si="61"/>
        <v>12.24717172965</v>
      </c>
      <c r="X124" s="158">
        <f t="shared" si="61"/>
        <v>11.966891777499999</v>
      </c>
      <c r="Y124" s="158">
        <f t="shared" si="61"/>
        <v>11.141693712880002</v>
      </c>
      <c r="Z124" s="113">
        <f>+Z39*$Z$87</f>
        <v>10.19744122731</v>
      </c>
      <c r="AA124" s="156">
        <f>+AA39*$AA$87</f>
        <v>10.38437660684</v>
      </c>
      <c r="AB124" s="156">
        <f>+AB39*$AB$87</f>
        <v>9.901563430009999</v>
      </c>
      <c r="AC124" s="156">
        <f>+AC39*$AC$87</f>
        <v>9.703135311839999</v>
      </c>
      <c r="AD124" s="113">
        <f>+AD39*$AD$87</f>
        <v>9.608892745590001</v>
      </c>
      <c r="AE124" s="136">
        <f>+AE39/$AE$87</f>
        <v>9.394261114982518</v>
      </c>
      <c r="AF124" s="172">
        <f>+AF39*$AF$87</f>
        <v>10.00224076038</v>
      </c>
      <c r="AG124" s="188">
        <f>+AG39*$AG$87</f>
        <v>10.21840442974</v>
      </c>
      <c r="AH124" s="126">
        <f t="shared" si="57"/>
        <v>10.19795151192</v>
      </c>
      <c r="AI124" s="125">
        <f t="shared" si="58"/>
        <v>10.234151133070002</v>
      </c>
      <c r="AJ124" s="125">
        <f t="shared" si="59"/>
        <v>9.870599494679999</v>
      </c>
      <c r="AK124" s="125">
        <f t="shared" si="35"/>
        <v>9.45765606456</v>
      </c>
      <c r="AL124" s="126">
        <f t="shared" si="36"/>
        <v>9.11254313788</v>
      </c>
      <c r="AM124" s="125">
        <f t="shared" si="37"/>
        <v>8.70361593244</v>
      </c>
      <c r="AN124" s="125">
        <f t="shared" si="38"/>
        <v>8.676999382400002</v>
      </c>
      <c r="AO124" s="125">
        <f t="shared" si="39"/>
        <v>8.214839047909999</v>
      </c>
      <c r="AP124" s="125">
        <f t="shared" si="40"/>
        <v>8.62860561933</v>
      </c>
      <c r="AQ124" s="125">
        <f t="shared" si="41"/>
        <v>8.70119625126</v>
      </c>
      <c r="AR124" s="125">
        <f t="shared" si="42"/>
        <v>8.38403474854</v>
      </c>
      <c r="AS124" s="125">
        <f t="shared" si="43"/>
        <v>8.45880874608</v>
      </c>
      <c r="AT124" s="125">
        <f t="shared" si="44"/>
        <v>8.813985251370001</v>
      </c>
      <c r="AU124" s="125">
        <f t="shared" si="45"/>
        <v>8.68780412566</v>
      </c>
      <c r="AV124" s="125">
        <f t="shared" si="46"/>
        <v>8.8093118594</v>
      </c>
      <c r="AW124" s="257">
        <f t="shared" si="48"/>
        <v>8.66677392112</v>
      </c>
    </row>
    <row r="125" spans="2:49" s="133" customFormat="1" ht="14.25">
      <c r="B125" s="117" t="s">
        <v>54</v>
      </c>
      <c r="C125" s="428">
        <f aca="true" t="shared" si="62" ref="C125:AD125">+C40*C87</f>
        <v>0</v>
      </c>
      <c r="D125" s="204">
        <f t="shared" si="62"/>
        <v>0</v>
      </c>
      <c r="E125" s="204">
        <f t="shared" si="62"/>
        <v>0</v>
      </c>
      <c r="F125" s="217">
        <f t="shared" si="62"/>
        <v>0</v>
      </c>
      <c r="G125" s="428">
        <f t="shared" si="62"/>
        <v>0</v>
      </c>
      <c r="H125" s="204">
        <f t="shared" si="62"/>
        <v>0</v>
      </c>
      <c r="I125" s="204">
        <f t="shared" si="62"/>
        <v>0</v>
      </c>
      <c r="J125" s="217">
        <f t="shared" si="62"/>
        <v>0</v>
      </c>
      <c r="K125" s="428">
        <f t="shared" si="62"/>
        <v>0</v>
      </c>
      <c r="L125" s="204">
        <f t="shared" si="62"/>
        <v>0</v>
      </c>
      <c r="M125" s="204">
        <f t="shared" si="62"/>
        <v>0</v>
      </c>
      <c r="N125" s="217">
        <f t="shared" si="62"/>
        <v>0</v>
      </c>
      <c r="O125" s="428">
        <f t="shared" si="62"/>
        <v>0</v>
      </c>
      <c r="P125" s="204">
        <f t="shared" si="62"/>
        <v>0</v>
      </c>
      <c r="Q125" s="204">
        <f t="shared" si="62"/>
        <v>0</v>
      </c>
      <c r="R125" s="217">
        <f t="shared" si="62"/>
        <v>0</v>
      </c>
      <c r="S125" s="450">
        <f t="shared" si="62"/>
        <v>0.9531394161800001</v>
      </c>
      <c r="T125" s="96">
        <f t="shared" si="62"/>
        <v>0.8580700374400001</v>
      </c>
      <c r="U125" s="96">
        <f t="shared" si="62"/>
        <v>0.94409564464</v>
      </c>
      <c r="V125" s="107">
        <f t="shared" si="62"/>
        <v>0.9253364541400001</v>
      </c>
      <c r="W125" s="450">
        <f t="shared" si="62"/>
        <v>0.9859217643000001</v>
      </c>
      <c r="X125" s="158">
        <f t="shared" si="62"/>
        <v>0.9900055</v>
      </c>
      <c r="Y125" s="158">
        <f t="shared" si="62"/>
        <v>0.9217379347400001</v>
      </c>
      <c r="Z125" s="113">
        <f t="shared" si="62"/>
        <v>0.39404154405</v>
      </c>
      <c r="AA125" s="208">
        <f t="shared" si="62"/>
        <v>0.57324837428</v>
      </c>
      <c r="AB125" s="134">
        <f t="shared" si="62"/>
        <v>0.5626000485399999</v>
      </c>
      <c r="AC125" s="134">
        <f t="shared" si="62"/>
        <v>0.55132550298</v>
      </c>
      <c r="AD125" s="113">
        <f t="shared" si="62"/>
        <v>1.78463898808</v>
      </c>
      <c r="AE125" s="136">
        <f>+AE40/AE87</f>
        <v>1.744775902650468</v>
      </c>
      <c r="AF125" s="209">
        <f>+AF40*AF87</f>
        <v>4.72647162053</v>
      </c>
      <c r="AG125" s="209">
        <f>+AG40*AG87</f>
        <v>4.82861788786</v>
      </c>
      <c r="AH125" s="126">
        <f t="shared" si="57"/>
        <v>5.95964036412</v>
      </c>
      <c r="AI125" s="125">
        <f t="shared" si="58"/>
        <v>5.980795271400001</v>
      </c>
      <c r="AJ125" s="125">
        <f t="shared" si="59"/>
        <v>5.95964036412</v>
      </c>
      <c r="AK125" s="125">
        <f t="shared" si="35"/>
        <v>5.7103146452399995</v>
      </c>
      <c r="AL125" s="126">
        <f t="shared" si="36"/>
        <v>5.69067077768</v>
      </c>
      <c r="AM125" s="125">
        <f t="shared" si="37"/>
        <v>5.435300789819999</v>
      </c>
      <c r="AN125" s="125">
        <f t="shared" si="38"/>
        <v>5.4186790798</v>
      </c>
      <c r="AO125" s="125">
        <f t="shared" si="39"/>
        <v>5.130065663239999</v>
      </c>
      <c r="AP125" s="125">
        <f t="shared" si="40"/>
        <v>5.38845778228</v>
      </c>
      <c r="AQ125" s="125">
        <f t="shared" si="41"/>
        <v>5.43378974134</v>
      </c>
      <c r="AR125" s="125">
        <f t="shared" si="42"/>
        <v>5.4217012102</v>
      </c>
      <c r="AS125" s="125">
        <f t="shared" si="43"/>
        <v>5.4700552922400005</v>
      </c>
      <c r="AT125" s="125">
        <f t="shared" si="44"/>
        <v>5.6997371792400005</v>
      </c>
      <c r="AU125" s="125">
        <f t="shared" si="45"/>
        <v>5.61813967209</v>
      </c>
      <c r="AV125" s="125">
        <f t="shared" si="46"/>
        <v>5.69671505029</v>
      </c>
      <c r="AW125" s="257">
        <f t="shared" si="48"/>
        <v>5.60454007008</v>
      </c>
    </row>
    <row r="126" spans="2:49" s="133" customFormat="1" ht="14.25">
      <c r="B126" s="117" t="s">
        <v>52</v>
      </c>
      <c r="C126" s="428">
        <f aca="true" t="shared" si="63" ref="C126:Y126">+C41*C87</f>
        <v>0</v>
      </c>
      <c r="D126" s="204">
        <f t="shared" si="63"/>
        <v>0</v>
      </c>
      <c r="E126" s="204">
        <f t="shared" si="63"/>
        <v>0</v>
      </c>
      <c r="F126" s="217">
        <f t="shared" si="63"/>
        <v>0</v>
      </c>
      <c r="G126" s="428">
        <f t="shared" si="63"/>
        <v>0</v>
      </c>
      <c r="H126" s="204">
        <f t="shared" si="63"/>
        <v>0</v>
      </c>
      <c r="I126" s="204">
        <f t="shared" si="63"/>
        <v>0</v>
      </c>
      <c r="J126" s="217">
        <f t="shared" si="63"/>
        <v>0</v>
      </c>
      <c r="K126" s="428">
        <f t="shared" si="63"/>
        <v>0</v>
      </c>
      <c r="L126" s="204">
        <f t="shared" si="63"/>
        <v>0</v>
      </c>
      <c r="M126" s="204">
        <f t="shared" si="63"/>
        <v>0</v>
      </c>
      <c r="N126" s="217">
        <f t="shared" si="63"/>
        <v>0</v>
      </c>
      <c r="O126" s="428">
        <f t="shared" si="63"/>
        <v>0</v>
      </c>
      <c r="P126" s="204">
        <f t="shared" si="63"/>
        <v>0</v>
      </c>
      <c r="Q126" s="204">
        <f t="shared" si="63"/>
        <v>0</v>
      </c>
      <c r="R126" s="217">
        <f t="shared" si="63"/>
        <v>0</v>
      </c>
      <c r="S126" s="146">
        <f t="shared" si="63"/>
        <v>0</v>
      </c>
      <c r="T126" s="96">
        <f t="shared" si="63"/>
        <v>0.90585021043</v>
      </c>
      <c r="U126" s="96">
        <f t="shared" si="63"/>
        <v>2.0633203177999997</v>
      </c>
      <c r="V126" s="107">
        <f t="shared" si="63"/>
        <v>2.1299596434000003</v>
      </c>
      <c r="W126" s="450">
        <f t="shared" si="63"/>
        <v>2.06040178245</v>
      </c>
      <c r="X126" s="158">
        <f t="shared" si="63"/>
        <v>2.08756482</v>
      </c>
      <c r="Y126" s="158">
        <f t="shared" si="63"/>
        <v>2.16968967611</v>
      </c>
      <c r="Z126" s="113">
        <f aca="true" t="shared" si="64" ref="Z126:Z133">+Z41*$Z$87</f>
        <v>2.16393136932</v>
      </c>
      <c r="AA126" s="156">
        <f aca="true" t="shared" si="65" ref="AA126:AA133">+AA41*$AA$87</f>
        <v>1.9799940355999999</v>
      </c>
      <c r="AB126" s="156">
        <f aca="true" t="shared" si="66" ref="AB126:AB133">+AB41*$AB$87</f>
        <v>2.54820900168</v>
      </c>
      <c r="AC126" s="156">
        <f aca="true" t="shared" si="67" ref="AC126:AC133">+AC41*$AC$87</f>
        <v>2.93114104638</v>
      </c>
      <c r="AD126" s="113">
        <f aca="true" t="shared" si="68" ref="AD126:AD133">+AD41*$AD$87</f>
        <v>3.21993625561</v>
      </c>
      <c r="AE126" s="136">
        <f aca="true" t="shared" si="69" ref="AE126:AE133">+AE41/$AE$87</f>
        <v>2.855804009880765</v>
      </c>
      <c r="AF126" s="188">
        <f aca="true" t="shared" si="70" ref="AF126:AF133">+AF41*$AF$87</f>
        <v>2.957797001719999</v>
      </c>
      <c r="AG126" s="188">
        <f aca="true" t="shared" si="71" ref="AG126:AG133">+AG41*$AG$87</f>
        <v>2.9040020227400003</v>
      </c>
      <c r="AH126" s="126">
        <f t="shared" si="57"/>
        <v>2.7037260165599997</v>
      </c>
      <c r="AI126" s="125">
        <f t="shared" si="58"/>
        <v>2.7519240132700005</v>
      </c>
      <c r="AJ126" s="125">
        <f t="shared" si="59"/>
        <v>2.7519239958</v>
      </c>
      <c r="AK126" s="125">
        <f t="shared" si="35"/>
        <v>2.6035559977199996</v>
      </c>
      <c r="AL126" s="126">
        <f t="shared" si="36"/>
        <v>2.41070002677</v>
      </c>
      <c r="AM126" s="125">
        <f t="shared" si="37"/>
        <v>2.69998397724</v>
      </c>
      <c r="AN126" s="125">
        <f t="shared" si="38"/>
        <v>2.69998400485</v>
      </c>
      <c r="AO126" s="125">
        <f t="shared" si="39"/>
        <v>2.6480440144</v>
      </c>
      <c r="AP126" s="125">
        <f t="shared" si="40"/>
        <v>2.5534709887</v>
      </c>
      <c r="AQ126" s="125">
        <f t="shared" si="41"/>
        <v>2.4588980026400002</v>
      </c>
      <c r="AR126" s="125">
        <f t="shared" si="42"/>
        <v>2.55347099931</v>
      </c>
      <c r="AS126" s="125">
        <f t="shared" si="43"/>
        <v>2.55347101128</v>
      </c>
      <c r="AT126" s="125">
        <f t="shared" si="44"/>
        <v>2.6480440026300003</v>
      </c>
      <c r="AU126" s="125">
        <f t="shared" si="45"/>
        <v>2.59610400346</v>
      </c>
      <c r="AV126" s="125">
        <f t="shared" si="46"/>
        <v>2.68882201048</v>
      </c>
      <c r="AW126" s="257">
        <f t="shared" si="48"/>
        <v>2.6888219857599998</v>
      </c>
    </row>
    <row r="127" spans="2:49" s="133" customFormat="1" ht="14.25">
      <c r="B127" s="117" t="s">
        <v>53</v>
      </c>
      <c r="C127" s="428">
        <f aca="true" t="shared" si="72" ref="C127:Y127">+C42*C87</f>
        <v>0</v>
      </c>
      <c r="D127" s="204">
        <f t="shared" si="72"/>
        <v>0</v>
      </c>
      <c r="E127" s="204">
        <f t="shared" si="72"/>
        <v>0</v>
      </c>
      <c r="F127" s="217">
        <f t="shared" si="72"/>
        <v>0</v>
      </c>
      <c r="G127" s="428">
        <f t="shared" si="72"/>
        <v>0</v>
      </c>
      <c r="H127" s="204">
        <f t="shared" si="72"/>
        <v>0</v>
      </c>
      <c r="I127" s="204">
        <f t="shared" si="72"/>
        <v>0</v>
      </c>
      <c r="J127" s="217">
        <f t="shared" si="72"/>
        <v>0</v>
      </c>
      <c r="K127" s="428">
        <f t="shared" si="72"/>
        <v>0</v>
      </c>
      <c r="L127" s="204">
        <f t="shared" si="72"/>
        <v>0</v>
      </c>
      <c r="M127" s="204">
        <f t="shared" si="72"/>
        <v>0</v>
      </c>
      <c r="N127" s="217">
        <f t="shared" si="72"/>
        <v>0</v>
      </c>
      <c r="O127" s="428">
        <f t="shared" si="72"/>
        <v>0</v>
      </c>
      <c r="P127" s="204">
        <f t="shared" si="72"/>
        <v>0</v>
      </c>
      <c r="Q127" s="204">
        <f t="shared" si="72"/>
        <v>0</v>
      </c>
      <c r="R127" s="217">
        <f t="shared" si="72"/>
        <v>0</v>
      </c>
      <c r="S127" s="146">
        <f t="shared" si="72"/>
        <v>0.37431311287999997</v>
      </c>
      <c r="T127" s="96">
        <f t="shared" si="72"/>
        <v>0.33697783459999997</v>
      </c>
      <c r="U127" s="96">
        <f t="shared" si="72"/>
        <v>0.37076145511999997</v>
      </c>
      <c r="V127" s="107">
        <f t="shared" si="72"/>
        <v>0.3633944311</v>
      </c>
      <c r="W127" s="146">
        <f t="shared" si="72"/>
        <v>0.38718727740000003</v>
      </c>
      <c r="X127" s="96">
        <f t="shared" si="72"/>
        <v>0.3887910125</v>
      </c>
      <c r="Y127" s="96">
        <f t="shared" si="72"/>
        <v>0.36198123621</v>
      </c>
      <c r="Z127" s="113">
        <f t="shared" si="64"/>
        <v>0.2218967538</v>
      </c>
      <c r="AA127" s="156">
        <f t="shared" si="65"/>
        <v>0.98711789896</v>
      </c>
      <c r="AB127" s="156">
        <f t="shared" si="66"/>
        <v>0.9687817696700001</v>
      </c>
      <c r="AC127" s="156">
        <f t="shared" si="67"/>
        <v>1.9762672941</v>
      </c>
      <c r="AD127" s="113">
        <f t="shared" si="68"/>
        <v>2.0161044067500002</v>
      </c>
      <c r="AE127" s="136">
        <f t="shared" si="69"/>
        <v>1.9710711499205282</v>
      </c>
      <c r="AF127" s="188">
        <f t="shared" si="70"/>
        <v>2.16390589822</v>
      </c>
      <c r="AG127" s="188">
        <f t="shared" si="71"/>
        <v>2.21067120378</v>
      </c>
      <c r="AH127" s="126">
        <f t="shared" si="57"/>
        <v>2.27706639828</v>
      </c>
      <c r="AI127" s="125">
        <f t="shared" si="58"/>
        <v>2.2851492810100003</v>
      </c>
      <c r="AJ127" s="125">
        <f t="shared" si="59"/>
        <v>2.27706639828</v>
      </c>
      <c r="AK127" s="125">
        <f t="shared" si="35"/>
        <v>2.1818037226800002</v>
      </c>
      <c r="AL127" s="126">
        <f t="shared" si="36"/>
        <v>2.17429819348</v>
      </c>
      <c r="AM127" s="125">
        <f t="shared" si="37"/>
        <v>2.07672611674</v>
      </c>
      <c r="AN127" s="125">
        <f t="shared" si="38"/>
        <v>2.0703752733500003</v>
      </c>
      <c r="AO127" s="125">
        <f t="shared" si="39"/>
        <v>1.9601015201000003</v>
      </c>
      <c r="AP127" s="125">
        <f t="shared" si="40"/>
        <v>2.05882827609</v>
      </c>
      <c r="AQ127" s="125">
        <f t="shared" si="41"/>
        <v>2.0761487815999997</v>
      </c>
      <c r="AR127" s="125">
        <f t="shared" si="42"/>
        <v>2.07152995797</v>
      </c>
      <c r="AS127" s="125">
        <f t="shared" si="43"/>
        <v>2.09000515584</v>
      </c>
      <c r="AT127" s="125">
        <f t="shared" si="44"/>
        <v>2.1777622842300004</v>
      </c>
      <c r="AU127" s="125">
        <f t="shared" si="45"/>
        <v>2.14658539293</v>
      </c>
      <c r="AV127" s="125">
        <f t="shared" si="46"/>
        <v>2.17660758429</v>
      </c>
      <c r="AW127" s="257">
        <f t="shared" si="48"/>
        <v>2.14138927152</v>
      </c>
    </row>
    <row r="128" spans="2:49" s="29" customFormat="1" ht="14.25">
      <c r="B128" s="117" t="s">
        <v>55</v>
      </c>
      <c r="C128" s="428">
        <f aca="true" t="shared" si="73" ref="C128:Y128">+C43*C87</f>
        <v>0</v>
      </c>
      <c r="D128" s="204">
        <f t="shared" si="73"/>
        <v>0</v>
      </c>
      <c r="E128" s="204">
        <f t="shared" si="73"/>
        <v>0</v>
      </c>
      <c r="F128" s="217">
        <f t="shared" si="73"/>
        <v>0</v>
      </c>
      <c r="G128" s="428">
        <f t="shared" si="73"/>
        <v>0</v>
      </c>
      <c r="H128" s="204">
        <f t="shared" si="73"/>
        <v>0</v>
      </c>
      <c r="I128" s="204">
        <f t="shared" si="73"/>
        <v>0</v>
      </c>
      <c r="J128" s="217">
        <f t="shared" si="73"/>
        <v>0</v>
      </c>
      <c r="K128" s="428">
        <f t="shared" si="73"/>
        <v>0</v>
      </c>
      <c r="L128" s="204">
        <f t="shared" si="73"/>
        <v>0</v>
      </c>
      <c r="M128" s="204">
        <f t="shared" si="73"/>
        <v>0</v>
      </c>
      <c r="N128" s="217">
        <f t="shared" si="73"/>
        <v>0</v>
      </c>
      <c r="O128" s="428">
        <f t="shared" si="73"/>
        <v>0</v>
      </c>
      <c r="P128" s="204">
        <f t="shared" si="73"/>
        <v>0</v>
      </c>
      <c r="Q128" s="204">
        <f t="shared" si="73"/>
        <v>0</v>
      </c>
      <c r="R128" s="217">
        <f t="shared" si="73"/>
        <v>0</v>
      </c>
      <c r="S128" s="146">
        <f t="shared" si="73"/>
        <v>0.62960809716</v>
      </c>
      <c r="T128" s="96">
        <f t="shared" si="73"/>
        <v>0.5668088354499999</v>
      </c>
      <c r="U128" s="96">
        <f t="shared" si="73"/>
        <v>0.62363411456</v>
      </c>
      <c r="V128" s="107">
        <f t="shared" si="73"/>
        <v>0.61124250114</v>
      </c>
      <c r="W128" s="146">
        <f t="shared" si="73"/>
        <v>0.6512628804</v>
      </c>
      <c r="X128" s="96">
        <f t="shared" si="73"/>
        <v>0.6539604499999999</v>
      </c>
      <c r="Y128" s="96">
        <f t="shared" si="73"/>
        <v>0.60886544706</v>
      </c>
      <c r="Z128" s="107">
        <f t="shared" si="64"/>
        <v>0.13029517155</v>
      </c>
      <c r="AA128" s="96">
        <f t="shared" si="65"/>
        <v>0.4924731802</v>
      </c>
      <c r="AB128" s="96">
        <f t="shared" si="66"/>
        <v>0.48332530273999996</v>
      </c>
      <c r="AC128" s="96">
        <f t="shared" si="67"/>
        <v>1.5005394083399999</v>
      </c>
      <c r="AD128" s="107">
        <f t="shared" si="68"/>
        <v>1.5307869117700001</v>
      </c>
      <c r="AE128" s="71">
        <f t="shared" si="69"/>
        <v>1.4965940778604008</v>
      </c>
      <c r="AF128" s="125">
        <f t="shared" si="70"/>
        <v>1.6430095618200002</v>
      </c>
      <c r="AG128" s="125">
        <f t="shared" si="71"/>
        <v>1.6785175022199998</v>
      </c>
      <c r="AH128" s="126">
        <f t="shared" si="57"/>
        <v>1.72893003048</v>
      </c>
      <c r="AI128" s="125">
        <f t="shared" si="58"/>
        <v>1.73506719305</v>
      </c>
      <c r="AJ128" s="125">
        <f t="shared" si="59"/>
        <v>1.72893003048</v>
      </c>
      <c r="AK128" s="125">
        <f t="shared" si="35"/>
        <v>1.6565990260799999</v>
      </c>
      <c r="AL128" s="126">
        <f t="shared" si="36"/>
        <v>1.65090020214</v>
      </c>
      <c r="AM128" s="125">
        <f t="shared" si="37"/>
        <v>1.5768157442400002</v>
      </c>
      <c r="AN128" s="125">
        <f t="shared" si="38"/>
        <v>1.5719936752500003</v>
      </c>
      <c r="AO128" s="125">
        <f t="shared" si="39"/>
        <v>1.48826505335</v>
      </c>
      <c r="AP128" s="125">
        <f t="shared" si="40"/>
        <v>1.5632262936899999</v>
      </c>
      <c r="AQ128" s="125">
        <f t="shared" si="41"/>
        <v>1.5763773757400001</v>
      </c>
      <c r="AR128" s="125">
        <f t="shared" si="42"/>
        <v>1.57287039668</v>
      </c>
      <c r="AS128" s="125">
        <f t="shared" si="43"/>
        <v>1.58689823544</v>
      </c>
      <c r="AT128" s="125">
        <f t="shared" si="44"/>
        <v>1.6535304255599999</v>
      </c>
      <c r="AU128" s="125">
        <f t="shared" si="45"/>
        <v>1.62985846584</v>
      </c>
      <c r="AV128" s="125">
        <f t="shared" si="46"/>
        <v>1.65265370334</v>
      </c>
      <c r="AW128" s="257">
        <f t="shared" si="48"/>
        <v>1.6259131318400002</v>
      </c>
    </row>
    <row r="129" spans="2:49" s="29" customFormat="1" ht="14.25">
      <c r="B129" s="117" t="s">
        <v>56</v>
      </c>
      <c r="C129" s="428">
        <f aca="true" t="shared" si="74" ref="C129:Y129">+C44*C87</f>
        <v>0</v>
      </c>
      <c r="D129" s="204">
        <f t="shared" si="74"/>
        <v>0</v>
      </c>
      <c r="E129" s="204">
        <f t="shared" si="74"/>
        <v>0</v>
      </c>
      <c r="F129" s="217">
        <f t="shared" si="74"/>
        <v>0</v>
      </c>
      <c r="G129" s="428">
        <f t="shared" si="74"/>
        <v>0</v>
      </c>
      <c r="H129" s="204">
        <f t="shared" si="74"/>
        <v>0</v>
      </c>
      <c r="I129" s="204">
        <f t="shared" si="74"/>
        <v>0</v>
      </c>
      <c r="J129" s="217">
        <f t="shared" si="74"/>
        <v>0</v>
      </c>
      <c r="K129" s="428">
        <f t="shared" si="74"/>
        <v>0</v>
      </c>
      <c r="L129" s="204">
        <f t="shared" si="74"/>
        <v>0</v>
      </c>
      <c r="M129" s="204">
        <f t="shared" si="74"/>
        <v>0</v>
      </c>
      <c r="N129" s="217">
        <f t="shared" si="74"/>
        <v>0</v>
      </c>
      <c r="O129" s="428">
        <f t="shared" si="74"/>
        <v>0</v>
      </c>
      <c r="P129" s="204">
        <f t="shared" si="74"/>
        <v>0</v>
      </c>
      <c r="Q129" s="204">
        <f t="shared" si="74"/>
        <v>0</v>
      </c>
      <c r="R129" s="217">
        <f t="shared" si="74"/>
        <v>0</v>
      </c>
      <c r="S129" s="450">
        <f t="shared" si="74"/>
        <v>1.46716962574</v>
      </c>
      <c r="T129" s="158">
        <f t="shared" si="74"/>
        <v>1.3208291024499998</v>
      </c>
      <c r="U129" s="158">
        <f t="shared" si="74"/>
        <v>1.45324851288</v>
      </c>
      <c r="V129" s="126">
        <f t="shared" si="74"/>
        <v>1.42437246713</v>
      </c>
      <c r="W129" s="450">
        <f t="shared" si="74"/>
        <v>1.5176315616000002</v>
      </c>
      <c r="X129" s="158">
        <f t="shared" si="74"/>
        <v>1.5239176425</v>
      </c>
      <c r="Y129" s="158">
        <f t="shared" si="74"/>
        <v>1.41883323546</v>
      </c>
      <c r="Z129" s="107">
        <f t="shared" si="64"/>
        <v>0.0039179319</v>
      </c>
      <c r="AA129" s="96">
        <f t="shared" si="65"/>
        <v>1.2425998961200002</v>
      </c>
      <c r="AB129" s="96">
        <f t="shared" si="66"/>
        <v>1.2195180751399999</v>
      </c>
      <c r="AC129" s="96">
        <f t="shared" si="67"/>
        <v>1.1950788308999998</v>
      </c>
      <c r="AD129" s="107">
        <f t="shared" si="68"/>
        <v>1.21916894555</v>
      </c>
      <c r="AE129" s="71">
        <f t="shared" si="69"/>
        <v>1.1919366355503196</v>
      </c>
      <c r="AF129" s="125">
        <f t="shared" si="70"/>
        <v>1.30854672938</v>
      </c>
      <c r="AG129" s="125">
        <f t="shared" si="71"/>
        <v>1.33682642002</v>
      </c>
      <c r="AH129" s="126">
        <f t="shared" si="57"/>
        <v>1.3769765963999998</v>
      </c>
      <c r="AI129" s="125">
        <f t="shared" si="58"/>
        <v>1.3818644600200003</v>
      </c>
      <c r="AJ129" s="125">
        <f t="shared" si="59"/>
        <v>1.3769765963999998</v>
      </c>
      <c r="AK129" s="125">
        <f t="shared" si="35"/>
        <v>1.31936981796</v>
      </c>
      <c r="AL129" s="126">
        <f t="shared" si="36"/>
        <v>1.3148311203299998</v>
      </c>
      <c r="AM129" s="125">
        <f t="shared" si="37"/>
        <v>1.2558277896999999</v>
      </c>
      <c r="AN129" s="125">
        <f t="shared" si="38"/>
        <v>1.2519873573</v>
      </c>
      <c r="AO129" s="125">
        <f t="shared" si="39"/>
        <v>1.18530313431</v>
      </c>
      <c r="AP129" s="125">
        <f t="shared" si="40"/>
        <v>1.24500469963</v>
      </c>
      <c r="AQ129" s="125">
        <f t="shared" si="41"/>
        <v>1.25547865842</v>
      </c>
      <c r="AR129" s="125">
        <f t="shared" si="42"/>
        <v>1.25268561759</v>
      </c>
      <c r="AS129" s="125">
        <f t="shared" si="43"/>
        <v>1.26385784448</v>
      </c>
      <c r="AT129" s="125">
        <f t="shared" si="44"/>
        <v>1.31692589847</v>
      </c>
      <c r="AU129" s="125">
        <f t="shared" si="45"/>
        <v>1.2980727900800002</v>
      </c>
      <c r="AV129" s="125">
        <f t="shared" si="46"/>
        <v>1.31622764271</v>
      </c>
      <c r="AW129" s="257">
        <f t="shared" si="48"/>
        <v>1.29493059824</v>
      </c>
    </row>
    <row r="130" spans="2:49" s="29" customFormat="1" ht="14.25">
      <c r="B130" s="117" t="s">
        <v>57</v>
      </c>
      <c r="C130" s="428">
        <f aca="true" t="shared" si="75" ref="C130:Y130">+C45*C87</f>
        <v>0</v>
      </c>
      <c r="D130" s="204">
        <f t="shared" si="75"/>
        <v>0</v>
      </c>
      <c r="E130" s="204">
        <f t="shared" si="75"/>
        <v>0</v>
      </c>
      <c r="F130" s="217">
        <f t="shared" si="75"/>
        <v>0</v>
      </c>
      <c r="G130" s="428">
        <f t="shared" si="75"/>
        <v>0</v>
      </c>
      <c r="H130" s="204">
        <f t="shared" si="75"/>
        <v>0</v>
      </c>
      <c r="I130" s="204">
        <f t="shared" si="75"/>
        <v>0</v>
      </c>
      <c r="J130" s="217">
        <f t="shared" si="75"/>
        <v>0</v>
      </c>
      <c r="K130" s="428">
        <f t="shared" si="75"/>
        <v>0</v>
      </c>
      <c r="L130" s="204">
        <f t="shared" si="75"/>
        <v>0</v>
      </c>
      <c r="M130" s="204">
        <f t="shared" si="75"/>
        <v>0</v>
      </c>
      <c r="N130" s="217">
        <f t="shared" si="75"/>
        <v>0</v>
      </c>
      <c r="O130" s="428">
        <f t="shared" si="75"/>
        <v>0</v>
      </c>
      <c r="P130" s="204">
        <f t="shared" si="75"/>
        <v>0</v>
      </c>
      <c r="Q130" s="204">
        <f t="shared" si="75"/>
        <v>0</v>
      </c>
      <c r="R130" s="217">
        <f t="shared" si="75"/>
        <v>0</v>
      </c>
      <c r="S130" s="450">
        <f t="shared" si="75"/>
        <v>1.4499454573800001</v>
      </c>
      <c r="T130" s="158">
        <f t="shared" si="75"/>
        <v>1.30532289437</v>
      </c>
      <c r="U130" s="158">
        <f t="shared" si="75"/>
        <v>1.4361877371999998</v>
      </c>
      <c r="V130" s="126">
        <f t="shared" si="75"/>
        <v>1.40765071485</v>
      </c>
      <c r="W130" s="450">
        <f t="shared" si="75"/>
        <v>1.4998150150500003</v>
      </c>
      <c r="X130" s="158">
        <f t="shared" si="75"/>
        <v>1.5060272700000001</v>
      </c>
      <c r="Y130" s="158">
        <f t="shared" si="75"/>
        <v>1.4021765177100003</v>
      </c>
      <c r="Z130" s="107">
        <f t="shared" si="64"/>
        <v>0.07142119884</v>
      </c>
      <c r="AA130" s="96">
        <f t="shared" si="65"/>
        <v>0.23695855340000002</v>
      </c>
      <c r="AB130" s="96">
        <f t="shared" si="66"/>
        <v>0.23255694526999995</v>
      </c>
      <c r="AC130" s="96">
        <f t="shared" si="67"/>
        <v>0.22789648205999996</v>
      </c>
      <c r="AD130" s="107">
        <f t="shared" si="68"/>
        <v>0.40709036570000007</v>
      </c>
      <c r="AE130" s="70">
        <f t="shared" si="69"/>
        <v>0.3979972871401067</v>
      </c>
      <c r="AF130" s="129">
        <f t="shared" si="70"/>
        <v>0.4369343396</v>
      </c>
      <c r="AG130" s="129">
        <f t="shared" si="71"/>
        <v>0.44637715798000005</v>
      </c>
      <c r="AH130" s="107">
        <f t="shared" si="57"/>
        <v>0.6964236258</v>
      </c>
      <c r="AI130" s="129">
        <f t="shared" si="58"/>
        <v>0.6988957169200001</v>
      </c>
      <c r="AJ130" s="129">
        <f t="shared" si="59"/>
        <v>0.6964236258</v>
      </c>
      <c r="AK130" s="129">
        <f t="shared" si="35"/>
        <v>0.6672882517200001</v>
      </c>
      <c r="AL130" s="107">
        <f t="shared" si="36"/>
        <v>0.66499274989</v>
      </c>
      <c r="AM130" s="129">
        <f t="shared" si="37"/>
        <v>0.6351510646799999</v>
      </c>
      <c r="AN130" s="129">
        <f t="shared" si="38"/>
        <v>0.6332087117</v>
      </c>
      <c r="AO130" s="129">
        <f t="shared" si="39"/>
        <v>0.59948229487</v>
      </c>
      <c r="AP130" s="129">
        <f t="shared" si="40"/>
        <v>0.62967714187</v>
      </c>
      <c r="AQ130" s="129">
        <f t="shared" si="41"/>
        <v>0.6349744809</v>
      </c>
      <c r="AR130" s="129">
        <f t="shared" si="42"/>
        <v>0.63356185684</v>
      </c>
      <c r="AS130" s="129">
        <f t="shared" si="43"/>
        <v>0.639212364</v>
      </c>
      <c r="AT130" s="129">
        <f t="shared" si="44"/>
        <v>0.6660522090300001</v>
      </c>
      <c r="AU130" s="129">
        <f t="shared" si="45"/>
        <v>0.6565170102699999</v>
      </c>
      <c r="AV130" s="129">
        <f t="shared" si="46"/>
        <v>0.66569905047</v>
      </c>
      <c r="AW130" s="257">
        <f t="shared" si="48"/>
        <v>0.6549277952</v>
      </c>
    </row>
    <row r="131" spans="2:49" s="29" customFormat="1" ht="14.25">
      <c r="B131" s="117" t="s">
        <v>58</v>
      </c>
      <c r="C131" s="428">
        <f aca="true" t="shared" si="76" ref="C131:Y131">+C46*C87</f>
        <v>0</v>
      </c>
      <c r="D131" s="204">
        <f t="shared" si="76"/>
        <v>0</v>
      </c>
      <c r="E131" s="204">
        <f t="shared" si="76"/>
        <v>0</v>
      </c>
      <c r="F131" s="217">
        <f t="shared" si="76"/>
        <v>0</v>
      </c>
      <c r="G131" s="428">
        <f t="shared" si="76"/>
        <v>0</v>
      </c>
      <c r="H131" s="204">
        <f t="shared" si="76"/>
        <v>0</v>
      </c>
      <c r="I131" s="204">
        <f t="shared" si="76"/>
        <v>0</v>
      </c>
      <c r="J131" s="217">
        <f t="shared" si="76"/>
        <v>0</v>
      </c>
      <c r="K131" s="428">
        <f t="shared" si="76"/>
        <v>0</v>
      </c>
      <c r="L131" s="204">
        <f t="shared" si="76"/>
        <v>0</v>
      </c>
      <c r="M131" s="204">
        <f t="shared" si="76"/>
        <v>0</v>
      </c>
      <c r="N131" s="217">
        <f t="shared" si="76"/>
        <v>0</v>
      </c>
      <c r="O131" s="428">
        <f t="shared" si="76"/>
        <v>0</v>
      </c>
      <c r="P131" s="204">
        <f t="shared" si="76"/>
        <v>0</v>
      </c>
      <c r="Q131" s="204">
        <f t="shared" si="76"/>
        <v>0</v>
      </c>
      <c r="R131" s="217">
        <f t="shared" si="76"/>
        <v>0</v>
      </c>
      <c r="S131" s="428">
        <f t="shared" si="76"/>
        <v>0</v>
      </c>
      <c r="T131" s="204">
        <f t="shared" si="76"/>
        <v>0</v>
      </c>
      <c r="U131" s="204">
        <f t="shared" si="76"/>
        <v>0</v>
      </c>
      <c r="V131" s="217">
        <f t="shared" si="76"/>
        <v>0</v>
      </c>
      <c r="W131" s="428">
        <f t="shared" si="76"/>
        <v>0</v>
      </c>
      <c r="X131" s="204">
        <f t="shared" si="76"/>
        <v>0</v>
      </c>
      <c r="Y131" s="204">
        <f t="shared" si="76"/>
        <v>0</v>
      </c>
      <c r="Z131" s="466">
        <f t="shared" si="64"/>
        <v>0</v>
      </c>
      <c r="AA131" s="96">
        <f t="shared" si="65"/>
        <v>0.0931590896</v>
      </c>
      <c r="AB131" s="96">
        <f t="shared" si="66"/>
        <v>0.09142862381</v>
      </c>
      <c r="AC131" s="96">
        <f t="shared" si="67"/>
        <v>0.08959636865999998</v>
      </c>
      <c r="AD131" s="107">
        <f t="shared" si="68"/>
        <v>0.26600243829</v>
      </c>
      <c r="AE131" s="70">
        <f t="shared" si="69"/>
        <v>0.2600608040400697</v>
      </c>
      <c r="AF131" s="129">
        <f t="shared" si="70"/>
        <v>0.28550318324</v>
      </c>
      <c r="AG131" s="129">
        <f t="shared" si="71"/>
        <v>0.29167333728</v>
      </c>
      <c r="AH131" s="107">
        <f t="shared" si="57"/>
        <v>0.30043344336</v>
      </c>
      <c r="AI131" s="129">
        <f t="shared" si="58"/>
        <v>0.30149988577000003</v>
      </c>
      <c r="AJ131" s="129">
        <f t="shared" si="59"/>
        <v>0.30043344336</v>
      </c>
      <c r="AK131" s="129">
        <f t="shared" si="35"/>
        <v>0.287864619</v>
      </c>
      <c r="AL131" s="107">
        <f t="shared" si="36"/>
        <v>0.28687432641</v>
      </c>
      <c r="AM131" s="129">
        <f t="shared" si="37"/>
        <v>0.27400080598</v>
      </c>
      <c r="AN131" s="129">
        <f t="shared" si="38"/>
        <v>0.27316287395000005</v>
      </c>
      <c r="AO131" s="129">
        <f t="shared" si="39"/>
        <v>0.25861346746999997</v>
      </c>
      <c r="AP131" s="129">
        <f t="shared" si="40"/>
        <v>0.27163936299999997</v>
      </c>
      <c r="AQ131" s="129">
        <f t="shared" si="41"/>
        <v>0.2739246042</v>
      </c>
      <c r="AR131" s="129">
        <f t="shared" si="42"/>
        <v>0.27331522438</v>
      </c>
      <c r="AS131" s="129">
        <f t="shared" si="43"/>
        <v>0.27575282616</v>
      </c>
      <c r="AT131" s="129">
        <f t="shared" si="44"/>
        <v>0.28733139864</v>
      </c>
      <c r="AU131" s="129">
        <f t="shared" si="45"/>
        <v>0.28321793422999997</v>
      </c>
      <c r="AV131" s="129">
        <f t="shared" si="46"/>
        <v>0.28717904331</v>
      </c>
      <c r="AW131" s="257">
        <f t="shared" si="48"/>
        <v>0.282532376</v>
      </c>
    </row>
    <row r="132" spans="2:49" s="29" customFormat="1" ht="14.25">
      <c r="B132" s="117" t="s">
        <v>59</v>
      </c>
      <c r="C132" s="428">
        <f aca="true" t="shared" si="77" ref="C132:Y132">+C47*C87</f>
        <v>0</v>
      </c>
      <c r="D132" s="204">
        <f t="shared" si="77"/>
        <v>0</v>
      </c>
      <c r="E132" s="204">
        <f t="shared" si="77"/>
        <v>0</v>
      </c>
      <c r="F132" s="217">
        <f t="shared" si="77"/>
        <v>0</v>
      </c>
      <c r="G132" s="428">
        <f t="shared" si="77"/>
        <v>0</v>
      </c>
      <c r="H132" s="204">
        <f t="shared" si="77"/>
        <v>0</v>
      </c>
      <c r="I132" s="204">
        <f t="shared" si="77"/>
        <v>0</v>
      </c>
      <c r="J132" s="217">
        <f t="shared" si="77"/>
        <v>0</v>
      </c>
      <c r="K132" s="428">
        <f t="shared" si="77"/>
        <v>0</v>
      </c>
      <c r="L132" s="204">
        <f t="shared" si="77"/>
        <v>0</v>
      </c>
      <c r="M132" s="204">
        <f t="shared" si="77"/>
        <v>0</v>
      </c>
      <c r="N132" s="217">
        <f t="shared" si="77"/>
        <v>0</v>
      </c>
      <c r="O132" s="428">
        <f t="shared" si="77"/>
        <v>0</v>
      </c>
      <c r="P132" s="204">
        <f t="shared" si="77"/>
        <v>0</v>
      </c>
      <c r="Q132" s="204">
        <f t="shared" si="77"/>
        <v>0</v>
      </c>
      <c r="R132" s="217">
        <f t="shared" si="77"/>
        <v>0</v>
      </c>
      <c r="S132" s="146">
        <f t="shared" si="77"/>
        <v>0.06513784424</v>
      </c>
      <c r="T132" s="96">
        <f t="shared" si="77"/>
        <v>0.05864077197</v>
      </c>
      <c r="U132" s="96">
        <f t="shared" si="77"/>
        <v>0.06451978448</v>
      </c>
      <c r="V132" s="107">
        <f t="shared" si="77"/>
        <v>0.06323778104000001</v>
      </c>
      <c r="W132" s="146">
        <f t="shared" si="77"/>
        <v>0.06737817570000001</v>
      </c>
      <c r="X132" s="96">
        <f t="shared" si="77"/>
        <v>0.06765726</v>
      </c>
      <c r="Y132" s="96">
        <f t="shared" si="77"/>
        <v>0.06299185622</v>
      </c>
      <c r="Z132" s="129">
        <f t="shared" si="64"/>
        <v>0.004139409540000001</v>
      </c>
      <c r="AA132" s="149">
        <f t="shared" si="65"/>
        <v>0.06798258764000001</v>
      </c>
      <c r="AB132" s="96">
        <f t="shared" si="66"/>
        <v>0.06671979043</v>
      </c>
      <c r="AC132" s="96">
        <f t="shared" si="67"/>
        <v>0.06538272288</v>
      </c>
      <c r="AD132" s="432">
        <f t="shared" si="68"/>
        <v>0.24130069713000005</v>
      </c>
      <c r="AE132" s="70">
        <f t="shared" si="69"/>
        <v>0.23591081916006323</v>
      </c>
      <c r="AF132" s="129">
        <f t="shared" si="70"/>
        <v>0.25899054412</v>
      </c>
      <c r="AG132" s="129">
        <f t="shared" si="71"/>
        <v>0.26458772964</v>
      </c>
      <c r="AH132" s="107">
        <f t="shared" si="57"/>
        <v>0.27253434024</v>
      </c>
      <c r="AI132" s="440">
        <f t="shared" si="58"/>
        <v>0.27350176816000005</v>
      </c>
      <c r="AJ132" s="129">
        <f t="shared" si="59"/>
        <v>0.27253434024</v>
      </c>
      <c r="AK132" s="129">
        <f t="shared" si="35"/>
        <v>0.26113267728</v>
      </c>
      <c r="AL132" s="107">
        <f t="shared" si="36"/>
        <v>0.26023435578</v>
      </c>
      <c r="AM132" s="129">
        <f t="shared" si="37"/>
        <v>0.24855628885999997</v>
      </c>
      <c r="AN132" s="129">
        <f t="shared" si="38"/>
        <v>0.24779619205</v>
      </c>
      <c r="AO132" s="129">
        <f t="shared" si="39"/>
        <v>0.23459790484999998</v>
      </c>
      <c r="AP132" s="129">
        <f t="shared" si="40"/>
        <v>0.2464141667</v>
      </c>
      <c r="AQ132" s="129">
        <f t="shared" si="41"/>
        <v>0.24848719842000003</v>
      </c>
      <c r="AR132" s="129">
        <f t="shared" si="42"/>
        <v>0.24793437448999997</v>
      </c>
      <c r="AS132" s="129">
        <f t="shared" si="43"/>
        <v>0.25014561264</v>
      </c>
      <c r="AT132" s="129">
        <f t="shared" si="44"/>
        <v>0.26064896949000005</v>
      </c>
      <c r="AU132" s="129">
        <f t="shared" si="45"/>
        <v>0.25691751294</v>
      </c>
      <c r="AV132" s="129">
        <f t="shared" si="46"/>
        <v>0.26051075769</v>
      </c>
      <c r="AW132" s="257">
        <f t="shared" si="48"/>
        <v>0.2562956232</v>
      </c>
    </row>
    <row r="133" spans="2:49" s="29" customFormat="1" ht="14.25">
      <c r="B133" s="117" t="s">
        <v>60</v>
      </c>
      <c r="C133" s="428">
        <f aca="true" t="shared" si="78" ref="C133:Y133">+C48*C87</f>
        <v>0</v>
      </c>
      <c r="D133" s="204">
        <f t="shared" si="78"/>
        <v>0</v>
      </c>
      <c r="E133" s="204">
        <f t="shared" si="78"/>
        <v>0</v>
      </c>
      <c r="F133" s="217">
        <f t="shared" si="78"/>
        <v>0</v>
      </c>
      <c r="G133" s="428">
        <f t="shared" si="78"/>
        <v>0</v>
      </c>
      <c r="H133" s="204">
        <f t="shared" si="78"/>
        <v>0</v>
      </c>
      <c r="I133" s="204">
        <f t="shared" si="78"/>
        <v>0</v>
      </c>
      <c r="J133" s="217">
        <f t="shared" si="78"/>
        <v>0</v>
      </c>
      <c r="K133" s="428">
        <f t="shared" si="78"/>
        <v>0</v>
      </c>
      <c r="L133" s="204">
        <f t="shared" si="78"/>
        <v>0</v>
      </c>
      <c r="M133" s="204">
        <f t="shared" si="78"/>
        <v>0</v>
      </c>
      <c r="N133" s="217">
        <f t="shared" si="78"/>
        <v>0</v>
      </c>
      <c r="O133" s="428">
        <f t="shared" si="78"/>
        <v>0</v>
      </c>
      <c r="P133" s="204">
        <f t="shared" si="78"/>
        <v>0</v>
      </c>
      <c r="Q133" s="204">
        <f t="shared" si="78"/>
        <v>0</v>
      </c>
      <c r="R133" s="217">
        <f t="shared" si="78"/>
        <v>0</v>
      </c>
      <c r="S133" s="146">
        <f t="shared" si="78"/>
        <v>0.16910493978000002</v>
      </c>
      <c r="T133" s="96">
        <f t="shared" si="78"/>
        <v>0.15223785126</v>
      </c>
      <c r="U133" s="96">
        <f t="shared" si="78"/>
        <v>0.16750041927999998</v>
      </c>
      <c r="V133" s="107">
        <f t="shared" si="78"/>
        <v>0.16417217354000002</v>
      </c>
      <c r="W133" s="146">
        <f t="shared" si="78"/>
        <v>0.1749211464</v>
      </c>
      <c r="X133" s="96">
        <f t="shared" si="78"/>
        <v>0.17564569000000002</v>
      </c>
      <c r="Y133" s="96">
        <f t="shared" si="78"/>
        <v>0.16353373734</v>
      </c>
      <c r="Z133" s="129">
        <f t="shared" si="64"/>
        <v>0.06865310592</v>
      </c>
      <c r="AA133" s="149">
        <f t="shared" si="65"/>
        <v>0.08992451312000001</v>
      </c>
      <c r="AB133" s="96">
        <f t="shared" si="66"/>
        <v>0.08825414030999999</v>
      </c>
      <c r="AC133" s="96">
        <f t="shared" si="67"/>
        <v>0.08648552345999999</v>
      </c>
      <c r="AD133" s="432">
        <f t="shared" si="68"/>
        <v>0.08822886048999999</v>
      </c>
      <c r="AE133" s="70">
        <f t="shared" si="69"/>
        <v>0.08625812724002312</v>
      </c>
      <c r="AF133" s="129">
        <f t="shared" si="70"/>
        <v>0.09469697402000002</v>
      </c>
      <c r="AG133" s="129">
        <f t="shared" si="71"/>
        <v>0.09674352141999999</v>
      </c>
      <c r="AH133" s="107">
        <f t="shared" si="57"/>
        <v>0.09964910447999999</v>
      </c>
      <c r="AI133" s="440">
        <f t="shared" si="58"/>
        <v>0.10000281574</v>
      </c>
      <c r="AJ133" s="129">
        <f t="shared" si="59"/>
        <v>0.09964910447999999</v>
      </c>
      <c r="AK133" s="129">
        <f t="shared" si="35"/>
        <v>0.09548021868</v>
      </c>
      <c r="AL133" s="107">
        <f t="shared" si="36"/>
        <v>0.09515176621999999</v>
      </c>
      <c r="AM133" s="129">
        <f t="shared" si="37"/>
        <v>0.09088180288</v>
      </c>
      <c r="AN133" s="129">
        <f t="shared" si="38"/>
        <v>0.09060386565</v>
      </c>
      <c r="AO133" s="129">
        <f t="shared" si="39"/>
        <v>0.08577807355</v>
      </c>
      <c r="AP133" s="129">
        <f t="shared" si="40"/>
        <v>0.09009856369999998</v>
      </c>
      <c r="AQ133" s="129">
        <f t="shared" si="41"/>
        <v>0.09085654423999999</v>
      </c>
      <c r="AR133" s="129">
        <f t="shared" si="42"/>
        <v>0.09065439855999999</v>
      </c>
      <c r="AS133" s="129">
        <f t="shared" si="43"/>
        <v>0.0914629296</v>
      </c>
      <c r="AT133" s="129">
        <f t="shared" si="44"/>
        <v>0.09530336556</v>
      </c>
      <c r="AU133" s="129">
        <f t="shared" si="45"/>
        <v>0.09393897611999999</v>
      </c>
      <c r="AV133" s="129">
        <f t="shared" si="46"/>
        <v>0.09525282255</v>
      </c>
      <c r="AW133" s="257">
        <f t="shared" si="48"/>
        <v>0.09371158192</v>
      </c>
    </row>
    <row r="134" spans="2:49" s="29" customFormat="1" ht="14.25">
      <c r="B134" s="117" t="s">
        <v>126</v>
      </c>
      <c r="C134" s="407">
        <v>0</v>
      </c>
      <c r="D134" s="204">
        <v>0</v>
      </c>
      <c r="E134" s="204">
        <v>0</v>
      </c>
      <c r="F134" s="196">
        <v>0</v>
      </c>
      <c r="G134" s="407">
        <v>0</v>
      </c>
      <c r="H134" s="204">
        <v>0</v>
      </c>
      <c r="I134" s="204">
        <v>0</v>
      </c>
      <c r="J134" s="196">
        <v>0</v>
      </c>
      <c r="K134" s="407">
        <v>0</v>
      </c>
      <c r="L134" s="204">
        <v>0</v>
      </c>
      <c r="M134" s="204">
        <v>0</v>
      </c>
      <c r="N134" s="196">
        <v>0</v>
      </c>
      <c r="O134" s="407">
        <v>0</v>
      </c>
      <c r="P134" s="204">
        <v>0</v>
      </c>
      <c r="Q134" s="204">
        <v>0</v>
      </c>
      <c r="R134" s="196">
        <v>0</v>
      </c>
      <c r="S134" s="407">
        <v>0</v>
      </c>
      <c r="T134" s="204">
        <v>0</v>
      </c>
      <c r="U134" s="204">
        <v>0</v>
      </c>
      <c r="V134" s="196">
        <v>0</v>
      </c>
      <c r="W134" s="407">
        <v>0</v>
      </c>
      <c r="X134" s="204">
        <v>0</v>
      </c>
      <c r="Y134" s="204">
        <v>0</v>
      </c>
      <c r="Z134" s="196">
        <v>0</v>
      </c>
      <c r="AA134" s="181">
        <f aca="true" t="shared" si="79" ref="AA134:AJ135">+AA49*AA86</f>
        <v>0</v>
      </c>
      <c r="AB134" s="204">
        <f t="shared" si="79"/>
        <v>0</v>
      </c>
      <c r="AC134" s="204">
        <f t="shared" si="79"/>
        <v>0</v>
      </c>
      <c r="AD134" s="466">
        <f t="shared" si="79"/>
        <v>0</v>
      </c>
      <c r="AE134" s="204">
        <f t="shared" si="79"/>
        <v>0</v>
      </c>
      <c r="AF134" s="203">
        <f t="shared" si="79"/>
        <v>0</v>
      </c>
      <c r="AG134" s="203">
        <f t="shared" si="79"/>
        <v>0</v>
      </c>
      <c r="AH134" s="203">
        <f t="shared" si="79"/>
        <v>0</v>
      </c>
      <c r="AI134" s="469">
        <f t="shared" si="79"/>
        <v>0</v>
      </c>
      <c r="AJ134" s="203">
        <f t="shared" si="79"/>
        <v>0</v>
      </c>
      <c r="AK134" s="203">
        <f t="shared" si="35"/>
        <v>0</v>
      </c>
      <c r="AL134" s="466">
        <f t="shared" si="36"/>
        <v>0</v>
      </c>
      <c r="AM134" s="129"/>
      <c r="AN134" s="129"/>
      <c r="AO134" s="203">
        <f t="shared" si="39"/>
        <v>0</v>
      </c>
      <c r="AP134" s="203">
        <f t="shared" si="40"/>
        <v>0</v>
      </c>
      <c r="AQ134" s="203">
        <f t="shared" si="41"/>
        <v>0</v>
      </c>
      <c r="AR134" s="203">
        <f t="shared" si="42"/>
        <v>0</v>
      </c>
      <c r="AS134" s="129">
        <f t="shared" si="43"/>
        <v>0.79507520232</v>
      </c>
      <c r="AT134" s="129">
        <f t="shared" si="44"/>
        <v>0.82452242496</v>
      </c>
      <c r="AU134" s="125">
        <f t="shared" si="45"/>
        <v>1.74522771687</v>
      </c>
      <c r="AV134" s="125">
        <f t="shared" si="46"/>
        <v>1.8075572597799998</v>
      </c>
      <c r="AW134" s="257">
        <f t="shared" si="48"/>
        <v>1.80755725888</v>
      </c>
    </row>
    <row r="135" spans="2:49" s="29" customFormat="1" ht="14.25">
      <c r="B135" s="117" t="s">
        <v>97</v>
      </c>
      <c r="C135" s="450">
        <f aca="true" t="shared" si="80" ref="C135:Z135">+C50*C87</f>
        <v>250.109709784</v>
      </c>
      <c r="D135" s="158">
        <f t="shared" si="80"/>
        <v>235.479951314</v>
      </c>
      <c r="E135" s="158">
        <f t="shared" si="80"/>
        <v>228.06791458749998</v>
      </c>
      <c r="F135" s="126">
        <f t="shared" si="80"/>
        <v>208.24522491786</v>
      </c>
      <c r="G135" s="450">
        <f t="shared" si="80"/>
        <v>209.44650977600003</v>
      </c>
      <c r="H135" s="158">
        <f t="shared" si="80"/>
        <v>186.12672769600002</v>
      </c>
      <c r="I135" s="158">
        <f t="shared" si="80"/>
        <v>193.7700935352</v>
      </c>
      <c r="J135" s="126">
        <f t="shared" si="80"/>
        <v>180.44016950969998</v>
      </c>
      <c r="K135" s="450">
        <f t="shared" si="80"/>
        <v>184.9153095189</v>
      </c>
      <c r="L135" s="158">
        <f t="shared" si="80"/>
        <v>173.2436857191</v>
      </c>
      <c r="M135" s="158">
        <f t="shared" si="80"/>
        <v>173.5691902438</v>
      </c>
      <c r="N135" s="126">
        <f t="shared" si="80"/>
        <v>196.43975090156002</v>
      </c>
      <c r="O135" s="450">
        <f t="shared" si="80"/>
        <v>181.53143596418002</v>
      </c>
      <c r="P135" s="158">
        <f t="shared" si="80"/>
        <v>163.38814974450003</v>
      </c>
      <c r="Q135" s="158">
        <f t="shared" si="80"/>
        <v>166.06053220249999</v>
      </c>
      <c r="R135" s="126">
        <f t="shared" si="80"/>
        <v>145.59727799078</v>
      </c>
      <c r="S135" s="450">
        <f t="shared" si="80"/>
        <v>141.398388355</v>
      </c>
      <c r="T135" s="158">
        <f t="shared" si="80"/>
        <v>132.1507342155</v>
      </c>
      <c r="U135" s="158">
        <f t="shared" si="80"/>
        <v>138.07124840039998</v>
      </c>
      <c r="V135" s="126">
        <f t="shared" si="80"/>
        <v>124.67745848312</v>
      </c>
      <c r="W135" s="450">
        <f t="shared" si="80"/>
        <v>121.92328854915</v>
      </c>
      <c r="X135" s="204">
        <f t="shared" si="80"/>
        <v>0</v>
      </c>
      <c r="Y135" s="204">
        <f t="shared" si="80"/>
        <v>0</v>
      </c>
      <c r="Z135" s="203">
        <f t="shared" si="80"/>
        <v>0</v>
      </c>
      <c r="AA135" s="181">
        <f t="shared" si="79"/>
        <v>0</v>
      </c>
      <c r="AB135" s="204">
        <f t="shared" si="79"/>
        <v>0</v>
      </c>
      <c r="AC135" s="204">
        <f t="shared" si="79"/>
        <v>0</v>
      </c>
      <c r="AD135" s="466">
        <f t="shared" si="79"/>
        <v>0</v>
      </c>
      <c r="AE135" s="204">
        <f t="shared" si="79"/>
        <v>0</v>
      </c>
      <c r="AF135" s="203">
        <f t="shared" si="79"/>
        <v>0</v>
      </c>
      <c r="AG135" s="203">
        <f t="shared" si="79"/>
        <v>0</v>
      </c>
      <c r="AH135" s="203">
        <f t="shared" si="79"/>
        <v>0</v>
      </c>
      <c r="AI135" s="469">
        <f t="shared" si="79"/>
        <v>0</v>
      </c>
      <c r="AJ135" s="203">
        <f t="shared" si="79"/>
        <v>0</v>
      </c>
      <c r="AK135" s="203">
        <f t="shared" si="35"/>
        <v>0</v>
      </c>
      <c r="AL135" s="466">
        <f t="shared" si="36"/>
        <v>0</v>
      </c>
      <c r="AM135" s="203">
        <f>+AM50*$AM$87</f>
        <v>0</v>
      </c>
      <c r="AN135" s="203">
        <f>+AN50*$AN$87</f>
        <v>0</v>
      </c>
      <c r="AO135" s="203">
        <f t="shared" si="39"/>
        <v>0</v>
      </c>
      <c r="AP135" s="203">
        <f t="shared" si="40"/>
        <v>0</v>
      </c>
      <c r="AQ135" s="203">
        <f t="shared" si="41"/>
        <v>0</v>
      </c>
      <c r="AR135" s="203">
        <f t="shared" si="42"/>
        <v>0</v>
      </c>
      <c r="AS135" s="203">
        <f t="shared" si="43"/>
        <v>0</v>
      </c>
      <c r="AT135" s="203">
        <f t="shared" si="44"/>
        <v>0</v>
      </c>
      <c r="AU135" s="203">
        <f t="shared" si="45"/>
        <v>0</v>
      </c>
      <c r="AV135" s="203">
        <f t="shared" si="46"/>
        <v>0</v>
      </c>
      <c r="AW135" s="466">
        <f>+AW50*$AW$87</f>
        <v>0</v>
      </c>
    </row>
    <row r="136" spans="2:49" s="29" customFormat="1" ht="14.25">
      <c r="B136" s="117" t="s">
        <v>98</v>
      </c>
      <c r="C136" s="450">
        <f aca="true" t="shared" si="81" ref="C136:AJ136">+C51*C87</f>
        <v>22.3046790259</v>
      </c>
      <c r="D136" s="158">
        <f t="shared" si="81"/>
        <v>22.9855280648</v>
      </c>
      <c r="E136" s="158">
        <f t="shared" si="81"/>
        <v>22.666860157499997</v>
      </c>
      <c r="F136" s="126">
        <f t="shared" si="81"/>
        <v>23.26392068037</v>
      </c>
      <c r="G136" s="450">
        <f t="shared" si="81"/>
        <v>23.346332020640002</v>
      </c>
      <c r="H136" s="158">
        <f t="shared" si="81"/>
        <v>22.89909271876</v>
      </c>
      <c r="I136" s="158">
        <f t="shared" si="81"/>
        <v>23.548122202500004</v>
      </c>
      <c r="J136" s="126">
        <f t="shared" si="81"/>
        <v>23.02572041082</v>
      </c>
      <c r="K136" s="428">
        <f t="shared" si="81"/>
        <v>0</v>
      </c>
      <c r="L136" s="204">
        <f t="shared" si="81"/>
        <v>0</v>
      </c>
      <c r="M136" s="204">
        <f t="shared" si="81"/>
        <v>0</v>
      </c>
      <c r="N136" s="217">
        <f t="shared" si="81"/>
        <v>0</v>
      </c>
      <c r="O136" s="428">
        <f t="shared" si="81"/>
        <v>0</v>
      </c>
      <c r="P136" s="204">
        <f t="shared" si="81"/>
        <v>0</v>
      </c>
      <c r="Q136" s="204">
        <f t="shared" si="81"/>
        <v>0</v>
      </c>
      <c r="R136" s="217">
        <f t="shared" si="81"/>
        <v>0</v>
      </c>
      <c r="S136" s="428">
        <f t="shared" si="81"/>
        <v>0</v>
      </c>
      <c r="T136" s="204">
        <f t="shared" si="81"/>
        <v>0</v>
      </c>
      <c r="U136" s="204">
        <f t="shared" si="81"/>
        <v>0</v>
      </c>
      <c r="V136" s="217">
        <f t="shared" si="81"/>
        <v>0</v>
      </c>
      <c r="W136" s="428">
        <f t="shared" si="81"/>
        <v>0</v>
      </c>
      <c r="X136" s="204">
        <f t="shared" si="81"/>
        <v>0</v>
      </c>
      <c r="Y136" s="204">
        <f t="shared" si="81"/>
        <v>0</v>
      </c>
      <c r="Z136" s="203">
        <f t="shared" si="81"/>
        <v>0</v>
      </c>
      <c r="AA136" s="181">
        <f t="shared" si="81"/>
        <v>0</v>
      </c>
      <c r="AB136" s="204">
        <f t="shared" si="81"/>
        <v>0</v>
      </c>
      <c r="AC136" s="204">
        <f t="shared" si="81"/>
        <v>0</v>
      </c>
      <c r="AD136" s="466">
        <f t="shared" si="81"/>
        <v>0</v>
      </c>
      <c r="AE136" s="204">
        <f t="shared" si="81"/>
        <v>0</v>
      </c>
      <c r="AF136" s="203">
        <f t="shared" si="81"/>
        <v>0</v>
      </c>
      <c r="AG136" s="203">
        <f t="shared" si="81"/>
        <v>0</v>
      </c>
      <c r="AH136" s="203">
        <f t="shared" si="81"/>
        <v>0</v>
      </c>
      <c r="AI136" s="469">
        <f t="shared" si="81"/>
        <v>0</v>
      </c>
      <c r="AJ136" s="203">
        <f t="shared" si="81"/>
        <v>0</v>
      </c>
      <c r="AK136" s="203">
        <f t="shared" si="35"/>
        <v>0</v>
      </c>
      <c r="AL136" s="466">
        <f t="shared" si="36"/>
        <v>0</v>
      </c>
      <c r="AM136" s="203">
        <f>+AM51*$AM$87</f>
        <v>0</v>
      </c>
      <c r="AN136" s="203">
        <f>+AN51*$AN$87</f>
        <v>0</v>
      </c>
      <c r="AO136" s="203">
        <f t="shared" si="39"/>
        <v>0</v>
      </c>
      <c r="AP136" s="203">
        <f t="shared" si="40"/>
        <v>0</v>
      </c>
      <c r="AQ136" s="203">
        <f t="shared" si="41"/>
        <v>0</v>
      </c>
      <c r="AR136" s="203">
        <f t="shared" si="42"/>
        <v>0</v>
      </c>
      <c r="AS136" s="203">
        <f t="shared" si="43"/>
        <v>0</v>
      </c>
      <c r="AT136" s="203">
        <f t="shared" si="44"/>
        <v>0</v>
      </c>
      <c r="AU136" s="203">
        <f t="shared" si="45"/>
        <v>0</v>
      </c>
      <c r="AV136" s="203">
        <f t="shared" si="46"/>
        <v>0</v>
      </c>
      <c r="AW136" s="466">
        <f>+AW51*$AW$87</f>
        <v>0</v>
      </c>
    </row>
    <row r="137" spans="2:49" s="29" customFormat="1" ht="14.25">
      <c r="B137" s="117" t="s">
        <v>100</v>
      </c>
      <c r="C137" s="428">
        <f aca="true" t="shared" si="82" ref="C137:AJ137">+C52*C87</f>
        <v>0</v>
      </c>
      <c r="D137" s="204">
        <f t="shared" si="82"/>
        <v>0</v>
      </c>
      <c r="E137" s="204">
        <f t="shared" si="82"/>
        <v>0</v>
      </c>
      <c r="F137" s="126">
        <f t="shared" si="82"/>
        <v>3.34626988017</v>
      </c>
      <c r="G137" s="428">
        <f t="shared" si="82"/>
        <v>0</v>
      </c>
      <c r="H137" s="204">
        <f t="shared" si="82"/>
        <v>0</v>
      </c>
      <c r="I137" s="204">
        <f t="shared" si="82"/>
        <v>0</v>
      </c>
      <c r="J137" s="217">
        <f t="shared" si="82"/>
        <v>0</v>
      </c>
      <c r="K137" s="428">
        <f t="shared" si="82"/>
        <v>0</v>
      </c>
      <c r="L137" s="204">
        <f t="shared" si="82"/>
        <v>0</v>
      </c>
      <c r="M137" s="204">
        <f t="shared" si="82"/>
        <v>0</v>
      </c>
      <c r="N137" s="217">
        <f t="shared" si="82"/>
        <v>0</v>
      </c>
      <c r="O137" s="428">
        <f t="shared" si="82"/>
        <v>0</v>
      </c>
      <c r="P137" s="204">
        <f t="shared" si="82"/>
        <v>0</v>
      </c>
      <c r="Q137" s="204">
        <f t="shared" si="82"/>
        <v>0</v>
      </c>
      <c r="R137" s="217">
        <f t="shared" si="82"/>
        <v>0</v>
      </c>
      <c r="S137" s="428">
        <f t="shared" si="82"/>
        <v>0</v>
      </c>
      <c r="T137" s="204">
        <f t="shared" si="82"/>
        <v>0</v>
      </c>
      <c r="U137" s="204">
        <f t="shared" si="82"/>
        <v>0</v>
      </c>
      <c r="V137" s="217">
        <f t="shared" si="82"/>
        <v>0</v>
      </c>
      <c r="W137" s="428">
        <f t="shared" si="82"/>
        <v>0</v>
      </c>
      <c r="X137" s="204">
        <f t="shared" si="82"/>
        <v>0</v>
      </c>
      <c r="Y137" s="204">
        <f t="shared" si="82"/>
        <v>0</v>
      </c>
      <c r="Z137" s="203">
        <f t="shared" si="82"/>
        <v>0</v>
      </c>
      <c r="AA137" s="181">
        <f t="shared" si="82"/>
        <v>0</v>
      </c>
      <c r="AB137" s="204">
        <f t="shared" si="82"/>
        <v>0</v>
      </c>
      <c r="AC137" s="204">
        <f t="shared" si="82"/>
        <v>0</v>
      </c>
      <c r="AD137" s="466">
        <f t="shared" si="82"/>
        <v>0</v>
      </c>
      <c r="AE137" s="204">
        <f t="shared" si="82"/>
        <v>0</v>
      </c>
      <c r="AF137" s="203">
        <f t="shared" si="82"/>
        <v>0</v>
      </c>
      <c r="AG137" s="203">
        <f t="shared" si="82"/>
        <v>0</v>
      </c>
      <c r="AH137" s="203">
        <f t="shared" si="82"/>
        <v>0</v>
      </c>
      <c r="AI137" s="469">
        <f t="shared" si="82"/>
        <v>0</v>
      </c>
      <c r="AJ137" s="203">
        <f t="shared" si="82"/>
        <v>0</v>
      </c>
      <c r="AK137" s="203">
        <f t="shared" si="35"/>
        <v>0</v>
      </c>
      <c r="AL137" s="466">
        <f t="shared" si="36"/>
        <v>0</v>
      </c>
      <c r="AM137" s="203">
        <f>+AM52*$AM$87</f>
        <v>0</v>
      </c>
      <c r="AN137" s="203">
        <f>+AN52*$AN$87</f>
        <v>0</v>
      </c>
      <c r="AO137" s="203">
        <f t="shared" si="39"/>
        <v>0</v>
      </c>
      <c r="AP137" s="203">
        <f t="shared" si="40"/>
        <v>0</v>
      </c>
      <c r="AQ137" s="203">
        <f t="shared" si="41"/>
        <v>0</v>
      </c>
      <c r="AR137" s="203">
        <f t="shared" si="42"/>
        <v>0</v>
      </c>
      <c r="AS137" s="203">
        <f t="shared" si="43"/>
        <v>0</v>
      </c>
      <c r="AT137" s="203">
        <f t="shared" si="44"/>
        <v>0</v>
      </c>
      <c r="AU137" s="203">
        <f t="shared" si="45"/>
        <v>0</v>
      </c>
      <c r="AV137" s="203">
        <f t="shared" si="46"/>
        <v>0</v>
      </c>
      <c r="AW137" s="466">
        <f>+AW52*$AW$87</f>
        <v>0</v>
      </c>
    </row>
    <row r="138" spans="2:49" s="29" customFormat="1" ht="14.25">
      <c r="B138" s="117" t="s">
        <v>99</v>
      </c>
      <c r="C138" s="450">
        <f aca="true" t="shared" si="83" ref="C138:AJ138">+C53*C87</f>
        <v>3.2540781271</v>
      </c>
      <c r="D138" s="158">
        <f t="shared" si="83"/>
        <v>3.2281833453999997</v>
      </c>
      <c r="E138" s="158">
        <f t="shared" si="83"/>
        <v>2.9392552475</v>
      </c>
      <c r="F138" s="126">
        <f t="shared" si="83"/>
        <v>2.9069086958</v>
      </c>
      <c r="G138" s="450">
        <f t="shared" si="83"/>
        <v>2.66490187728</v>
      </c>
      <c r="H138" s="158">
        <f t="shared" si="83"/>
        <v>2.62895274177</v>
      </c>
      <c r="I138" s="158">
        <f t="shared" si="83"/>
        <v>2.40746668533</v>
      </c>
      <c r="J138" s="126">
        <f t="shared" si="83"/>
        <v>2.36985961815</v>
      </c>
      <c r="K138" s="428">
        <f t="shared" si="83"/>
        <v>0</v>
      </c>
      <c r="L138" s="204">
        <f t="shared" si="83"/>
        <v>0</v>
      </c>
      <c r="M138" s="204">
        <f t="shared" si="83"/>
        <v>0</v>
      </c>
      <c r="N138" s="217">
        <f t="shared" si="83"/>
        <v>0</v>
      </c>
      <c r="O138" s="428">
        <f t="shared" si="83"/>
        <v>0</v>
      </c>
      <c r="P138" s="204">
        <f t="shared" si="83"/>
        <v>0</v>
      </c>
      <c r="Q138" s="204">
        <f t="shared" si="83"/>
        <v>0</v>
      </c>
      <c r="R138" s="217">
        <f t="shared" si="83"/>
        <v>0</v>
      </c>
      <c r="S138" s="428">
        <f t="shared" si="83"/>
        <v>0</v>
      </c>
      <c r="T138" s="204">
        <f t="shared" si="83"/>
        <v>0</v>
      </c>
      <c r="U138" s="204">
        <f t="shared" si="83"/>
        <v>0</v>
      </c>
      <c r="V138" s="217">
        <f t="shared" si="83"/>
        <v>0</v>
      </c>
      <c r="W138" s="428">
        <f t="shared" si="83"/>
        <v>0</v>
      </c>
      <c r="X138" s="204">
        <f t="shared" si="83"/>
        <v>0</v>
      </c>
      <c r="Y138" s="204">
        <f t="shared" si="83"/>
        <v>0</v>
      </c>
      <c r="Z138" s="203">
        <f t="shared" si="83"/>
        <v>0</v>
      </c>
      <c r="AA138" s="181">
        <f t="shared" si="83"/>
        <v>0</v>
      </c>
      <c r="AB138" s="204">
        <f t="shared" si="83"/>
        <v>0</v>
      </c>
      <c r="AC138" s="204">
        <f t="shared" si="83"/>
        <v>0</v>
      </c>
      <c r="AD138" s="466">
        <f t="shared" si="83"/>
        <v>0</v>
      </c>
      <c r="AE138" s="204">
        <f t="shared" si="83"/>
        <v>0</v>
      </c>
      <c r="AF138" s="203">
        <f t="shared" si="83"/>
        <v>0</v>
      </c>
      <c r="AG138" s="203">
        <f t="shared" si="83"/>
        <v>0</v>
      </c>
      <c r="AH138" s="203">
        <f t="shared" si="83"/>
        <v>0</v>
      </c>
      <c r="AI138" s="469">
        <f t="shared" si="83"/>
        <v>0</v>
      </c>
      <c r="AJ138" s="203">
        <f t="shared" si="83"/>
        <v>0</v>
      </c>
      <c r="AK138" s="203">
        <f t="shared" si="35"/>
        <v>0</v>
      </c>
      <c r="AL138" s="466">
        <f t="shared" si="36"/>
        <v>0</v>
      </c>
      <c r="AM138" s="203">
        <f>+AM53*$AM$87</f>
        <v>0</v>
      </c>
      <c r="AN138" s="203">
        <f>+AN53*$AN$87</f>
        <v>0</v>
      </c>
      <c r="AO138" s="203">
        <f t="shared" si="39"/>
        <v>0</v>
      </c>
      <c r="AP138" s="203">
        <f t="shared" si="40"/>
        <v>0</v>
      </c>
      <c r="AQ138" s="203">
        <f t="shared" si="41"/>
        <v>0</v>
      </c>
      <c r="AR138" s="203">
        <f t="shared" si="42"/>
        <v>0</v>
      </c>
      <c r="AS138" s="203">
        <f t="shared" si="43"/>
        <v>0</v>
      </c>
      <c r="AT138" s="203">
        <f t="shared" si="44"/>
        <v>0</v>
      </c>
      <c r="AU138" s="203">
        <f t="shared" si="45"/>
        <v>0</v>
      </c>
      <c r="AV138" s="203">
        <f t="shared" si="46"/>
        <v>0</v>
      </c>
      <c r="AW138" s="466">
        <f>+AW53*$AW$87</f>
        <v>0</v>
      </c>
    </row>
    <row r="139" spans="2:49" s="133" customFormat="1" ht="14.25">
      <c r="B139" s="117" t="s">
        <v>81</v>
      </c>
      <c r="C139" s="450">
        <f aca="true" t="shared" si="84" ref="C139:AC139">+C54*C87</f>
        <v>1.484236</v>
      </c>
      <c r="D139" s="158">
        <f t="shared" si="84"/>
        <v>1.44092</v>
      </c>
      <c r="E139" s="158">
        <f t="shared" si="84"/>
        <v>1.4365</v>
      </c>
      <c r="F139" s="126">
        <f t="shared" si="84"/>
        <v>2.22536085448</v>
      </c>
      <c r="G139" s="450">
        <f t="shared" si="84"/>
        <v>2.21631184256</v>
      </c>
      <c r="H139" s="158">
        <f t="shared" si="84"/>
        <v>2.20587067496</v>
      </c>
      <c r="I139" s="158">
        <f t="shared" si="84"/>
        <v>2.14879229208</v>
      </c>
      <c r="J139" s="126">
        <f t="shared" si="84"/>
        <v>2.08614528648</v>
      </c>
      <c r="K139" s="450">
        <f t="shared" si="84"/>
        <v>2.35246214502</v>
      </c>
      <c r="L139" s="158">
        <f t="shared" si="84"/>
        <v>2.54178994329</v>
      </c>
      <c r="M139" s="158">
        <f t="shared" si="84"/>
        <v>2.47065817557</v>
      </c>
      <c r="N139" s="126">
        <f t="shared" si="84"/>
        <v>2.60759421822</v>
      </c>
      <c r="O139" s="450">
        <f t="shared" si="84"/>
        <v>2.5387380259500003</v>
      </c>
      <c r="P139" s="158">
        <f t="shared" si="84"/>
        <v>2.4182664334500004</v>
      </c>
      <c r="Q139" s="158">
        <f t="shared" si="84"/>
        <v>2.23717131705</v>
      </c>
      <c r="R139" s="126">
        <f t="shared" si="84"/>
        <v>3.20892220033</v>
      </c>
      <c r="S139" s="450">
        <f t="shared" si="84"/>
        <v>3.24000280282</v>
      </c>
      <c r="T139" s="158">
        <f t="shared" si="84"/>
        <v>3.22290215467</v>
      </c>
      <c r="U139" s="158">
        <f t="shared" si="84"/>
        <v>3.32561004</v>
      </c>
      <c r="V139" s="126">
        <f t="shared" si="84"/>
        <v>5.05554117714</v>
      </c>
      <c r="W139" s="450">
        <f t="shared" si="84"/>
        <v>6.4792202442</v>
      </c>
      <c r="X139" s="158">
        <f t="shared" si="84"/>
        <v>7.54603542</v>
      </c>
      <c r="Y139" s="158">
        <f t="shared" si="84"/>
        <v>8.247524871260001</v>
      </c>
      <c r="Z139" s="172">
        <f t="shared" si="84"/>
        <v>8.183303800140001</v>
      </c>
      <c r="AA139" s="200">
        <f t="shared" si="84"/>
        <v>7.75800663812</v>
      </c>
      <c r="AB139" s="134">
        <f t="shared" si="84"/>
        <v>7.76673003389</v>
      </c>
      <c r="AC139" s="134">
        <f t="shared" si="84"/>
        <v>7.18487427096</v>
      </c>
      <c r="AD139" s="217">
        <v>0</v>
      </c>
      <c r="AE139" s="204">
        <v>0</v>
      </c>
      <c r="AF139" s="203">
        <v>0</v>
      </c>
      <c r="AG139" s="203">
        <v>0</v>
      </c>
      <c r="AH139" s="196">
        <f>+AH54*$AH$87</f>
        <v>0</v>
      </c>
      <c r="AI139" s="202">
        <f>+AI54*$AI$87</f>
        <v>0</v>
      </c>
      <c r="AJ139" s="203">
        <f>+AJ54*$AJ$87</f>
        <v>0</v>
      </c>
      <c r="AK139" s="203">
        <f t="shared" si="35"/>
        <v>0</v>
      </c>
      <c r="AL139" s="466">
        <f t="shared" si="36"/>
        <v>0</v>
      </c>
      <c r="AM139" s="203">
        <f>+AM54*$AM$87</f>
        <v>0</v>
      </c>
      <c r="AN139" s="203">
        <f>+AN54*$AN$87</f>
        <v>0</v>
      </c>
      <c r="AO139" s="203">
        <f t="shared" si="39"/>
        <v>0</v>
      </c>
      <c r="AP139" s="203">
        <f t="shared" si="40"/>
        <v>0</v>
      </c>
      <c r="AQ139" s="203">
        <f t="shared" si="41"/>
        <v>0</v>
      </c>
      <c r="AR139" s="203">
        <f t="shared" si="42"/>
        <v>0</v>
      </c>
      <c r="AS139" s="129">
        <f t="shared" si="43"/>
        <v>0.160867224</v>
      </c>
      <c r="AT139" s="129">
        <f t="shared" si="44"/>
        <v>0.16313508899999998</v>
      </c>
      <c r="AU139" s="129">
        <f t="shared" si="45"/>
        <v>0.162429531</v>
      </c>
      <c r="AV139" s="129">
        <f t="shared" si="46"/>
        <v>0.165654939</v>
      </c>
      <c r="AW139" s="432">
        <f>+AW54*$AW$87</f>
        <v>0.059069871999999995</v>
      </c>
    </row>
    <row r="140" spans="2:49" s="29" customFormat="1" ht="7.5" customHeight="1">
      <c r="B140" s="49"/>
      <c r="C140" s="450"/>
      <c r="D140" s="145"/>
      <c r="E140" s="145"/>
      <c r="F140" s="459"/>
      <c r="G140" s="147"/>
      <c r="H140" s="145"/>
      <c r="I140" s="145"/>
      <c r="J140" s="459"/>
      <c r="K140" s="147"/>
      <c r="L140" s="145"/>
      <c r="M140" s="145"/>
      <c r="N140" s="459"/>
      <c r="O140" s="147"/>
      <c r="P140" s="145"/>
      <c r="Q140" s="145"/>
      <c r="R140" s="459"/>
      <c r="S140" s="147"/>
      <c r="T140" s="145"/>
      <c r="U140" s="145"/>
      <c r="V140" s="459"/>
      <c r="W140" s="147"/>
      <c r="X140" s="145"/>
      <c r="Y140" s="145"/>
      <c r="Z140" s="459"/>
      <c r="AA140" s="147"/>
      <c r="AB140" s="145"/>
      <c r="AC140" s="157"/>
      <c r="AD140" s="258"/>
      <c r="AE140" s="69"/>
      <c r="AF140" s="170"/>
      <c r="AG140" s="170"/>
      <c r="AH140" s="123"/>
      <c r="AI140" s="468"/>
      <c r="AJ140" s="170"/>
      <c r="AK140" s="170"/>
      <c r="AL140" s="123"/>
      <c r="AM140" s="170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258"/>
    </row>
    <row r="141" spans="2:49" s="29" customFormat="1" ht="15.75">
      <c r="B141" s="85" t="s">
        <v>69</v>
      </c>
      <c r="C141" s="148">
        <f>+C142</f>
        <v>1247.7312803395603</v>
      </c>
      <c r="D141" s="144">
        <f aca="true" t="shared" si="85" ref="D141:Y141">+D142</f>
        <v>1221.1378743956</v>
      </c>
      <c r="E141" s="144">
        <f t="shared" si="85"/>
        <v>1165.3327198174998</v>
      </c>
      <c r="F141" s="121">
        <f t="shared" si="85"/>
        <v>1137.5068467910999</v>
      </c>
      <c r="G141" s="148">
        <f t="shared" si="85"/>
        <v>1099.83141103776</v>
      </c>
      <c r="H141" s="144">
        <f t="shared" si="85"/>
        <v>1071.3618551135498</v>
      </c>
      <c r="I141" s="144">
        <f t="shared" si="85"/>
        <v>1034.23936452732</v>
      </c>
      <c r="J141" s="121">
        <f t="shared" si="85"/>
        <v>1012.2797925843299</v>
      </c>
      <c r="K141" s="148">
        <f t="shared" si="85"/>
        <v>937.4732002193199</v>
      </c>
      <c r="L141" s="144">
        <f t="shared" si="85"/>
        <v>985.0342092560401</v>
      </c>
      <c r="M141" s="144">
        <f t="shared" si="85"/>
        <v>947.2743854437499</v>
      </c>
      <c r="N141" s="121">
        <f t="shared" si="85"/>
        <v>1061.4488343677</v>
      </c>
      <c r="O141" s="148">
        <f t="shared" si="85"/>
        <v>1000.32659140309</v>
      </c>
      <c r="P141" s="144">
        <f t="shared" si="85"/>
        <v>965.38312746015</v>
      </c>
      <c r="Q141" s="144">
        <f t="shared" si="85"/>
        <v>911.2583445011501</v>
      </c>
      <c r="R141" s="121">
        <f t="shared" si="85"/>
        <v>896.31037881574</v>
      </c>
      <c r="S141" s="148">
        <f t="shared" si="85"/>
        <v>836.5809898112801</v>
      </c>
      <c r="T141" s="144">
        <f t="shared" si="85"/>
        <v>843.5649926669901</v>
      </c>
      <c r="U141" s="144">
        <f t="shared" si="85"/>
        <v>817.7210214451999</v>
      </c>
      <c r="V141" s="121">
        <f t="shared" si="85"/>
        <v>826.9982439067101</v>
      </c>
      <c r="W141" s="148">
        <f t="shared" si="85"/>
        <v>780.4105753950001</v>
      </c>
      <c r="X141" s="144">
        <f t="shared" si="85"/>
        <v>772.8409542975</v>
      </c>
      <c r="Y141" s="144">
        <f t="shared" si="85"/>
        <v>750.2786081232399</v>
      </c>
      <c r="Z141" s="121">
        <f>+Z142</f>
        <v>721.3338777094199</v>
      </c>
      <c r="AA141" s="148">
        <f>+AA142</f>
        <v>655.9895001680001</v>
      </c>
      <c r="AB141" s="144">
        <f>+AB142</f>
        <v>666.71473046967</v>
      </c>
      <c r="AC141" s="144">
        <f>+AC142</f>
        <v>618.72597069174</v>
      </c>
      <c r="AD141" s="214">
        <f>+AD142</f>
        <v>584.0243936093101</v>
      </c>
      <c r="AE141" s="87">
        <f aca="true" t="shared" si="86" ref="AE141:AW141">+AE142</f>
        <v>605.1209812548122</v>
      </c>
      <c r="AF141" s="121">
        <f t="shared" si="86"/>
        <v>634.40191836164</v>
      </c>
      <c r="AG141" s="121">
        <f t="shared" si="86"/>
        <v>598.73742407778</v>
      </c>
      <c r="AH141" s="185">
        <f t="shared" si="86"/>
        <v>576.2390529923998</v>
      </c>
      <c r="AI141" s="438">
        <f t="shared" si="86"/>
        <v>602.3140853983901</v>
      </c>
      <c r="AJ141" s="121">
        <f t="shared" si="86"/>
        <v>595.59098184552</v>
      </c>
      <c r="AK141" s="121">
        <f t="shared" si="86"/>
        <v>556.0807642794</v>
      </c>
      <c r="AL141" s="185">
        <f t="shared" si="86"/>
        <v>570.42813455047</v>
      </c>
      <c r="AM141" s="121">
        <f t="shared" si="86"/>
        <v>161.51432349447998</v>
      </c>
      <c r="AN141" s="121">
        <f t="shared" si="86"/>
        <v>161.92456942235</v>
      </c>
      <c r="AO141" s="121">
        <f t="shared" si="86"/>
        <v>161.94674490164</v>
      </c>
      <c r="AP141" s="121">
        <f t="shared" si="86"/>
        <v>176.48394635908</v>
      </c>
      <c r="AQ141" s="121">
        <f t="shared" si="86"/>
        <v>172.4562355601</v>
      </c>
      <c r="AR141" s="121">
        <f t="shared" si="86"/>
        <v>177.37250823346997</v>
      </c>
      <c r="AS141" s="121">
        <f t="shared" si="86"/>
        <v>177.59464872575998</v>
      </c>
      <c r="AT141" s="121">
        <f t="shared" si="86"/>
        <v>182.92102681983002</v>
      </c>
      <c r="AU141" s="121">
        <f t="shared" si="86"/>
        <v>182.68179863647998</v>
      </c>
      <c r="AV141" s="121">
        <f t="shared" si="86"/>
        <v>188.33284363162</v>
      </c>
      <c r="AW141" s="214">
        <f t="shared" si="86"/>
        <v>243.02488110048003</v>
      </c>
    </row>
    <row r="142" spans="2:49" s="29" customFormat="1" ht="14.25">
      <c r="B142" s="74" t="s">
        <v>41</v>
      </c>
      <c r="C142" s="146">
        <f aca="true" t="shared" si="87" ref="C142:Y142">+C57*C87</f>
        <v>1247.7312803395603</v>
      </c>
      <c r="D142" s="96">
        <f t="shared" si="87"/>
        <v>1221.1378743956</v>
      </c>
      <c r="E142" s="96">
        <f t="shared" si="87"/>
        <v>1165.3327198174998</v>
      </c>
      <c r="F142" s="129">
        <f t="shared" si="87"/>
        <v>1137.5068467910999</v>
      </c>
      <c r="G142" s="146">
        <f t="shared" si="87"/>
        <v>1099.83141103776</v>
      </c>
      <c r="H142" s="96">
        <f t="shared" si="87"/>
        <v>1071.3618551135498</v>
      </c>
      <c r="I142" s="96">
        <f t="shared" si="87"/>
        <v>1034.23936452732</v>
      </c>
      <c r="J142" s="129">
        <f t="shared" si="87"/>
        <v>1012.2797925843299</v>
      </c>
      <c r="K142" s="146">
        <f t="shared" si="87"/>
        <v>937.4732002193199</v>
      </c>
      <c r="L142" s="96">
        <f t="shared" si="87"/>
        <v>985.0342092560401</v>
      </c>
      <c r="M142" s="96">
        <f t="shared" si="87"/>
        <v>947.2743854437499</v>
      </c>
      <c r="N142" s="129">
        <f t="shared" si="87"/>
        <v>1061.4488343677</v>
      </c>
      <c r="O142" s="146">
        <f t="shared" si="87"/>
        <v>1000.32659140309</v>
      </c>
      <c r="P142" s="96">
        <f t="shared" si="87"/>
        <v>965.38312746015</v>
      </c>
      <c r="Q142" s="96">
        <f t="shared" si="87"/>
        <v>911.2583445011501</v>
      </c>
      <c r="R142" s="129">
        <f t="shared" si="87"/>
        <v>896.31037881574</v>
      </c>
      <c r="S142" s="146">
        <f t="shared" si="87"/>
        <v>836.5809898112801</v>
      </c>
      <c r="T142" s="96">
        <f t="shared" si="87"/>
        <v>843.5649926669901</v>
      </c>
      <c r="U142" s="96">
        <f t="shared" si="87"/>
        <v>817.7210214451999</v>
      </c>
      <c r="V142" s="129">
        <f t="shared" si="87"/>
        <v>826.9982439067101</v>
      </c>
      <c r="W142" s="146">
        <f t="shared" si="87"/>
        <v>780.4105753950001</v>
      </c>
      <c r="X142" s="96">
        <f t="shared" si="87"/>
        <v>772.8409542975</v>
      </c>
      <c r="Y142" s="96">
        <f t="shared" si="87"/>
        <v>750.2786081232399</v>
      </c>
      <c r="Z142" s="129">
        <f>+Z57*$Z$87</f>
        <v>721.3338777094199</v>
      </c>
      <c r="AA142" s="149">
        <f>+AA57*$AA$87</f>
        <v>655.9895001680001</v>
      </c>
      <c r="AB142" s="96">
        <f>+AB57*$AB$87</f>
        <v>666.71473046967</v>
      </c>
      <c r="AC142" s="96">
        <f>+AC57*$AC$87</f>
        <v>618.72597069174</v>
      </c>
      <c r="AD142" s="432">
        <f>+AD57*$AD$87</f>
        <v>584.0243936093101</v>
      </c>
      <c r="AE142" s="71">
        <f>+AE57/AE87</f>
        <v>605.1209812548122</v>
      </c>
      <c r="AF142" s="125">
        <f>+AF57*$AF$87</f>
        <v>634.40191836164</v>
      </c>
      <c r="AG142" s="125">
        <f>+AG57*$AG$87</f>
        <v>598.73742407778</v>
      </c>
      <c r="AH142" s="126">
        <f>+AH57*$AH$87</f>
        <v>576.2390529923998</v>
      </c>
      <c r="AI142" s="433">
        <f>+AI57*$AI$87</f>
        <v>602.3140853983901</v>
      </c>
      <c r="AJ142" s="125">
        <f>+AJ57*$AJ$87</f>
        <v>595.59098184552</v>
      </c>
      <c r="AK142" s="125">
        <f>+AK57*$AK$87</f>
        <v>556.0807642794</v>
      </c>
      <c r="AL142" s="126">
        <f>+AL57*$AL$87</f>
        <v>570.42813455047</v>
      </c>
      <c r="AM142" s="125">
        <f>+AM57*$AM$87</f>
        <v>161.51432349447998</v>
      </c>
      <c r="AN142" s="125">
        <f>+AN57*$AN$87</f>
        <v>161.92456942235</v>
      </c>
      <c r="AO142" s="125">
        <f>+AO57*$AO$87</f>
        <v>161.94674490164</v>
      </c>
      <c r="AP142" s="125">
        <f>+AP57*$AP$87</f>
        <v>176.48394635908</v>
      </c>
      <c r="AQ142" s="125">
        <f>+AQ57*$AQ$87</f>
        <v>172.4562355601</v>
      </c>
      <c r="AR142" s="125">
        <f>+AR57*$AR$87</f>
        <v>177.37250823346997</v>
      </c>
      <c r="AS142" s="125">
        <f>+AS57*$AS$87</f>
        <v>177.59464872575998</v>
      </c>
      <c r="AT142" s="125">
        <f>+AT57*$AT$87</f>
        <v>182.92102681983002</v>
      </c>
      <c r="AU142" s="125">
        <f>+AU57*$AU$87</f>
        <v>182.68179863647998</v>
      </c>
      <c r="AV142" s="125">
        <f>+AV57*$AV$87</f>
        <v>188.33284363162</v>
      </c>
      <c r="AW142" s="257">
        <f>+AW57*$AW$87</f>
        <v>243.02488110048003</v>
      </c>
    </row>
    <row r="143" spans="2:49" s="29" customFormat="1" ht="17.25" customHeight="1">
      <c r="B143" s="49"/>
      <c r="C143" s="147"/>
      <c r="D143" s="145"/>
      <c r="E143" s="145"/>
      <c r="F143" s="459"/>
      <c r="G143" s="147"/>
      <c r="H143" s="145"/>
      <c r="I143" s="145"/>
      <c r="J143" s="459"/>
      <c r="K143" s="147"/>
      <c r="L143" s="145"/>
      <c r="M143" s="145"/>
      <c r="N143" s="459"/>
      <c r="O143" s="147"/>
      <c r="P143" s="145"/>
      <c r="Q143" s="145"/>
      <c r="R143" s="459"/>
      <c r="S143" s="147"/>
      <c r="T143" s="145"/>
      <c r="U143" s="145"/>
      <c r="V143" s="459"/>
      <c r="W143" s="147"/>
      <c r="X143" s="145"/>
      <c r="Y143" s="145"/>
      <c r="Z143" s="459"/>
      <c r="AA143" s="147"/>
      <c r="AB143" s="145"/>
      <c r="AC143" s="158"/>
      <c r="AD143" s="467"/>
      <c r="AE143" s="71"/>
      <c r="AF143" s="125"/>
      <c r="AG143" s="125"/>
      <c r="AH143" s="126"/>
      <c r="AI143" s="433"/>
      <c r="AJ143" s="125"/>
      <c r="AK143" s="125"/>
      <c r="AL143" s="126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257"/>
    </row>
    <row r="144" spans="2:49" s="29" customFormat="1" ht="16.5">
      <c r="B144" s="221" t="s">
        <v>90</v>
      </c>
      <c r="C144" s="181">
        <f aca="true" t="shared" si="88" ref="C144:AS144">+C160+C146</f>
        <v>0</v>
      </c>
      <c r="D144" s="204">
        <f t="shared" si="88"/>
        <v>0</v>
      </c>
      <c r="E144" s="204">
        <f t="shared" si="88"/>
        <v>0</v>
      </c>
      <c r="F144" s="203">
        <f t="shared" si="88"/>
        <v>0</v>
      </c>
      <c r="G144" s="181">
        <f t="shared" si="88"/>
        <v>0</v>
      </c>
      <c r="H144" s="204">
        <f t="shared" si="88"/>
        <v>0</v>
      </c>
      <c r="I144" s="204">
        <f t="shared" si="88"/>
        <v>0</v>
      </c>
      <c r="J144" s="203">
        <f t="shared" si="88"/>
        <v>0</v>
      </c>
      <c r="K144" s="181">
        <f t="shared" si="88"/>
        <v>0</v>
      </c>
      <c r="L144" s="204">
        <f t="shared" si="88"/>
        <v>0</v>
      </c>
      <c r="M144" s="204">
        <f t="shared" si="88"/>
        <v>0</v>
      </c>
      <c r="N144" s="203">
        <f t="shared" si="88"/>
        <v>0</v>
      </c>
      <c r="O144" s="181">
        <f t="shared" si="88"/>
        <v>0</v>
      </c>
      <c r="P144" s="204">
        <f t="shared" si="88"/>
        <v>0</v>
      </c>
      <c r="Q144" s="204">
        <f t="shared" si="88"/>
        <v>0</v>
      </c>
      <c r="R144" s="203">
        <f t="shared" si="88"/>
        <v>0</v>
      </c>
      <c r="S144" s="181">
        <f t="shared" si="88"/>
        <v>0</v>
      </c>
      <c r="T144" s="204">
        <f t="shared" si="88"/>
        <v>0</v>
      </c>
      <c r="U144" s="204">
        <f t="shared" si="88"/>
        <v>0</v>
      </c>
      <c r="V144" s="203">
        <f t="shared" si="88"/>
        <v>0</v>
      </c>
      <c r="W144" s="181">
        <f t="shared" si="88"/>
        <v>0</v>
      </c>
      <c r="X144" s="204">
        <f t="shared" si="88"/>
        <v>0</v>
      </c>
      <c r="Y144" s="77">
        <f t="shared" si="88"/>
        <v>30.54699544745</v>
      </c>
      <c r="Z144" s="431">
        <f t="shared" si="88"/>
        <v>30.546995445660002</v>
      </c>
      <c r="AA144" s="430">
        <f t="shared" si="88"/>
        <v>45.16558670760001</v>
      </c>
      <c r="AB144" s="76">
        <f t="shared" si="88"/>
        <v>1664.1278990810504</v>
      </c>
      <c r="AC144" s="76">
        <f t="shared" si="88"/>
        <v>1697.25960440254</v>
      </c>
      <c r="AD144" s="431">
        <f t="shared" si="88"/>
        <v>1788.5255109046</v>
      </c>
      <c r="AE144" s="430">
        <f t="shared" si="88"/>
        <v>1760.0905256578687</v>
      </c>
      <c r="AF144" s="77">
        <f t="shared" si="88"/>
        <v>1746.90162647406</v>
      </c>
      <c r="AG144" s="77">
        <f t="shared" si="88"/>
        <v>1752.30478298094</v>
      </c>
      <c r="AH144" s="431">
        <f t="shared" si="88"/>
        <v>1732.49107230396</v>
      </c>
      <c r="AI144" s="439">
        <f t="shared" si="88"/>
        <v>1727.0574076351</v>
      </c>
      <c r="AJ144" s="77">
        <f t="shared" si="88"/>
        <v>1720.0604952261197</v>
      </c>
      <c r="AK144" s="77">
        <f t="shared" si="88"/>
        <v>1712.0788209995999</v>
      </c>
      <c r="AL144" s="431">
        <f t="shared" si="88"/>
        <v>1728.5368585706701</v>
      </c>
      <c r="AM144" s="77">
        <f t="shared" si="88"/>
        <v>1809.70867807656</v>
      </c>
      <c r="AN144" s="77">
        <f t="shared" si="88"/>
        <v>1814.2364356342</v>
      </c>
      <c r="AO144" s="77">
        <f t="shared" si="88"/>
        <v>1778.4450259068299</v>
      </c>
      <c r="AP144" s="77">
        <f t="shared" si="88"/>
        <v>1879.93088176839</v>
      </c>
      <c r="AQ144" s="77">
        <f t="shared" si="88"/>
        <v>1894.0856063981996</v>
      </c>
      <c r="AR144" s="77">
        <f t="shared" si="88"/>
        <v>1787.6444551771297</v>
      </c>
      <c r="AS144" s="77">
        <f t="shared" si="88"/>
        <v>1755.8575520102404</v>
      </c>
      <c r="AT144" s="77">
        <f>+AT160+AT146</f>
        <v>1792.5305344584299</v>
      </c>
      <c r="AU144" s="77">
        <f>+AU160+AU146</f>
        <v>1769.1234004905994</v>
      </c>
      <c r="AV144" s="77">
        <f>+AV160+AV146</f>
        <v>1777.53267230106</v>
      </c>
      <c r="AW144" s="431">
        <f>+AW160+AW146</f>
        <v>1819.1446658687996</v>
      </c>
    </row>
    <row r="145" spans="2:49" s="29" customFormat="1" ht="8.25" customHeight="1">
      <c r="B145" s="50"/>
      <c r="C145" s="426"/>
      <c r="D145" s="397"/>
      <c r="E145" s="154"/>
      <c r="F145" s="492"/>
      <c r="G145" s="426"/>
      <c r="H145" s="397"/>
      <c r="I145" s="154"/>
      <c r="J145" s="492"/>
      <c r="K145" s="426"/>
      <c r="L145" s="397"/>
      <c r="M145" s="154"/>
      <c r="N145" s="492"/>
      <c r="O145" s="426"/>
      <c r="P145" s="397"/>
      <c r="Q145" s="154"/>
      <c r="R145" s="492"/>
      <c r="S145" s="426"/>
      <c r="T145" s="397"/>
      <c r="U145" s="154"/>
      <c r="V145" s="492"/>
      <c r="W145" s="181"/>
      <c r="X145" s="204"/>
      <c r="Y145" s="154"/>
      <c r="Z145" s="492"/>
      <c r="AA145" s="151"/>
      <c r="AB145" s="557"/>
      <c r="AC145" s="76"/>
      <c r="AD145" s="119"/>
      <c r="AE145" s="76"/>
      <c r="AF145" s="77"/>
      <c r="AG145" s="77"/>
      <c r="AH145" s="119"/>
      <c r="AI145" s="439"/>
      <c r="AJ145" s="77"/>
      <c r="AK145" s="77"/>
      <c r="AL145" s="119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431"/>
    </row>
    <row r="146" spans="2:49" s="29" customFormat="1" ht="15.75">
      <c r="B146" s="85" t="s">
        <v>125</v>
      </c>
      <c r="C146" s="181">
        <f aca="true" t="shared" si="89" ref="C146:Z146">SUM(C147:C153)</f>
        <v>0</v>
      </c>
      <c r="D146" s="204">
        <f t="shared" si="89"/>
        <v>0</v>
      </c>
      <c r="E146" s="204">
        <f t="shared" si="89"/>
        <v>0</v>
      </c>
      <c r="F146" s="203">
        <f t="shared" si="89"/>
        <v>0</v>
      </c>
      <c r="G146" s="181">
        <f t="shared" si="89"/>
        <v>0</v>
      </c>
      <c r="H146" s="204">
        <f t="shared" si="89"/>
        <v>0</v>
      </c>
      <c r="I146" s="204">
        <f t="shared" si="89"/>
        <v>0</v>
      </c>
      <c r="J146" s="203">
        <f t="shared" si="89"/>
        <v>0</v>
      </c>
      <c r="K146" s="181">
        <f t="shared" si="89"/>
        <v>0</v>
      </c>
      <c r="L146" s="204">
        <f t="shared" si="89"/>
        <v>0</v>
      </c>
      <c r="M146" s="204">
        <f t="shared" si="89"/>
        <v>0</v>
      </c>
      <c r="N146" s="203">
        <f t="shared" si="89"/>
        <v>0</v>
      </c>
      <c r="O146" s="181">
        <f t="shared" si="89"/>
        <v>0</v>
      </c>
      <c r="P146" s="204">
        <f t="shared" si="89"/>
        <v>0</v>
      </c>
      <c r="Q146" s="204">
        <f t="shared" si="89"/>
        <v>0</v>
      </c>
      <c r="R146" s="203">
        <f t="shared" si="89"/>
        <v>0</v>
      </c>
      <c r="S146" s="181">
        <f t="shared" si="89"/>
        <v>0</v>
      </c>
      <c r="T146" s="204">
        <f t="shared" si="89"/>
        <v>0</v>
      </c>
      <c r="U146" s="204">
        <f t="shared" si="89"/>
        <v>0</v>
      </c>
      <c r="V146" s="203">
        <f t="shared" si="89"/>
        <v>0</v>
      </c>
      <c r="W146" s="181">
        <f t="shared" si="89"/>
        <v>0</v>
      </c>
      <c r="X146" s="204">
        <f t="shared" si="89"/>
        <v>0</v>
      </c>
      <c r="Y146" s="204">
        <f t="shared" si="89"/>
        <v>0</v>
      </c>
      <c r="Z146" s="203">
        <f t="shared" si="89"/>
        <v>0</v>
      </c>
      <c r="AA146" s="181">
        <f aca="true" t="shared" si="90" ref="AA146:AL146">SUM(AA147:AA154)</f>
        <v>0</v>
      </c>
      <c r="AB146" s="550">
        <f t="shared" si="90"/>
        <v>1572.8486574900003</v>
      </c>
      <c r="AC146" s="550">
        <f t="shared" si="90"/>
        <v>1581.40849015</v>
      </c>
      <c r="AD146" s="511">
        <f t="shared" si="90"/>
        <v>1610.83301766</v>
      </c>
      <c r="AE146" s="551">
        <f t="shared" si="90"/>
        <v>1578.69864486</v>
      </c>
      <c r="AF146" s="445">
        <f t="shared" si="90"/>
        <v>1545.03762645</v>
      </c>
      <c r="AG146" s="445">
        <f t="shared" si="90"/>
        <v>1551.57564544708</v>
      </c>
      <c r="AH146" s="511">
        <f t="shared" si="90"/>
        <v>1531.761934824</v>
      </c>
      <c r="AI146" s="512">
        <f t="shared" si="90"/>
        <v>1528.27366663253</v>
      </c>
      <c r="AJ146" s="445">
        <f t="shared" si="90"/>
        <v>1521.2767542364397</v>
      </c>
      <c r="AK146" s="445">
        <f t="shared" si="90"/>
        <v>1521.5867094924</v>
      </c>
      <c r="AL146" s="511">
        <f t="shared" si="90"/>
        <v>1546.3363766036703</v>
      </c>
      <c r="AM146" s="445">
        <f>SUM(AM147:AM153)</f>
        <v>1627.5081960699401</v>
      </c>
      <c r="AN146" s="445">
        <f>SUM(AN147:AN153)</f>
        <v>1629.8314350421501</v>
      </c>
      <c r="AO146" s="445">
        <f>SUM(AO147:AO155)</f>
        <v>1596.24454391142</v>
      </c>
      <c r="AP146" s="445">
        <f>SUM(AP147:AP153)</f>
        <v>1697.73039979151</v>
      </c>
      <c r="AQ146" s="445">
        <f>SUM(AQ147:AQ153)</f>
        <v>1711.8851243564995</v>
      </c>
      <c r="AR146" s="445">
        <f>SUM(AR147:AR155)</f>
        <v>1605.4439731625896</v>
      </c>
      <c r="AS146" s="445">
        <f>SUM(AS147:AS155)</f>
        <v>1581.9486994920005</v>
      </c>
      <c r="AT146" s="445">
        <f>SUM(AT147:AT155)</f>
        <v>1618.62168196989</v>
      </c>
      <c r="AU146" s="445">
        <f>SUM(AU147:AU156)</f>
        <v>1595.2145480030094</v>
      </c>
      <c r="AV146" s="445">
        <f>SUM(AV147:AV158)</f>
        <v>1603.6238198164501</v>
      </c>
      <c r="AW146" s="511">
        <f>SUM(AW147:AW158)</f>
        <v>1645.2358133793596</v>
      </c>
    </row>
    <row r="147" spans="2:49" s="29" customFormat="1" ht="14.25">
      <c r="B147" s="74" t="s">
        <v>129</v>
      </c>
      <c r="C147" s="181">
        <f aca="true" t="shared" si="91" ref="C147:AD147">+C62*C87</f>
        <v>0</v>
      </c>
      <c r="D147" s="204">
        <f t="shared" si="91"/>
        <v>0</v>
      </c>
      <c r="E147" s="204">
        <f t="shared" si="91"/>
        <v>0</v>
      </c>
      <c r="F147" s="203">
        <f t="shared" si="91"/>
        <v>0</v>
      </c>
      <c r="G147" s="181">
        <f t="shared" si="91"/>
        <v>0</v>
      </c>
      <c r="H147" s="204">
        <f t="shared" si="91"/>
        <v>0</v>
      </c>
      <c r="I147" s="204">
        <f t="shared" si="91"/>
        <v>0</v>
      </c>
      <c r="J147" s="203">
        <f t="shared" si="91"/>
        <v>0</v>
      </c>
      <c r="K147" s="181">
        <f t="shared" si="91"/>
        <v>0</v>
      </c>
      <c r="L147" s="204">
        <f t="shared" si="91"/>
        <v>0</v>
      </c>
      <c r="M147" s="204">
        <f t="shared" si="91"/>
        <v>0</v>
      </c>
      <c r="N147" s="203">
        <f t="shared" si="91"/>
        <v>0</v>
      </c>
      <c r="O147" s="181">
        <f t="shared" si="91"/>
        <v>0</v>
      </c>
      <c r="P147" s="204">
        <f t="shared" si="91"/>
        <v>0</v>
      </c>
      <c r="Q147" s="204">
        <f t="shared" si="91"/>
        <v>0</v>
      </c>
      <c r="R147" s="203">
        <f t="shared" si="91"/>
        <v>0</v>
      </c>
      <c r="S147" s="181">
        <f t="shared" si="91"/>
        <v>0</v>
      </c>
      <c r="T147" s="204">
        <f t="shared" si="91"/>
        <v>0</v>
      </c>
      <c r="U147" s="204">
        <f t="shared" si="91"/>
        <v>0</v>
      </c>
      <c r="V147" s="203">
        <f t="shared" si="91"/>
        <v>0</v>
      </c>
      <c r="W147" s="181">
        <f t="shared" si="91"/>
        <v>0</v>
      </c>
      <c r="X147" s="204">
        <f t="shared" si="91"/>
        <v>0</v>
      </c>
      <c r="Y147" s="204">
        <f t="shared" si="91"/>
        <v>0</v>
      </c>
      <c r="Z147" s="203">
        <f t="shared" si="91"/>
        <v>0</v>
      </c>
      <c r="AA147" s="181">
        <f t="shared" si="91"/>
        <v>0</v>
      </c>
      <c r="AB147" s="70">
        <f t="shared" si="91"/>
        <v>1386.5921382300003</v>
      </c>
      <c r="AC147" s="70">
        <f t="shared" si="91"/>
        <v>1383.9430865</v>
      </c>
      <c r="AD147" s="129">
        <f t="shared" si="91"/>
        <v>1402.12419616</v>
      </c>
      <c r="AE147" s="149">
        <f>+AE62/AE87</f>
        <v>1364.99816805</v>
      </c>
      <c r="AF147" s="129">
        <f aca="true" t="shared" si="92" ref="AF147:AV147">+AF62*AF87</f>
        <v>1327.20905598</v>
      </c>
      <c r="AG147" s="129">
        <f t="shared" si="92"/>
        <v>1297.4962285</v>
      </c>
      <c r="AH147" s="129">
        <f t="shared" si="92"/>
        <v>1263.9951432</v>
      </c>
      <c r="AI147" s="440">
        <f t="shared" si="92"/>
        <v>1245.2486099199998</v>
      </c>
      <c r="AJ147" s="129">
        <f t="shared" si="92"/>
        <v>1223.0344523699998</v>
      </c>
      <c r="AK147" s="129">
        <f t="shared" si="92"/>
        <v>1208.5378781</v>
      </c>
      <c r="AL147" s="432">
        <f t="shared" si="92"/>
        <v>1182.91762144</v>
      </c>
      <c r="AM147" s="440">
        <f t="shared" si="92"/>
        <v>1287.0168660600002</v>
      </c>
      <c r="AN147" s="129">
        <f t="shared" si="92"/>
        <v>1287.6539420364502</v>
      </c>
      <c r="AO147" s="129">
        <f t="shared" si="92"/>
        <v>1256.13996419246</v>
      </c>
      <c r="AP147" s="129">
        <f t="shared" si="92"/>
        <v>1338.00709521876</v>
      </c>
      <c r="AQ147" s="129">
        <f t="shared" si="92"/>
        <v>1345.1981011578798</v>
      </c>
      <c r="AR147" s="129">
        <f t="shared" si="92"/>
        <v>1307.60647952495</v>
      </c>
      <c r="AS147" s="129">
        <f t="shared" si="92"/>
        <v>1307.0845671811203</v>
      </c>
      <c r="AT147" s="129">
        <f t="shared" si="92"/>
        <v>1305.4334095315498</v>
      </c>
      <c r="AU147" s="129">
        <f t="shared" si="92"/>
        <v>1270.0550594404197</v>
      </c>
      <c r="AV147" s="129">
        <f t="shared" si="92"/>
        <v>1267.57260807479</v>
      </c>
      <c r="AW147" s="432">
        <f>+AW62*AW87</f>
        <v>1267.6870699457597</v>
      </c>
    </row>
    <row r="148" spans="2:49" s="29" customFormat="1" ht="14.25">
      <c r="B148" s="74" t="s">
        <v>130</v>
      </c>
      <c r="C148" s="181">
        <f aca="true" t="shared" si="93" ref="C148:AD148">+C63*C87</f>
        <v>0</v>
      </c>
      <c r="D148" s="204">
        <f t="shared" si="93"/>
        <v>0</v>
      </c>
      <c r="E148" s="204">
        <f t="shared" si="93"/>
        <v>0</v>
      </c>
      <c r="F148" s="203">
        <f t="shared" si="93"/>
        <v>0</v>
      </c>
      <c r="G148" s="181">
        <f t="shared" si="93"/>
        <v>0</v>
      </c>
      <c r="H148" s="204">
        <f t="shared" si="93"/>
        <v>0</v>
      </c>
      <c r="I148" s="204">
        <f t="shared" si="93"/>
        <v>0</v>
      </c>
      <c r="J148" s="203">
        <f t="shared" si="93"/>
        <v>0</v>
      </c>
      <c r="K148" s="181">
        <f t="shared" si="93"/>
        <v>0</v>
      </c>
      <c r="L148" s="204">
        <f t="shared" si="93"/>
        <v>0</v>
      </c>
      <c r="M148" s="204">
        <f t="shared" si="93"/>
        <v>0</v>
      </c>
      <c r="N148" s="203">
        <f t="shared" si="93"/>
        <v>0</v>
      </c>
      <c r="O148" s="181">
        <f t="shared" si="93"/>
        <v>0</v>
      </c>
      <c r="P148" s="204">
        <f t="shared" si="93"/>
        <v>0</v>
      </c>
      <c r="Q148" s="204">
        <f t="shared" si="93"/>
        <v>0</v>
      </c>
      <c r="R148" s="203">
        <f t="shared" si="93"/>
        <v>0</v>
      </c>
      <c r="S148" s="181">
        <f t="shared" si="93"/>
        <v>0</v>
      </c>
      <c r="T148" s="204">
        <f t="shared" si="93"/>
        <v>0</v>
      </c>
      <c r="U148" s="204">
        <f t="shared" si="93"/>
        <v>0</v>
      </c>
      <c r="V148" s="203">
        <f t="shared" si="93"/>
        <v>0</v>
      </c>
      <c r="W148" s="181">
        <f t="shared" si="93"/>
        <v>0</v>
      </c>
      <c r="X148" s="204">
        <f t="shared" si="93"/>
        <v>0</v>
      </c>
      <c r="Y148" s="204">
        <f t="shared" si="93"/>
        <v>0</v>
      </c>
      <c r="Z148" s="203">
        <f t="shared" si="93"/>
        <v>0</v>
      </c>
      <c r="AA148" s="181">
        <f t="shared" si="93"/>
        <v>0</v>
      </c>
      <c r="AB148" s="70">
        <f t="shared" si="93"/>
        <v>186.25651925999998</v>
      </c>
      <c r="AC148" s="70">
        <f t="shared" si="93"/>
        <v>197.46540364999998</v>
      </c>
      <c r="AD148" s="129">
        <f t="shared" si="93"/>
        <v>208.70882149999997</v>
      </c>
      <c r="AE148" s="149">
        <f>+AE63/AE87</f>
        <v>213.70047680999994</v>
      </c>
      <c r="AF148" s="129">
        <f aca="true" t="shared" si="94" ref="AF148:AV148">+AF63*AF87</f>
        <v>214.42857047</v>
      </c>
      <c r="AG148" s="129">
        <f t="shared" si="94"/>
        <v>249.88694494</v>
      </c>
      <c r="AH148" s="129">
        <f t="shared" si="94"/>
        <v>251.86103864</v>
      </c>
      <c r="AI148" s="440">
        <f t="shared" si="94"/>
        <v>258.08736787</v>
      </c>
      <c r="AJ148" s="129">
        <f t="shared" si="94"/>
        <v>242.59711683999998</v>
      </c>
      <c r="AK148" s="129">
        <f t="shared" si="94"/>
        <v>217.65451506000002</v>
      </c>
      <c r="AL148" s="432">
        <f t="shared" si="94"/>
        <v>202.16426403000003</v>
      </c>
      <c r="AM148" s="440">
        <f t="shared" si="94"/>
        <v>177.22166225</v>
      </c>
      <c r="AN148" s="129">
        <f t="shared" si="94"/>
        <v>177.22166226095</v>
      </c>
      <c r="AO148" s="129">
        <f t="shared" si="94"/>
        <v>177.22166222939</v>
      </c>
      <c r="AP148" s="129">
        <f t="shared" si="94"/>
        <v>177.22166222650998</v>
      </c>
      <c r="AQ148" s="129">
        <f t="shared" si="94"/>
        <v>177.22166223393998</v>
      </c>
      <c r="AR148" s="129">
        <f t="shared" si="94"/>
        <v>99.77040711868999</v>
      </c>
      <c r="AS148" s="129">
        <f t="shared" si="94"/>
        <v>74.82780532080001</v>
      </c>
      <c r="AT148" s="129">
        <f t="shared" si="94"/>
        <v>74.82780531564</v>
      </c>
      <c r="AU148" s="129">
        <f t="shared" si="94"/>
        <v>74.82780531644</v>
      </c>
      <c r="AV148" s="129">
        <f t="shared" si="94"/>
        <v>74.82780533390999</v>
      </c>
      <c r="AW148" s="432">
        <f>+AW63*AW87</f>
        <v>74.82780532928</v>
      </c>
    </row>
    <row r="149" spans="2:49" s="29" customFormat="1" ht="14.25">
      <c r="B149" s="74" t="s">
        <v>131</v>
      </c>
      <c r="C149" s="181">
        <f aca="true" t="shared" si="95" ref="C149:AD149">+C64*C87</f>
        <v>0</v>
      </c>
      <c r="D149" s="204">
        <f t="shared" si="95"/>
        <v>0</v>
      </c>
      <c r="E149" s="204">
        <f t="shared" si="95"/>
        <v>0</v>
      </c>
      <c r="F149" s="203">
        <f t="shared" si="95"/>
        <v>0</v>
      </c>
      <c r="G149" s="181">
        <f t="shared" si="95"/>
        <v>0</v>
      </c>
      <c r="H149" s="204">
        <f t="shared" si="95"/>
        <v>0</v>
      </c>
      <c r="I149" s="204">
        <f t="shared" si="95"/>
        <v>0</v>
      </c>
      <c r="J149" s="203">
        <f t="shared" si="95"/>
        <v>0</v>
      </c>
      <c r="K149" s="181">
        <f t="shared" si="95"/>
        <v>0</v>
      </c>
      <c r="L149" s="204">
        <f t="shared" si="95"/>
        <v>0</v>
      </c>
      <c r="M149" s="204">
        <f t="shared" si="95"/>
        <v>0</v>
      </c>
      <c r="N149" s="203">
        <f t="shared" si="95"/>
        <v>0</v>
      </c>
      <c r="O149" s="181">
        <f t="shared" si="95"/>
        <v>0</v>
      </c>
      <c r="P149" s="204">
        <f t="shared" si="95"/>
        <v>0</v>
      </c>
      <c r="Q149" s="204">
        <f t="shared" si="95"/>
        <v>0</v>
      </c>
      <c r="R149" s="203">
        <f t="shared" si="95"/>
        <v>0</v>
      </c>
      <c r="S149" s="181">
        <f t="shared" si="95"/>
        <v>0</v>
      </c>
      <c r="T149" s="204">
        <f t="shared" si="95"/>
        <v>0</v>
      </c>
      <c r="U149" s="204">
        <f t="shared" si="95"/>
        <v>0</v>
      </c>
      <c r="V149" s="203">
        <f t="shared" si="95"/>
        <v>0</v>
      </c>
      <c r="W149" s="181">
        <f t="shared" si="95"/>
        <v>0</v>
      </c>
      <c r="X149" s="204">
        <f t="shared" si="95"/>
        <v>0</v>
      </c>
      <c r="Y149" s="204">
        <f t="shared" si="95"/>
        <v>0</v>
      </c>
      <c r="Z149" s="203">
        <f t="shared" si="95"/>
        <v>0</v>
      </c>
      <c r="AA149" s="181">
        <f t="shared" si="95"/>
        <v>0</v>
      </c>
      <c r="AB149" s="204">
        <f t="shared" si="95"/>
        <v>0</v>
      </c>
      <c r="AC149" s="204">
        <f t="shared" si="95"/>
        <v>0</v>
      </c>
      <c r="AD149" s="466">
        <f t="shared" si="95"/>
        <v>0</v>
      </c>
      <c r="AE149" s="204">
        <f>+AE64/AE87</f>
        <v>0</v>
      </c>
      <c r="AF149" s="129">
        <f aca="true" t="shared" si="96" ref="AF149:AV149">+AF64*AF87</f>
        <v>3.4</v>
      </c>
      <c r="AG149" s="129">
        <f t="shared" si="96"/>
        <v>3.3999999999999995</v>
      </c>
      <c r="AH149" s="129">
        <f t="shared" si="96"/>
        <v>6.581640999999999</v>
      </c>
      <c r="AI149" s="440">
        <f t="shared" si="96"/>
        <v>7.057041</v>
      </c>
      <c r="AJ149" s="129">
        <f t="shared" si="96"/>
        <v>9.282007</v>
      </c>
      <c r="AK149" s="129">
        <f t="shared" si="96"/>
        <v>8.701881550000001</v>
      </c>
      <c r="AL149" s="432">
        <f t="shared" si="96"/>
        <v>8.121756099999999</v>
      </c>
      <c r="AM149" s="440">
        <f t="shared" si="96"/>
        <v>7.928380949999999</v>
      </c>
      <c r="AN149" s="129">
        <f t="shared" si="96"/>
        <v>7.735005801400002</v>
      </c>
      <c r="AO149" s="129">
        <f t="shared" si="96"/>
        <v>7.54163065499</v>
      </c>
      <c r="AP149" s="129">
        <f t="shared" si="96"/>
        <v>7.3482555006</v>
      </c>
      <c r="AQ149" s="129">
        <f t="shared" si="96"/>
        <v>7.154880351219999</v>
      </c>
      <c r="AR149" s="129">
        <f t="shared" si="96"/>
        <v>6.961505206589999</v>
      </c>
      <c r="AS149" s="129">
        <f t="shared" si="96"/>
        <v>6.768130036080001</v>
      </c>
      <c r="AT149" s="129">
        <f t="shared" si="96"/>
        <v>6.57475489437</v>
      </c>
      <c r="AU149" s="129">
        <f t="shared" si="96"/>
        <v>6.38137975244</v>
      </c>
      <c r="AV149" s="129">
        <f t="shared" si="96"/>
        <v>6.18800459883</v>
      </c>
      <c r="AW149" s="432">
        <f>+AW64*AW87</f>
        <v>5.99462944288</v>
      </c>
    </row>
    <row r="150" spans="2:49" s="29" customFormat="1" ht="14.25">
      <c r="B150" s="73" t="s">
        <v>132</v>
      </c>
      <c r="C150" s="181">
        <f aca="true" t="shared" si="97" ref="C150:AD150">+C65*C87</f>
        <v>0</v>
      </c>
      <c r="D150" s="204">
        <f t="shared" si="97"/>
        <v>0</v>
      </c>
      <c r="E150" s="204">
        <f t="shared" si="97"/>
        <v>0</v>
      </c>
      <c r="F150" s="203">
        <f t="shared" si="97"/>
        <v>0</v>
      </c>
      <c r="G150" s="181">
        <f t="shared" si="97"/>
        <v>0</v>
      </c>
      <c r="H150" s="204">
        <f t="shared" si="97"/>
        <v>0</v>
      </c>
      <c r="I150" s="204">
        <f t="shared" si="97"/>
        <v>0</v>
      </c>
      <c r="J150" s="203">
        <f t="shared" si="97"/>
        <v>0</v>
      </c>
      <c r="K150" s="181">
        <f t="shared" si="97"/>
        <v>0</v>
      </c>
      <c r="L150" s="204">
        <f t="shared" si="97"/>
        <v>0</v>
      </c>
      <c r="M150" s="204">
        <f t="shared" si="97"/>
        <v>0</v>
      </c>
      <c r="N150" s="203">
        <f t="shared" si="97"/>
        <v>0</v>
      </c>
      <c r="O150" s="181">
        <f t="shared" si="97"/>
        <v>0</v>
      </c>
      <c r="P150" s="204">
        <f t="shared" si="97"/>
        <v>0</v>
      </c>
      <c r="Q150" s="204">
        <f t="shared" si="97"/>
        <v>0</v>
      </c>
      <c r="R150" s="203">
        <f t="shared" si="97"/>
        <v>0</v>
      </c>
      <c r="S150" s="181">
        <f t="shared" si="97"/>
        <v>0</v>
      </c>
      <c r="T150" s="204">
        <f t="shared" si="97"/>
        <v>0</v>
      </c>
      <c r="U150" s="204">
        <f t="shared" si="97"/>
        <v>0</v>
      </c>
      <c r="V150" s="203">
        <f t="shared" si="97"/>
        <v>0</v>
      </c>
      <c r="W150" s="181">
        <f t="shared" si="97"/>
        <v>0</v>
      </c>
      <c r="X150" s="204">
        <f t="shared" si="97"/>
        <v>0</v>
      </c>
      <c r="Y150" s="204">
        <f t="shared" si="97"/>
        <v>0</v>
      </c>
      <c r="Z150" s="203">
        <f t="shared" si="97"/>
        <v>0</v>
      </c>
      <c r="AA150" s="181">
        <f t="shared" si="97"/>
        <v>0</v>
      </c>
      <c r="AB150" s="204">
        <f t="shared" si="97"/>
        <v>0</v>
      </c>
      <c r="AC150" s="204">
        <f t="shared" si="97"/>
        <v>0</v>
      </c>
      <c r="AD150" s="466">
        <f t="shared" si="97"/>
        <v>0</v>
      </c>
      <c r="AE150" s="204">
        <f>+AE65/AE87</f>
        <v>0</v>
      </c>
      <c r="AF150" s="203">
        <f aca="true" t="shared" si="98" ref="AF150:AV150">+AF65*AF87</f>
        <v>0</v>
      </c>
      <c r="AG150" s="129">
        <f t="shared" si="98"/>
        <v>0.79247200708</v>
      </c>
      <c r="AH150" s="129">
        <f t="shared" si="98"/>
        <v>1.4174719870799999</v>
      </c>
      <c r="AI150" s="440">
        <f t="shared" si="98"/>
        <v>9.97400784531</v>
      </c>
      <c r="AJ150" s="129">
        <f t="shared" si="98"/>
        <v>15.37400784324</v>
      </c>
      <c r="AK150" s="129">
        <f t="shared" si="98"/>
        <v>21.587281857239997</v>
      </c>
      <c r="AL150" s="432">
        <f t="shared" si="98"/>
        <v>58.17677392940001</v>
      </c>
      <c r="AM150" s="440">
        <f t="shared" si="98"/>
        <v>58.17677391019999</v>
      </c>
      <c r="AN150" s="129">
        <f t="shared" si="98"/>
        <v>58.8806786305</v>
      </c>
      <c r="AO150" s="129">
        <f t="shared" si="98"/>
        <v>58.17677391746</v>
      </c>
      <c r="AP150" s="129">
        <f t="shared" si="98"/>
        <v>77.98887392424999</v>
      </c>
      <c r="AQ150" s="129">
        <f t="shared" si="98"/>
        <v>80.83315386443999</v>
      </c>
      <c r="AR150" s="129">
        <f t="shared" si="98"/>
        <v>84.34400389426</v>
      </c>
      <c r="AS150" s="129">
        <f t="shared" si="98"/>
        <v>84.34400387112001</v>
      </c>
      <c r="AT150" s="129">
        <f t="shared" si="98"/>
        <v>115.79160069866998</v>
      </c>
      <c r="AU150" s="129">
        <f t="shared" si="98"/>
        <v>115.79160071742999</v>
      </c>
      <c r="AV150" s="129">
        <f t="shared" si="98"/>
        <v>116.3197518494</v>
      </c>
      <c r="AW150" s="432">
        <f>+AW65*AW87</f>
        <v>119.35628900975998</v>
      </c>
    </row>
    <row r="151" spans="2:49" s="29" customFormat="1" ht="14.25">
      <c r="B151" s="261" t="s">
        <v>133</v>
      </c>
      <c r="C151" s="181">
        <f aca="true" t="shared" si="99" ref="C151:AD151">+C66*C87</f>
        <v>0</v>
      </c>
      <c r="D151" s="204">
        <f t="shared" si="99"/>
        <v>0</v>
      </c>
      <c r="E151" s="204">
        <f t="shared" si="99"/>
        <v>0</v>
      </c>
      <c r="F151" s="203">
        <f t="shared" si="99"/>
        <v>0</v>
      </c>
      <c r="G151" s="181">
        <f t="shared" si="99"/>
        <v>0</v>
      </c>
      <c r="H151" s="204">
        <f t="shared" si="99"/>
        <v>0</v>
      </c>
      <c r="I151" s="204">
        <f t="shared" si="99"/>
        <v>0</v>
      </c>
      <c r="J151" s="203">
        <f t="shared" si="99"/>
        <v>0</v>
      </c>
      <c r="K151" s="181">
        <f t="shared" si="99"/>
        <v>0</v>
      </c>
      <c r="L151" s="204">
        <f t="shared" si="99"/>
        <v>0</v>
      </c>
      <c r="M151" s="204">
        <f t="shared" si="99"/>
        <v>0</v>
      </c>
      <c r="N151" s="203">
        <f t="shared" si="99"/>
        <v>0</v>
      </c>
      <c r="O151" s="181">
        <f t="shared" si="99"/>
        <v>0</v>
      </c>
      <c r="P151" s="204">
        <f t="shared" si="99"/>
        <v>0</v>
      </c>
      <c r="Q151" s="204">
        <f t="shared" si="99"/>
        <v>0</v>
      </c>
      <c r="R151" s="203">
        <f t="shared" si="99"/>
        <v>0</v>
      </c>
      <c r="S151" s="181">
        <f t="shared" si="99"/>
        <v>0</v>
      </c>
      <c r="T151" s="204">
        <f t="shared" si="99"/>
        <v>0</v>
      </c>
      <c r="U151" s="204">
        <f t="shared" si="99"/>
        <v>0</v>
      </c>
      <c r="V151" s="203">
        <f t="shared" si="99"/>
        <v>0</v>
      </c>
      <c r="W151" s="181">
        <f t="shared" si="99"/>
        <v>0</v>
      </c>
      <c r="X151" s="204">
        <f t="shared" si="99"/>
        <v>0</v>
      </c>
      <c r="Y151" s="204">
        <f t="shared" si="99"/>
        <v>0</v>
      </c>
      <c r="Z151" s="203">
        <f t="shared" si="99"/>
        <v>0</v>
      </c>
      <c r="AA151" s="181">
        <f t="shared" si="99"/>
        <v>0</v>
      </c>
      <c r="AB151" s="204">
        <f t="shared" si="99"/>
        <v>0</v>
      </c>
      <c r="AC151" s="204">
        <f t="shared" si="99"/>
        <v>0</v>
      </c>
      <c r="AD151" s="466">
        <f t="shared" si="99"/>
        <v>0</v>
      </c>
      <c r="AE151" s="204">
        <f>+AE66/AE87</f>
        <v>0</v>
      </c>
      <c r="AF151" s="203">
        <f aca="true" t="shared" si="100" ref="AF151:AV151">+AF66*AF87</f>
        <v>0</v>
      </c>
      <c r="AG151" s="203">
        <f t="shared" si="100"/>
        <v>0</v>
      </c>
      <c r="AH151" s="129">
        <f t="shared" si="100"/>
        <v>7.90663999692</v>
      </c>
      <c r="AI151" s="440">
        <f t="shared" si="100"/>
        <v>7.90663999722</v>
      </c>
      <c r="AJ151" s="129">
        <f t="shared" si="100"/>
        <v>26.292702840599997</v>
      </c>
      <c r="AK151" s="129">
        <f t="shared" si="100"/>
        <v>41.750827226999995</v>
      </c>
      <c r="AL151" s="432">
        <f t="shared" si="100"/>
        <v>60.07033702313</v>
      </c>
      <c r="AM151" s="440">
        <f t="shared" si="100"/>
        <v>60.07033701921999</v>
      </c>
      <c r="AN151" s="129">
        <f t="shared" si="100"/>
        <v>60.79715273855</v>
      </c>
      <c r="AO151" s="129">
        <f t="shared" si="100"/>
        <v>60.07033701196</v>
      </c>
      <c r="AP151" s="129">
        <f t="shared" si="100"/>
        <v>60.07033702037</v>
      </c>
      <c r="AQ151" s="129">
        <f t="shared" si="100"/>
        <v>60.070337004139994</v>
      </c>
      <c r="AR151" s="129">
        <f t="shared" si="100"/>
        <v>60.070337014379994</v>
      </c>
      <c r="AS151" s="129">
        <f t="shared" si="100"/>
        <v>60.070337024880004</v>
      </c>
      <c r="AT151" s="129">
        <f t="shared" si="100"/>
        <v>60.070337011620005</v>
      </c>
      <c r="AU151" s="129">
        <f t="shared" si="100"/>
        <v>65.29171671187</v>
      </c>
      <c r="AV151" s="129">
        <f t="shared" si="100"/>
        <v>65.29171670484</v>
      </c>
      <c r="AW151" s="432">
        <f>+AW66*AW87</f>
        <v>65.29171670848001</v>
      </c>
    </row>
    <row r="152" spans="2:49" s="29" customFormat="1" ht="14.25">
      <c r="B152" s="261" t="s">
        <v>134</v>
      </c>
      <c r="C152" s="181">
        <f aca="true" t="shared" si="101" ref="C152:AD152">+C67*C87</f>
        <v>0</v>
      </c>
      <c r="D152" s="204">
        <f t="shared" si="101"/>
        <v>0</v>
      </c>
      <c r="E152" s="204">
        <f t="shared" si="101"/>
        <v>0</v>
      </c>
      <c r="F152" s="203">
        <f t="shared" si="101"/>
        <v>0</v>
      </c>
      <c r="G152" s="181">
        <f t="shared" si="101"/>
        <v>0</v>
      </c>
      <c r="H152" s="204">
        <f t="shared" si="101"/>
        <v>0</v>
      </c>
      <c r="I152" s="204">
        <f t="shared" si="101"/>
        <v>0</v>
      </c>
      <c r="J152" s="203">
        <f t="shared" si="101"/>
        <v>0</v>
      </c>
      <c r="K152" s="181">
        <f t="shared" si="101"/>
        <v>0</v>
      </c>
      <c r="L152" s="204">
        <f t="shared" si="101"/>
        <v>0</v>
      </c>
      <c r="M152" s="204">
        <f t="shared" si="101"/>
        <v>0</v>
      </c>
      <c r="N152" s="203">
        <f t="shared" si="101"/>
        <v>0</v>
      </c>
      <c r="O152" s="181">
        <f t="shared" si="101"/>
        <v>0</v>
      </c>
      <c r="P152" s="204">
        <f t="shared" si="101"/>
        <v>0</v>
      </c>
      <c r="Q152" s="204">
        <f t="shared" si="101"/>
        <v>0</v>
      </c>
      <c r="R152" s="203">
        <f t="shared" si="101"/>
        <v>0</v>
      </c>
      <c r="S152" s="181">
        <f t="shared" si="101"/>
        <v>0</v>
      </c>
      <c r="T152" s="204">
        <f t="shared" si="101"/>
        <v>0</v>
      </c>
      <c r="U152" s="204">
        <f t="shared" si="101"/>
        <v>0</v>
      </c>
      <c r="V152" s="203">
        <f t="shared" si="101"/>
        <v>0</v>
      </c>
      <c r="W152" s="181">
        <f t="shared" si="101"/>
        <v>0</v>
      </c>
      <c r="X152" s="204">
        <f t="shared" si="101"/>
        <v>0</v>
      </c>
      <c r="Y152" s="204">
        <f t="shared" si="101"/>
        <v>0</v>
      </c>
      <c r="Z152" s="203">
        <f t="shared" si="101"/>
        <v>0</v>
      </c>
      <c r="AA152" s="181">
        <f t="shared" si="101"/>
        <v>0</v>
      </c>
      <c r="AB152" s="204">
        <f t="shared" si="101"/>
        <v>0</v>
      </c>
      <c r="AC152" s="204">
        <f t="shared" si="101"/>
        <v>0</v>
      </c>
      <c r="AD152" s="466">
        <f t="shared" si="101"/>
        <v>0</v>
      </c>
      <c r="AE152" s="204">
        <f>+AE67/AE87</f>
        <v>0</v>
      </c>
      <c r="AF152" s="203">
        <f aca="true" t="shared" si="102" ref="AF152:AV152">+AF67*AF87</f>
        <v>0</v>
      </c>
      <c r="AG152" s="203">
        <f t="shared" si="102"/>
        <v>0</v>
      </c>
      <c r="AH152" s="196">
        <f t="shared" si="102"/>
        <v>0</v>
      </c>
      <c r="AI152" s="469">
        <f t="shared" si="102"/>
        <v>0</v>
      </c>
      <c r="AJ152" s="129">
        <f t="shared" si="102"/>
        <v>4.6964673426</v>
      </c>
      <c r="AK152" s="129">
        <f t="shared" si="102"/>
        <v>23.35432569816</v>
      </c>
      <c r="AL152" s="432">
        <f t="shared" si="102"/>
        <v>33.637236697190005</v>
      </c>
      <c r="AM152" s="440">
        <f t="shared" si="102"/>
        <v>33.63723669262</v>
      </c>
      <c r="AN152" s="129">
        <f t="shared" si="102"/>
        <v>34.044227457050006</v>
      </c>
      <c r="AO152" s="129">
        <f t="shared" si="102"/>
        <v>33.637236711830006</v>
      </c>
      <c r="AP152" s="129">
        <f t="shared" si="102"/>
        <v>33.63723671875</v>
      </c>
      <c r="AQ152" s="129">
        <f t="shared" si="102"/>
        <v>37.95005055952</v>
      </c>
      <c r="AR152" s="129">
        <f t="shared" si="102"/>
        <v>37.95005053664</v>
      </c>
      <c r="AS152" s="129">
        <f t="shared" si="102"/>
        <v>40.020166191600005</v>
      </c>
      <c r="AT152" s="129">
        <f t="shared" si="102"/>
        <v>40.0201662159</v>
      </c>
      <c r="AU152" s="129">
        <f t="shared" si="102"/>
        <v>43.927893486950005</v>
      </c>
      <c r="AV152" s="129">
        <f t="shared" si="102"/>
        <v>43.78853268956</v>
      </c>
      <c r="AW152" s="432">
        <f>+AW67*AW87</f>
        <v>68.55318732639999</v>
      </c>
    </row>
    <row r="153" spans="2:49" s="29" customFormat="1" ht="14.25">
      <c r="B153" s="556" t="s">
        <v>135</v>
      </c>
      <c r="C153" s="181">
        <f aca="true" t="shared" si="103" ref="C153:H153">+C68*C87</f>
        <v>0</v>
      </c>
      <c r="D153" s="204">
        <f t="shared" si="103"/>
        <v>0</v>
      </c>
      <c r="E153" s="204">
        <f t="shared" si="103"/>
        <v>0</v>
      </c>
      <c r="F153" s="203">
        <f t="shared" si="103"/>
        <v>0</v>
      </c>
      <c r="G153" s="181">
        <f t="shared" si="103"/>
        <v>0</v>
      </c>
      <c r="H153" s="204">
        <f t="shared" si="103"/>
        <v>0</v>
      </c>
      <c r="I153" s="204">
        <v>0</v>
      </c>
      <c r="J153" s="203">
        <f aca="true" t="shared" si="104" ref="J153:AD153">+J68*J87</f>
        <v>0</v>
      </c>
      <c r="K153" s="181">
        <f t="shared" si="104"/>
        <v>0</v>
      </c>
      <c r="L153" s="204">
        <f t="shared" si="104"/>
        <v>0</v>
      </c>
      <c r="M153" s="204">
        <f t="shared" si="104"/>
        <v>0</v>
      </c>
      <c r="N153" s="203">
        <f t="shared" si="104"/>
        <v>0</v>
      </c>
      <c r="O153" s="181">
        <f t="shared" si="104"/>
        <v>0</v>
      </c>
      <c r="P153" s="204">
        <f t="shared" si="104"/>
        <v>0</v>
      </c>
      <c r="Q153" s="204">
        <f t="shared" si="104"/>
        <v>0</v>
      </c>
      <c r="R153" s="203">
        <f t="shared" si="104"/>
        <v>0</v>
      </c>
      <c r="S153" s="181">
        <f t="shared" si="104"/>
        <v>0</v>
      </c>
      <c r="T153" s="204">
        <f t="shared" si="104"/>
        <v>0</v>
      </c>
      <c r="U153" s="204">
        <f t="shared" si="104"/>
        <v>0</v>
      </c>
      <c r="V153" s="203">
        <f t="shared" si="104"/>
        <v>0</v>
      </c>
      <c r="W153" s="181">
        <f t="shared" si="104"/>
        <v>0</v>
      </c>
      <c r="X153" s="204">
        <f t="shared" si="104"/>
        <v>0</v>
      </c>
      <c r="Y153" s="204">
        <f t="shared" si="104"/>
        <v>0</v>
      </c>
      <c r="Z153" s="203">
        <f t="shared" si="104"/>
        <v>0</v>
      </c>
      <c r="AA153" s="181">
        <f t="shared" si="104"/>
        <v>0</v>
      </c>
      <c r="AB153" s="204">
        <f t="shared" si="104"/>
        <v>0</v>
      </c>
      <c r="AC153" s="204">
        <f t="shared" si="104"/>
        <v>0</v>
      </c>
      <c r="AD153" s="203">
        <f t="shared" si="104"/>
        <v>0</v>
      </c>
      <c r="AE153" s="428">
        <f>+AE68/AE87</f>
        <v>0</v>
      </c>
      <c r="AF153" s="203">
        <f aca="true" t="shared" si="105" ref="AF153:AV154">+AF68*AF87</f>
        <v>0</v>
      </c>
      <c r="AG153" s="203">
        <f t="shared" si="105"/>
        <v>0</v>
      </c>
      <c r="AH153" s="196">
        <f t="shared" si="105"/>
        <v>0</v>
      </c>
      <c r="AI153" s="202">
        <f t="shared" si="105"/>
        <v>0</v>
      </c>
      <c r="AJ153" s="203">
        <f t="shared" si="105"/>
        <v>0</v>
      </c>
      <c r="AK153" s="203">
        <f t="shared" si="105"/>
        <v>0</v>
      </c>
      <c r="AL153" s="432">
        <f t="shared" si="105"/>
        <v>1.24838738395</v>
      </c>
      <c r="AM153" s="440">
        <f t="shared" si="105"/>
        <v>3.4569391878999998</v>
      </c>
      <c r="AN153" s="129">
        <f t="shared" si="105"/>
        <v>3.49876611725</v>
      </c>
      <c r="AO153" s="129">
        <f t="shared" si="105"/>
        <v>3.4569391933299993</v>
      </c>
      <c r="AP153" s="129">
        <f t="shared" si="105"/>
        <v>3.4569391822699993</v>
      </c>
      <c r="AQ153" s="129">
        <f t="shared" si="105"/>
        <v>3.4569391853599996</v>
      </c>
      <c r="AR153" s="129">
        <f t="shared" si="105"/>
        <v>8.74118986708</v>
      </c>
      <c r="AS153" s="129">
        <f t="shared" si="105"/>
        <v>8.741189856</v>
      </c>
      <c r="AT153" s="129">
        <f t="shared" si="105"/>
        <v>15.474993409590002</v>
      </c>
      <c r="AU153" s="129">
        <f t="shared" si="105"/>
        <v>17.66332652491</v>
      </c>
      <c r="AV153" s="129">
        <f t="shared" si="105"/>
        <v>27.651701685890004</v>
      </c>
      <c r="AW153" s="432">
        <f>+AW68*AW87</f>
        <v>33.50811552591999</v>
      </c>
    </row>
    <row r="154" spans="2:49" s="29" customFormat="1" ht="14.25">
      <c r="B154" s="556" t="s">
        <v>136</v>
      </c>
      <c r="C154" s="181">
        <v>0</v>
      </c>
      <c r="D154" s="204">
        <v>0</v>
      </c>
      <c r="E154" s="204">
        <v>0</v>
      </c>
      <c r="F154" s="203">
        <v>0</v>
      </c>
      <c r="G154" s="181">
        <v>0</v>
      </c>
      <c r="H154" s="204">
        <v>0</v>
      </c>
      <c r="I154" s="204">
        <v>0</v>
      </c>
      <c r="J154" s="203">
        <v>0</v>
      </c>
      <c r="K154" s="181">
        <v>0</v>
      </c>
      <c r="L154" s="204">
        <v>0</v>
      </c>
      <c r="M154" s="204">
        <v>0</v>
      </c>
      <c r="N154" s="203">
        <v>0</v>
      </c>
      <c r="O154" s="181">
        <v>0</v>
      </c>
      <c r="P154" s="204">
        <v>0</v>
      </c>
      <c r="Q154" s="204">
        <v>0</v>
      </c>
      <c r="R154" s="203">
        <v>0</v>
      </c>
      <c r="S154" s="181">
        <v>0</v>
      </c>
      <c r="T154" s="204">
        <v>0</v>
      </c>
      <c r="U154" s="204">
        <v>0</v>
      </c>
      <c r="V154" s="203">
        <v>0</v>
      </c>
      <c r="W154" s="181">
        <v>0</v>
      </c>
      <c r="X154" s="204">
        <v>0</v>
      </c>
      <c r="Y154" s="204">
        <v>0</v>
      </c>
      <c r="Z154" s="203">
        <v>0</v>
      </c>
      <c r="AA154" s="181">
        <f>+AA69*AA88</f>
        <v>0</v>
      </c>
      <c r="AB154" s="204">
        <f>+AB69*AB88</f>
        <v>0</v>
      </c>
      <c r="AC154" s="204">
        <f>+AC69*AC88</f>
        <v>0</v>
      </c>
      <c r="AD154" s="203">
        <f>+AD69*AD88</f>
        <v>0</v>
      </c>
      <c r="AE154" s="428">
        <f>+AE69/AE88</f>
        <v>0</v>
      </c>
      <c r="AF154" s="203">
        <f t="shared" si="105"/>
        <v>0</v>
      </c>
      <c r="AG154" s="203">
        <f t="shared" si="105"/>
        <v>0</v>
      </c>
      <c r="AH154" s="196">
        <f t="shared" si="105"/>
        <v>0</v>
      </c>
      <c r="AI154" s="202">
        <f t="shared" si="105"/>
        <v>0</v>
      </c>
      <c r="AJ154" s="203">
        <f t="shared" si="105"/>
        <v>0</v>
      </c>
      <c r="AK154" s="203">
        <f t="shared" si="105"/>
        <v>0</v>
      </c>
      <c r="AL154" s="196">
        <v>0</v>
      </c>
      <c r="AM154" s="203">
        <v>0</v>
      </c>
      <c r="AN154" s="203">
        <v>0</v>
      </c>
      <c r="AO154" s="203">
        <f>+AO69*AO88</f>
        <v>0</v>
      </c>
      <c r="AP154" s="203">
        <f>+AP69*AP88</f>
        <v>0</v>
      </c>
      <c r="AQ154" s="203">
        <f>+AQ69*AQ88</f>
        <v>0</v>
      </c>
      <c r="AR154" s="203">
        <v>0</v>
      </c>
      <c r="AS154" s="129">
        <f>+AS69*AS87</f>
        <v>0.0925000104</v>
      </c>
      <c r="AT154" s="129">
        <f>+AT69*AT87</f>
        <v>0.09249999408000001</v>
      </c>
      <c r="AU154" s="129">
        <f>+AU69*AU87</f>
        <v>0.21496601027000004</v>
      </c>
      <c r="AV154" s="129">
        <f>+AV69*AV87</f>
        <v>0.40006599632999995</v>
      </c>
      <c r="AW154" s="432">
        <f>+AW69*AW87</f>
        <v>0.40006599296</v>
      </c>
    </row>
    <row r="155" spans="2:49" s="29" customFormat="1" ht="14.25">
      <c r="B155" s="556" t="s">
        <v>140</v>
      </c>
      <c r="C155" s="181">
        <v>0</v>
      </c>
      <c r="D155" s="204">
        <v>0</v>
      </c>
      <c r="E155" s="204">
        <v>0</v>
      </c>
      <c r="F155" s="203">
        <v>0</v>
      </c>
      <c r="G155" s="181">
        <v>0</v>
      </c>
      <c r="H155" s="204">
        <v>0</v>
      </c>
      <c r="I155" s="204">
        <v>0</v>
      </c>
      <c r="J155" s="203">
        <v>0</v>
      </c>
      <c r="K155" s="181">
        <v>0</v>
      </c>
      <c r="L155" s="204">
        <v>0</v>
      </c>
      <c r="M155" s="204">
        <v>0</v>
      </c>
      <c r="N155" s="203">
        <v>0</v>
      </c>
      <c r="O155" s="181">
        <v>0</v>
      </c>
      <c r="P155" s="204">
        <v>0</v>
      </c>
      <c r="Q155" s="204">
        <v>0</v>
      </c>
      <c r="R155" s="203">
        <v>0</v>
      </c>
      <c r="S155" s="181">
        <v>0</v>
      </c>
      <c r="T155" s="204">
        <v>0</v>
      </c>
      <c r="U155" s="204">
        <v>0</v>
      </c>
      <c r="V155" s="203">
        <v>0</v>
      </c>
      <c r="W155" s="181">
        <v>0</v>
      </c>
      <c r="X155" s="204">
        <v>0</v>
      </c>
      <c r="Y155" s="204">
        <v>0</v>
      </c>
      <c r="Z155" s="203">
        <v>0</v>
      </c>
      <c r="AA155" s="181">
        <v>0</v>
      </c>
      <c r="AB155" s="204">
        <v>0</v>
      </c>
      <c r="AC155" s="204">
        <v>0</v>
      </c>
      <c r="AD155" s="203">
        <v>0</v>
      </c>
      <c r="AE155" s="428">
        <v>0</v>
      </c>
      <c r="AF155" s="203">
        <v>0</v>
      </c>
      <c r="AG155" s="203">
        <v>0</v>
      </c>
      <c r="AH155" s="196">
        <v>0</v>
      </c>
      <c r="AI155" s="202">
        <v>0</v>
      </c>
      <c r="AJ155" s="203">
        <v>0</v>
      </c>
      <c r="AK155" s="203">
        <v>0</v>
      </c>
      <c r="AL155" s="196">
        <v>0</v>
      </c>
      <c r="AM155" s="203">
        <v>0</v>
      </c>
      <c r="AN155" s="203">
        <v>0</v>
      </c>
      <c r="AO155" s="203">
        <v>0</v>
      </c>
      <c r="AP155" s="203">
        <v>0</v>
      </c>
      <c r="AQ155" s="203"/>
      <c r="AR155" s="203">
        <v>0</v>
      </c>
      <c r="AS155" s="203">
        <v>0</v>
      </c>
      <c r="AT155" s="129">
        <f>+AT70*AT87</f>
        <v>0.33611489847000003</v>
      </c>
      <c r="AU155" s="129">
        <f>+AU70*AU87</f>
        <v>0.33611490605</v>
      </c>
      <c r="AV155" s="129">
        <f>+AV70*AV87</f>
        <v>0.33611488034000003</v>
      </c>
      <c r="AW155" s="432">
        <f>+AW70*AW87</f>
        <v>0.3361148976</v>
      </c>
    </row>
    <row r="156" spans="2:49" s="29" customFormat="1" ht="14.25">
      <c r="B156" s="556" t="s">
        <v>141</v>
      </c>
      <c r="C156" s="181">
        <v>0</v>
      </c>
      <c r="D156" s="204">
        <v>0</v>
      </c>
      <c r="E156" s="204">
        <v>0</v>
      </c>
      <c r="F156" s="203">
        <v>0</v>
      </c>
      <c r="G156" s="181">
        <v>0</v>
      </c>
      <c r="H156" s="204">
        <v>0</v>
      </c>
      <c r="I156" s="204">
        <v>0</v>
      </c>
      <c r="J156" s="203">
        <v>0</v>
      </c>
      <c r="K156" s="181">
        <v>0</v>
      </c>
      <c r="L156" s="204">
        <v>0</v>
      </c>
      <c r="M156" s="204">
        <v>0</v>
      </c>
      <c r="N156" s="203">
        <v>0</v>
      </c>
      <c r="O156" s="181">
        <v>0</v>
      </c>
      <c r="P156" s="204">
        <v>0</v>
      </c>
      <c r="Q156" s="204">
        <v>0</v>
      </c>
      <c r="R156" s="203">
        <v>0</v>
      </c>
      <c r="S156" s="181">
        <v>0</v>
      </c>
      <c r="T156" s="204">
        <v>0</v>
      </c>
      <c r="U156" s="204">
        <v>0</v>
      </c>
      <c r="V156" s="203">
        <v>0</v>
      </c>
      <c r="W156" s="181">
        <v>0</v>
      </c>
      <c r="X156" s="204">
        <v>0</v>
      </c>
      <c r="Y156" s="204">
        <v>0</v>
      </c>
      <c r="Z156" s="203">
        <v>0</v>
      </c>
      <c r="AA156" s="181">
        <v>0</v>
      </c>
      <c r="AB156" s="204">
        <v>0</v>
      </c>
      <c r="AC156" s="204">
        <v>0</v>
      </c>
      <c r="AD156" s="203">
        <v>0</v>
      </c>
      <c r="AE156" s="428">
        <v>0</v>
      </c>
      <c r="AF156" s="203">
        <v>0</v>
      </c>
      <c r="AG156" s="203">
        <v>0</v>
      </c>
      <c r="AH156" s="196">
        <v>0</v>
      </c>
      <c r="AI156" s="202">
        <v>0</v>
      </c>
      <c r="AJ156" s="203">
        <v>0</v>
      </c>
      <c r="AK156" s="203">
        <v>0</v>
      </c>
      <c r="AL156" s="196">
        <v>0</v>
      </c>
      <c r="AM156" s="203">
        <v>0</v>
      </c>
      <c r="AN156" s="203">
        <v>0</v>
      </c>
      <c r="AO156" s="203">
        <v>0</v>
      </c>
      <c r="AP156" s="203">
        <v>0</v>
      </c>
      <c r="AQ156" s="203">
        <v>0</v>
      </c>
      <c r="AR156" s="203">
        <v>0</v>
      </c>
      <c r="AS156" s="203">
        <v>0</v>
      </c>
      <c r="AT156" s="203">
        <v>0</v>
      </c>
      <c r="AU156" s="129">
        <f>+AU71*AU87</f>
        <v>0.72468513623</v>
      </c>
      <c r="AV156" s="129">
        <f>+AV71*AV87</f>
        <v>0.7246851529599999</v>
      </c>
      <c r="AW156" s="432">
        <f>+AW71*AW87</f>
        <v>1.9072363596800002</v>
      </c>
    </row>
    <row r="157" spans="2:49" s="29" customFormat="1" ht="14.25">
      <c r="B157" s="556" t="s">
        <v>143</v>
      </c>
      <c r="C157" s="181">
        <v>0</v>
      </c>
      <c r="D157" s="204">
        <v>0</v>
      </c>
      <c r="E157" s="204">
        <v>0</v>
      </c>
      <c r="F157" s="203">
        <v>0</v>
      </c>
      <c r="G157" s="181">
        <v>0</v>
      </c>
      <c r="H157" s="204">
        <v>0</v>
      </c>
      <c r="I157" s="204">
        <v>0</v>
      </c>
      <c r="J157" s="203">
        <v>0</v>
      </c>
      <c r="K157" s="181">
        <v>0</v>
      </c>
      <c r="L157" s="204">
        <v>0</v>
      </c>
      <c r="M157" s="204">
        <v>0</v>
      </c>
      <c r="N157" s="203">
        <v>0</v>
      </c>
      <c r="O157" s="181">
        <v>0</v>
      </c>
      <c r="P157" s="204">
        <v>0</v>
      </c>
      <c r="Q157" s="204">
        <v>0</v>
      </c>
      <c r="R157" s="203">
        <v>0</v>
      </c>
      <c r="S157" s="181">
        <v>0</v>
      </c>
      <c r="T157" s="204">
        <v>0</v>
      </c>
      <c r="U157" s="204">
        <v>0</v>
      </c>
      <c r="V157" s="203">
        <v>0</v>
      </c>
      <c r="W157" s="181">
        <v>0</v>
      </c>
      <c r="X157" s="204">
        <v>0</v>
      </c>
      <c r="Y157" s="204">
        <v>0</v>
      </c>
      <c r="Z157" s="203">
        <v>0</v>
      </c>
      <c r="AA157" s="181">
        <v>0</v>
      </c>
      <c r="AB157" s="204">
        <v>0</v>
      </c>
      <c r="AC157" s="204">
        <v>0</v>
      </c>
      <c r="AD157" s="203">
        <v>0</v>
      </c>
      <c r="AE157" s="428">
        <v>0</v>
      </c>
      <c r="AF157" s="203">
        <v>0</v>
      </c>
      <c r="AG157" s="203">
        <v>0</v>
      </c>
      <c r="AH157" s="196">
        <v>0</v>
      </c>
      <c r="AI157" s="202">
        <v>0</v>
      </c>
      <c r="AJ157" s="203">
        <v>0</v>
      </c>
      <c r="AK157" s="203">
        <v>0</v>
      </c>
      <c r="AL157" s="196">
        <v>0</v>
      </c>
      <c r="AM157" s="203">
        <v>0</v>
      </c>
      <c r="AN157" s="203">
        <v>0</v>
      </c>
      <c r="AO157" s="203">
        <v>0</v>
      </c>
      <c r="AP157" s="203">
        <v>0</v>
      </c>
      <c r="AQ157" s="203">
        <v>0</v>
      </c>
      <c r="AR157" s="203">
        <v>0</v>
      </c>
      <c r="AS157" s="203">
        <v>0</v>
      </c>
      <c r="AT157" s="203">
        <v>0</v>
      </c>
      <c r="AU157" s="129">
        <v>0</v>
      </c>
      <c r="AV157" s="129">
        <f>+AV72*AV87</f>
        <v>0.13936077972</v>
      </c>
      <c r="AW157" s="432">
        <f>+AW72*AW87</f>
        <v>0.1393607736</v>
      </c>
    </row>
    <row r="158" spans="2:49" s="29" customFormat="1" ht="14.25">
      <c r="B158" s="556" t="s">
        <v>144</v>
      </c>
      <c r="C158" s="181">
        <v>0</v>
      </c>
      <c r="D158" s="204">
        <v>0</v>
      </c>
      <c r="E158" s="204">
        <v>0</v>
      </c>
      <c r="F158" s="203">
        <v>0</v>
      </c>
      <c r="G158" s="181">
        <v>0</v>
      </c>
      <c r="H158" s="204">
        <v>0</v>
      </c>
      <c r="I158" s="204">
        <v>0</v>
      </c>
      <c r="J158" s="203">
        <v>0</v>
      </c>
      <c r="K158" s="181">
        <v>0</v>
      </c>
      <c r="L158" s="204">
        <v>0</v>
      </c>
      <c r="M158" s="204">
        <v>0</v>
      </c>
      <c r="N158" s="203">
        <v>0</v>
      </c>
      <c r="O158" s="181">
        <v>0</v>
      </c>
      <c r="P158" s="204">
        <v>0</v>
      </c>
      <c r="Q158" s="204">
        <v>0</v>
      </c>
      <c r="R158" s="203">
        <v>0</v>
      </c>
      <c r="S158" s="181">
        <v>0</v>
      </c>
      <c r="T158" s="204">
        <v>0</v>
      </c>
      <c r="U158" s="204">
        <v>0</v>
      </c>
      <c r="V158" s="203">
        <v>0</v>
      </c>
      <c r="W158" s="181">
        <v>0</v>
      </c>
      <c r="X158" s="204">
        <v>0</v>
      </c>
      <c r="Y158" s="204">
        <v>0</v>
      </c>
      <c r="Z158" s="203">
        <v>0</v>
      </c>
      <c r="AA158" s="181">
        <v>0</v>
      </c>
      <c r="AB158" s="204">
        <v>0</v>
      </c>
      <c r="AC158" s="204">
        <v>0</v>
      </c>
      <c r="AD158" s="203">
        <v>0</v>
      </c>
      <c r="AE158" s="428">
        <v>0</v>
      </c>
      <c r="AF158" s="203">
        <v>0</v>
      </c>
      <c r="AG158" s="203">
        <v>0</v>
      </c>
      <c r="AH158" s="196">
        <v>0</v>
      </c>
      <c r="AI158" s="202">
        <v>0</v>
      </c>
      <c r="AJ158" s="203">
        <v>0</v>
      </c>
      <c r="AK158" s="203">
        <v>0</v>
      </c>
      <c r="AL158" s="196">
        <v>0</v>
      </c>
      <c r="AM158" s="203">
        <v>0</v>
      </c>
      <c r="AN158" s="203">
        <v>0</v>
      </c>
      <c r="AO158" s="203">
        <v>0</v>
      </c>
      <c r="AP158" s="203">
        <v>0</v>
      </c>
      <c r="AQ158" s="203">
        <v>0</v>
      </c>
      <c r="AR158" s="203">
        <v>0</v>
      </c>
      <c r="AS158" s="203">
        <v>0</v>
      </c>
      <c r="AT158" s="203">
        <v>0</v>
      </c>
      <c r="AU158" s="203">
        <v>0</v>
      </c>
      <c r="AV158" s="129">
        <f>+AV73*AV87</f>
        <v>0.38347206988</v>
      </c>
      <c r="AW158" s="432">
        <f>+AW73*AW87</f>
        <v>7.234222067040001</v>
      </c>
    </row>
    <row r="159" spans="2:49" s="29" customFormat="1" ht="8.25" customHeight="1">
      <c r="B159" s="50"/>
      <c r="C159" s="426"/>
      <c r="D159" s="397"/>
      <c r="E159" s="397"/>
      <c r="F159" s="460"/>
      <c r="G159" s="426"/>
      <c r="H159" s="397"/>
      <c r="I159" s="397"/>
      <c r="J159" s="460"/>
      <c r="K159" s="426"/>
      <c r="L159" s="397"/>
      <c r="M159" s="397"/>
      <c r="N159" s="460"/>
      <c r="O159" s="426"/>
      <c r="P159" s="397"/>
      <c r="Q159" s="397"/>
      <c r="R159" s="460"/>
      <c r="S159" s="426"/>
      <c r="T159" s="397"/>
      <c r="U159" s="397"/>
      <c r="V159" s="460"/>
      <c r="W159" s="426"/>
      <c r="X159" s="397"/>
      <c r="Y159" s="154"/>
      <c r="Z159" s="492"/>
      <c r="AA159" s="151"/>
      <c r="AB159" s="154"/>
      <c r="AC159" s="143"/>
      <c r="AD159" s="77"/>
      <c r="AE159" s="430"/>
      <c r="AF159" s="77"/>
      <c r="AG159" s="77"/>
      <c r="AH159" s="119"/>
      <c r="AI159" s="439"/>
      <c r="AJ159" s="77"/>
      <c r="AK159" s="77"/>
      <c r="AL159" s="119"/>
      <c r="AM159" s="77"/>
      <c r="AN159" s="77"/>
      <c r="AO159" s="77"/>
      <c r="AP159" s="77"/>
      <c r="AQ159" s="77"/>
      <c r="AR159" s="77"/>
      <c r="AS159" s="77"/>
      <c r="AT159" s="129"/>
      <c r="AU159" s="129"/>
      <c r="AV159" s="129"/>
      <c r="AW159" s="432"/>
    </row>
    <row r="160" spans="2:49" s="29" customFormat="1" ht="15.75">
      <c r="B160" s="85" t="s">
        <v>101</v>
      </c>
      <c r="C160" s="428">
        <f aca="true" t="shared" si="106" ref="C160:AW160">+C161+C162</f>
        <v>0</v>
      </c>
      <c r="D160" s="176">
        <f t="shared" si="106"/>
        <v>0</v>
      </c>
      <c r="E160" s="204">
        <f t="shared" si="106"/>
        <v>0</v>
      </c>
      <c r="F160" s="203">
        <f t="shared" si="106"/>
        <v>0</v>
      </c>
      <c r="G160" s="428">
        <f t="shared" si="106"/>
        <v>0</v>
      </c>
      <c r="H160" s="176">
        <f t="shared" si="106"/>
        <v>0</v>
      </c>
      <c r="I160" s="204">
        <f t="shared" si="106"/>
        <v>0</v>
      </c>
      <c r="J160" s="203">
        <f t="shared" si="106"/>
        <v>0</v>
      </c>
      <c r="K160" s="428">
        <f t="shared" si="106"/>
        <v>0</v>
      </c>
      <c r="L160" s="176">
        <f t="shared" si="106"/>
        <v>0</v>
      </c>
      <c r="M160" s="204">
        <f t="shared" si="106"/>
        <v>0</v>
      </c>
      <c r="N160" s="203">
        <f t="shared" si="106"/>
        <v>0</v>
      </c>
      <c r="O160" s="428">
        <f t="shared" si="106"/>
        <v>0</v>
      </c>
      <c r="P160" s="176">
        <f t="shared" si="106"/>
        <v>0</v>
      </c>
      <c r="Q160" s="204">
        <f t="shared" si="106"/>
        <v>0</v>
      </c>
      <c r="R160" s="203">
        <f t="shared" si="106"/>
        <v>0</v>
      </c>
      <c r="S160" s="428">
        <f t="shared" si="106"/>
        <v>0</v>
      </c>
      <c r="T160" s="176">
        <f t="shared" si="106"/>
        <v>0</v>
      </c>
      <c r="U160" s="204">
        <f t="shared" si="106"/>
        <v>0</v>
      </c>
      <c r="V160" s="203">
        <f t="shared" si="106"/>
        <v>0</v>
      </c>
      <c r="W160" s="428">
        <f t="shared" si="106"/>
        <v>0</v>
      </c>
      <c r="X160" s="204">
        <f t="shared" si="106"/>
        <v>0</v>
      </c>
      <c r="Y160" s="92">
        <f t="shared" si="106"/>
        <v>30.54699544745</v>
      </c>
      <c r="Z160" s="109">
        <f t="shared" si="106"/>
        <v>30.546995445660002</v>
      </c>
      <c r="AA160" s="92">
        <f t="shared" si="106"/>
        <v>45.16558670760001</v>
      </c>
      <c r="AB160" s="92">
        <f t="shared" si="106"/>
        <v>91.27924159105</v>
      </c>
      <c r="AC160" s="92">
        <f t="shared" si="106"/>
        <v>115.85111425253999</v>
      </c>
      <c r="AD160" s="159">
        <f t="shared" si="106"/>
        <v>177.6924932446</v>
      </c>
      <c r="AE160" s="246">
        <f t="shared" si="106"/>
        <v>181.39188079786862</v>
      </c>
      <c r="AF160" s="121">
        <f t="shared" si="106"/>
        <v>201.86400002405998</v>
      </c>
      <c r="AG160" s="121">
        <f t="shared" si="106"/>
        <v>200.72913753385998</v>
      </c>
      <c r="AH160" s="214">
        <f t="shared" si="106"/>
        <v>200.72913747996</v>
      </c>
      <c r="AI160" s="438">
        <f t="shared" si="106"/>
        <v>198.78374100257003</v>
      </c>
      <c r="AJ160" s="121">
        <f t="shared" si="106"/>
        <v>198.78374098967998</v>
      </c>
      <c r="AK160" s="121">
        <f t="shared" si="106"/>
        <v>190.4921115072</v>
      </c>
      <c r="AL160" s="214">
        <f t="shared" si="106"/>
        <v>182.20048196699997</v>
      </c>
      <c r="AM160" s="121">
        <f t="shared" si="106"/>
        <v>182.20048200662</v>
      </c>
      <c r="AN160" s="121">
        <f t="shared" si="106"/>
        <v>184.40500059205</v>
      </c>
      <c r="AO160" s="121">
        <f t="shared" si="106"/>
        <v>182.20048199540997</v>
      </c>
      <c r="AP160" s="121">
        <f t="shared" si="106"/>
        <v>182.20048197687998</v>
      </c>
      <c r="AQ160" s="121">
        <f t="shared" si="106"/>
        <v>182.2004820417</v>
      </c>
      <c r="AR160" s="121">
        <f t="shared" si="106"/>
        <v>182.20048201454</v>
      </c>
      <c r="AS160" s="121">
        <f t="shared" si="106"/>
        <v>173.90885251824</v>
      </c>
      <c r="AT160" s="121">
        <f t="shared" si="106"/>
        <v>173.90885248854</v>
      </c>
      <c r="AU160" s="121">
        <f t="shared" si="106"/>
        <v>173.90885248758997</v>
      </c>
      <c r="AV160" s="121">
        <f t="shared" si="106"/>
        <v>173.90885248461</v>
      </c>
      <c r="AW160" s="214">
        <f t="shared" si="106"/>
        <v>173.90885248944</v>
      </c>
    </row>
    <row r="161" spans="2:49" s="29" customFormat="1" ht="14.25">
      <c r="B161" s="74" t="s">
        <v>64</v>
      </c>
      <c r="C161" s="428">
        <f aca="true" t="shared" si="107" ref="C161:Y161">+C76*C87</f>
        <v>0</v>
      </c>
      <c r="D161" s="176">
        <f t="shared" si="107"/>
        <v>0</v>
      </c>
      <c r="E161" s="204">
        <f t="shared" si="107"/>
        <v>0</v>
      </c>
      <c r="F161" s="203">
        <f t="shared" si="107"/>
        <v>0</v>
      </c>
      <c r="G161" s="428">
        <f t="shared" si="107"/>
        <v>0</v>
      </c>
      <c r="H161" s="176">
        <f t="shared" si="107"/>
        <v>0</v>
      </c>
      <c r="I161" s="204">
        <f t="shared" si="107"/>
        <v>0</v>
      </c>
      <c r="J161" s="203">
        <f t="shared" si="107"/>
        <v>0</v>
      </c>
      <c r="K161" s="428">
        <f t="shared" si="107"/>
        <v>0</v>
      </c>
      <c r="L161" s="176">
        <f t="shared" si="107"/>
        <v>0</v>
      </c>
      <c r="M161" s="204">
        <f t="shared" si="107"/>
        <v>0</v>
      </c>
      <c r="N161" s="203">
        <f t="shared" si="107"/>
        <v>0</v>
      </c>
      <c r="O161" s="428">
        <f t="shared" si="107"/>
        <v>0</v>
      </c>
      <c r="P161" s="176">
        <f t="shared" si="107"/>
        <v>0</v>
      </c>
      <c r="Q161" s="204">
        <f t="shared" si="107"/>
        <v>0</v>
      </c>
      <c r="R161" s="203">
        <f t="shared" si="107"/>
        <v>0</v>
      </c>
      <c r="S161" s="428">
        <f t="shared" si="107"/>
        <v>0</v>
      </c>
      <c r="T161" s="176">
        <f t="shared" si="107"/>
        <v>0</v>
      </c>
      <c r="U161" s="204">
        <f t="shared" si="107"/>
        <v>0</v>
      </c>
      <c r="V161" s="203">
        <f t="shared" si="107"/>
        <v>0</v>
      </c>
      <c r="W161" s="428">
        <f t="shared" si="107"/>
        <v>0</v>
      </c>
      <c r="X161" s="204">
        <f t="shared" si="107"/>
        <v>0</v>
      </c>
      <c r="Y161" s="96">
        <f t="shared" si="107"/>
        <v>30.54699544745</v>
      </c>
      <c r="Z161" s="129">
        <f>+Z76*$Z$87</f>
        <v>30.546995445660002</v>
      </c>
      <c r="AA161" s="149">
        <f>+AA76*AA87</f>
        <v>45.16558670760001</v>
      </c>
      <c r="AB161" s="156">
        <f>+AB76*$AB$87</f>
        <v>58.206618969999994</v>
      </c>
      <c r="AC161" s="96">
        <f>+AC76*$AC$87</f>
        <v>71.10396150125999</v>
      </c>
      <c r="AD161" s="107">
        <f>+AD76*$AD$87</f>
        <v>92.69249325004</v>
      </c>
      <c r="AE161" s="71">
        <f>+AE76/$AE$87</f>
        <v>96.39188080040584</v>
      </c>
      <c r="AF161" s="125">
        <f>+AF76*$AF$87</f>
        <v>116.86400002321</v>
      </c>
      <c r="AG161" s="125">
        <f>+AG76*$AG$87</f>
        <v>119.00163752047999</v>
      </c>
      <c r="AH161" s="126">
        <f>+AH76*$AH$87</f>
        <v>119.0016374928</v>
      </c>
      <c r="AI161" s="433">
        <f>+AI76*$AI$87</f>
        <v>120.32874100405</v>
      </c>
      <c r="AJ161" s="125">
        <f>+AJ76*$AJ$87</f>
        <v>120.3287409984</v>
      </c>
      <c r="AK161" s="125">
        <f>+AK76*$AK$87</f>
        <v>115.30961149584</v>
      </c>
      <c r="AL161" s="126">
        <f>+AL76*$AL$87</f>
        <v>110.29048196494999</v>
      </c>
      <c r="AM161" s="125">
        <f>+AM76*$AM$87</f>
        <v>110.29048201446001</v>
      </c>
      <c r="AN161" s="125">
        <f>+AN76*$AN$87</f>
        <v>111.62493192765</v>
      </c>
      <c r="AO161" s="125">
        <f>+AO76*$AO$87</f>
        <v>110.29048199569999</v>
      </c>
      <c r="AP161" s="125">
        <f>+AP76*$AP$87</f>
        <v>110.29048198113</v>
      </c>
      <c r="AQ161" s="125">
        <f>+AQ76*$AQ$87</f>
        <v>110.29048202686002</v>
      </c>
      <c r="AR161" s="125">
        <f>+AR76*$AR$87</f>
        <v>110.2904820006</v>
      </c>
      <c r="AS161" s="125">
        <f>+AS76*$AS$87</f>
        <v>105.27135251976</v>
      </c>
      <c r="AT161" s="125">
        <f>+AT76*$AT$87</f>
        <v>105.27135247902</v>
      </c>
      <c r="AU161" s="125">
        <f>+AU76*$AU$87</f>
        <v>105.27135249663999</v>
      </c>
      <c r="AV161" s="125">
        <f>+AV76*$AV$87</f>
        <v>105.27135248517999</v>
      </c>
      <c r="AW161" s="257">
        <f>+AW76*$AW$87</f>
        <v>105.27135250015999</v>
      </c>
    </row>
    <row r="162" spans="2:49" s="29" customFormat="1" ht="14.25">
      <c r="B162" s="74" t="s">
        <v>65</v>
      </c>
      <c r="C162" s="249">
        <f aca="true" t="shared" si="108" ref="C162:Y162">+C77*C87</f>
        <v>0</v>
      </c>
      <c r="D162" s="176">
        <f t="shared" si="108"/>
        <v>0</v>
      </c>
      <c r="E162" s="204">
        <f t="shared" si="108"/>
        <v>0</v>
      </c>
      <c r="F162" s="203">
        <f t="shared" si="108"/>
        <v>0</v>
      </c>
      <c r="G162" s="249">
        <f t="shared" si="108"/>
        <v>0</v>
      </c>
      <c r="H162" s="176">
        <f t="shared" si="108"/>
        <v>0</v>
      </c>
      <c r="I162" s="204">
        <f t="shared" si="108"/>
        <v>0</v>
      </c>
      <c r="J162" s="203">
        <f t="shared" si="108"/>
        <v>0</v>
      </c>
      <c r="K162" s="249">
        <f t="shared" si="108"/>
        <v>0</v>
      </c>
      <c r="L162" s="176">
        <f t="shared" si="108"/>
        <v>0</v>
      </c>
      <c r="M162" s="204">
        <f t="shared" si="108"/>
        <v>0</v>
      </c>
      <c r="N162" s="203">
        <f t="shared" si="108"/>
        <v>0</v>
      </c>
      <c r="O162" s="249">
        <f t="shared" si="108"/>
        <v>0</v>
      </c>
      <c r="P162" s="176">
        <f t="shared" si="108"/>
        <v>0</v>
      </c>
      <c r="Q162" s="204">
        <f t="shared" si="108"/>
        <v>0</v>
      </c>
      <c r="R162" s="203">
        <f t="shared" si="108"/>
        <v>0</v>
      </c>
      <c r="S162" s="249">
        <f t="shared" si="108"/>
        <v>0</v>
      </c>
      <c r="T162" s="176">
        <f t="shared" si="108"/>
        <v>0</v>
      </c>
      <c r="U162" s="204">
        <f t="shared" si="108"/>
        <v>0</v>
      </c>
      <c r="V162" s="203">
        <f t="shared" si="108"/>
        <v>0</v>
      </c>
      <c r="W162" s="428">
        <f t="shared" si="108"/>
        <v>0</v>
      </c>
      <c r="X162" s="204">
        <f t="shared" si="108"/>
        <v>0</v>
      </c>
      <c r="Y162" s="179">
        <f t="shared" si="108"/>
        <v>0</v>
      </c>
      <c r="Z162" s="203">
        <f>+Z77*$Z$87</f>
        <v>0</v>
      </c>
      <c r="AA162" s="181">
        <f>+AA77*AA87</f>
        <v>0</v>
      </c>
      <c r="AB162" s="156">
        <f>+AB77*$AB$87</f>
        <v>33.07262262105</v>
      </c>
      <c r="AC162" s="96">
        <f>+AC77*$AC$87</f>
        <v>44.74715275128</v>
      </c>
      <c r="AD162" s="107">
        <f>+AD77*$AD$87</f>
        <v>84.99999999456</v>
      </c>
      <c r="AE162" s="71">
        <f>+AE77/$AE$87</f>
        <v>84.99999999746278</v>
      </c>
      <c r="AF162" s="125">
        <f>+AF77*$AF$87</f>
        <v>85.00000000085</v>
      </c>
      <c r="AG162" s="125">
        <f>+AG77*$AG$87</f>
        <v>81.72750001338</v>
      </c>
      <c r="AH162" s="126">
        <f>+AH77*$AH$87</f>
        <v>81.72749998716</v>
      </c>
      <c r="AI162" s="433">
        <f>+AI77*$AI$87</f>
        <v>78.45499999852001</v>
      </c>
      <c r="AJ162" s="125">
        <f>+AJ77*$AJ$87</f>
        <v>78.45499999127999</v>
      </c>
      <c r="AK162" s="125">
        <f>+AK77*$AK$87</f>
        <v>75.18250001136</v>
      </c>
      <c r="AL162" s="126">
        <f>+AL77*$AL$87</f>
        <v>71.91000000205</v>
      </c>
      <c r="AM162" s="125">
        <f>+AM77*$AM$87</f>
        <v>71.90999999216</v>
      </c>
      <c r="AN162" s="125">
        <f>+AN77*$AN$87</f>
        <v>72.7800686644</v>
      </c>
      <c r="AO162" s="125">
        <f>+AO77*$AO$87</f>
        <v>71.90999999971</v>
      </c>
      <c r="AP162" s="125">
        <f>+AP77*$AP$87</f>
        <v>71.90999999575</v>
      </c>
      <c r="AQ162" s="125">
        <f>+AQ77*$AQ$87</f>
        <v>71.91000001484</v>
      </c>
      <c r="AR162" s="125">
        <f>+AR77*$AR$87</f>
        <v>71.91000001393999</v>
      </c>
      <c r="AS162" s="125">
        <f>+AS77*$AS$87</f>
        <v>68.63749999848001</v>
      </c>
      <c r="AT162" s="125">
        <f>+AT77*$AT$87</f>
        <v>68.63750000952</v>
      </c>
      <c r="AU162" s="125">
        <f>+AU77*$AU$87</f>
        <v>68.63749999094999</v>
      </c>
      <c r="AV162" s="125">
        <f>+AV77*$AV$87</f>
        <v>68.63749999943</v>
      </c>
      <c r="AW162" s="257">
        <f>+AW77*$AW$87</f>
        <v>68.63749998928</v>
      </c>
    </row>
    <row r="163" spans="2:49" s="29" customFormat="1" ht="6.75" customHeight="1">
      <c r="B163" s="51"/>
      <c r="C163" s="153"/>
      <c r="D163" s="97"/>
      <c r="E163" s="97"/>
      <c r="F163" s="461"/>
      <c r="G163" s="465"/>
      <c r="H163" s="464"/>
      <c r="I163" s="97"/>
      <c r="J163" s="461"/>
      <c r="K163" s="465"/>
      <c r="L163" s="464"/>
      <c r="M163" s="464"/>
      <c r="N163" s="461"/>
      <c r="O163" s="465"/>
      <c r="P163" s="464"/>
      <c r="Q163" s="464"/>
      <c r="R163" s="461"/>
      <c r="S163" s="465"/>
      <c r="T163" s="464"/>
      <c r="U163" s="97"/>
      <c r="V163" s="461"/>
      <c r="W163" s="153"/>
      <c r="X163" s="97"/>
      <c r="Y163" s="97"/>
      <c r="Z163" s="461"/>
      <c r="AA163" s="153"/>
      <c r="AB163" s="97"/>
      <c r="AC163" s="158"/>
      <c r="AD163" s="254"/>
      <c r="AE163" s="84"/>
      <c r="AF163" s="125"/>
      <c r="AG163" s="197"/>
      <c r="AH163" s="192"/>
      <c r="AI163" s="197"/>
      <c r="AJ163" s="197"/>
      <c r="AK163" s="197"/>
      <c r="AL163" s="192"/>
      <c r="AM163" s="197"/>
      <c r="AN163" s="197"/>
      <c r="AO163" s="197"/>
      <c r="AP163" s="197"/>
      <c r="AQ163" s="197"/>
      <c r="AR163" s="197"/>
      <c r="AS163" s="197"/>
      <c r="AT163" s="197"/>
      <c r="AU163" s="197"/>
      <c r="AV163" s="197"/>
      <c r="AW163" s="585"/>
    </row>
    <row r="164" spans="2:49" s="29" customFormat="1" ht="15" customHeight="1">
      <c r="B164" s="647" t="s">
        <v>38</v>
      </c>
      <c r="C164" s="707">
        <f aca="true" t="shared" si="109" ref="C164:AT164">+C144+C99</f>
        <v>2696.0301446977405</v>
      </c>
      <c r="D164" s="707">
        <f t="shared" si="109"/>
        <v>2640.6128225580005</v>
      </c>
      <c r="E164" s="707">
        <f t="shared" si="109"/>
        <v>2576.7372049574997</v>
      </c>
      <c r="F164" s="670">
        <f t="shared" si="109"/>
        <v>2556.4878643415595</v>
      </c>
      <c r="G164" s="709">
        <f t="shared" si="109"/>
        <v>2537.33901489696</v>
      </c>
      <c r="H164" s="709">
        <f t="shared" si="109"/>
        <v>2470.4229232796797</v>
      </c>
      <c r="I164" s="644">
        <f t="shared" si="109"/>
        <v>2627.6826853783805</v>
      </c>
      <c r="J164" s="670">
        <f t="shared" si="109"/>
        <v>2505.27119878224</v>
      </c>
      <c r="K164" s="709">
        <f t="shared" si="109"/>
        <v>2408.2941304209794</v>
      </c>
      <c r="L164" s="709">
        <f t="shared" si="109"/>
        <v>2490.47190527478</v>
      </c>
      <c r="M164" s="709">
        <f t="shared" si="109"/>
        <v>2520.79911510765</v>
      </c>
      <c r="N164" s="670">
        <f t="shared" si="109"/>
        <v>2941.9882544902594</v>
      </c>
      <c r="O164" s="709">
        <f t="shared" si="109"/>
        <v>2838.5641368971305</v>
      </c>
      <c r="P164" s="709">
        <f t="shared" si="109"/>
        <v>2777.1791484948703</v>
      </c>
      <c r="Q164" s="709">
        <f t="shared" si="109"/>
        <v>2750.42742371845</v>
      </c>
      <c r="R164" s="670">
        <f t="shared" si="109"/>
        <v>2762.31298462049</v>
      </c>
      <c r="S164" s="709">
        <f t="shared" si="109"/>
        <v>2905.34821947538</v>
      </c>
      <c r="T164" s="709">
        <f t="shared" si="109"/>
        <v>3286.7306770780897</v>
      </c>
      <c r="U164" s="644">
        <f t="shared" si="109"/>
        <v>3391.934563429559</v>
      </c>
      <c r="V164" s="670">
        <f t="shared" si="109"/>
        <v>3657.4365239010613</v>
      </c>
      <c r="W164" s="707">
        <f t="shared" si="109"/>
        <v>3536.9846778981</v>
      </c>
      <c r="X164" s="707">
        <f t="shared" si="109"/>
        <v>3440.1467596099988</v>
      </c>
      <c r="Y164" s="707">
        <f t="shared" si="109"/>
        <v>3584.6639983643704</v>
      </c>
      <c r="Z164" s="711">
        <f t="shared" si="109"/>
        <v>3539.741451985051</v>
      </c>
      <c r="AA164" s="642">
        <f t="shared" si="109"/>
        <v>3371.90416253984</v>
      </c>
      <c r="AB164" s="644">
        <f t="shared" si="109"/>
        <v>5453.719258011109</v>
      </c>
      <c r="AC164" s="644">
        <f t="shared" si="109"/>
        <v>5399.57230506184</v>
      </c>
      <c r="AD164" s="670">
        <f t="shared" si="109"/>
        <v>5274.1209584689595</v>
      </c>
      <c r="AE164" s="644">
        <f t="shared" si="109"/>
        <v>5027.926314577824</v>
      </c>
      <c r="AF164" s="635">
        <f t="shared" si="109"/>
        <v>5179.846840620859</v>
      </c>
      <c r="AG164" s="635">
        <f t="shared" si="109"/>
        <v>5112.54848306954</v>
      </c>
      <c r="AH164" s="623">
        <f t="shared" si="109"/>
        <v>4928.767966525079</v>
      </c>
      <c r="AI164" s="635">
        <f t="shared" si="109"/>
        <v>4985.27793591452</v>
      </c>
      <c r="AJ164" s="635">
        <f t="shared" si="109"/>
        <v>4957.17150822968</v>
      </c>
      <c r="AK164" s="635">
        <f t="shared" si="109"/>
        <v>4820.305931059561</v>
      </c>
      <c r="AL164" s="623">
        <f t="shared" si="109"/>
        <v>4744.61885017251</v>
      </c>
      <c r="AM164" s="635">
        <f t="shared" si="109"/>
        <v>4611.74371833706</v>
      </c>
      <c r="AN164" s="635">
        <f t="shared" si="109"/>
        <v>4626.749960565649</v>
      </c>
      <c r="AO164" s="635">
        <f>+AO144+AO99</f>
        <v>4615.683703049659</v>
      </c>
      <c r="AP164" s="635">
        <f t="shared" si="109"/>
        <v>4691.8677057093</v>
      </c>
      <c r="AQ164" s="635">
        <f t="shared" si="109"/>
        <v>4691.7030707737395</v>
      </c>
      <c r="AR164" s="635">
        <f>+AR144+AR99</f>
        <v>4641.643316019599</v>
      </c>
      <c r="AS164" s="635">
        <f t="shared" si="109"/>
        <v>4616.359449362641</v>
      </c>
      <c r="AT164" s="635">
        <f t="shared" si="109"/>
        <v>4791.32825149797</v>
      </c>
      <c r="AU164" s="635">
        <f>+AU144+AU99</f>
        <v>4696.1373681140585</v>
      </c>
      <c r="AV164" s="635">
        <f>+AV144+AV99</f>
        <v>4890.330032029551</v>
      </c>
      <c r="AW164" s="713">
        <f>+AW144+AW99</f>
        <v>5155.40606115008</v>
      </c>
    </row>
    <row r="165" spans="2:49" s="29" customFormat="1" ht="15" customHeight="1">
      <c r="B165" s="648"/>
      <c r="C165" s="708"/>
      <c r="D165" s="708"/>
      <c r="E165" s="708"/>
      <c r="F165" s="671"/>
      <c r="G165" s="710"/>
      <c r="H165" s="710"/>
      <c r="I165" s="645"/>
      <c r="J165" s="671"/>
      <c r="K165" s="710"/>
      <c r="L165" s="710"/>
      <c r="M165" s="710"/>
      <c r="N165" s="671"/>
      <c r="O165" s="710"/>
      <c r="P165" s="710"/>
      <c r="Q165" s="710"/>
      <c r="R165" s="671"/>
      <c r="S165" s="710"/>
      <c r="T165" s="710"/>
      <c r="U165" s="645"/>
      <c r="V165" s="671"/>
      <c r="W165" s="708"/>
      <c r="X165" s="708"/>
      <c r="Y165" s="708"/>
      <c r="Z165" s="712"/>
      <c r="AA165" s="643"/>
      <c r="AB165" s="645"/>
      <c r="AC165" s="645"/>
      <c r="AD165" s="671"/>
      <c r="AE165" s="645"/>
      <c r="AF165" s="636"/>
      <c r="AG165" s="636"/>
      <c r="AH165" s="624"/>
      <c r="AI165" s="636"/>
      <c r="AJ165" s="636"/>
      <c r="AK165" s="636"/>
      <c r="AL165" s="624"/>
      <c r="AM165" s="636"/>
      <c r="AN165" s="636"/>
      <c r="AO165" s="636"/>
      <c r="AP165" s="636"/>
      <c r="AQ165" s="636"/>
      <c r="AR165" s="636"/>
      <c r="AS165" s="636"/>
      <c r="AT165" s="636"/>
      <c r="AU165" s="636"/>
      <c r="AV165" s="636"/>
      <c r="AW165" s="714"/>
    </row>
    <row r="166" spans="2:39" s="29" customFormat="1" ht="7.5" customHeight="1">
      <c r="B166" s="57"/>
      <c r="C166" s="145"/>
      <c r="D166" s="145"/>
      <c r="E166" s="145"/>
      <c r="F166" s="57"/>
      <c r="G166" s="145"/>
      <c r="H166" s="145"/>
      <c r="I166" s="145"/>
      <c r="J166" s="57"/>
      <c r="K166" s="145"/>
      <c r="L166" s="145"/>
      <c r="M166" s="145"/>
      <c r="N166" s="57"/>
      <c r="O166" s="145"/>
      <c r="P166" s="145"/>
      <c r="Q166" s="462"/>
      <c r="R166" s="57"/>
      <c r="S166" s="462"/>
      <c r="T166" s="462"/>
      <c r="U166" s="145"/>
      <c r="V166" s="145"/>
      <c r="W166" s="145"/>
      <c r="X166" s="145"/>
      <c r="Y166" s="145"/>
      <c r="Z166" s="57"/>
      <c r="AA166" s="57"/>
      <c r="AB166" s="57"/>
      <c r="AC166" s="52"/>
      <c r="AD166" s="52"/>
      <c r="AF166" s="83"/>
      <c r="AG166" s="83"/>
      <c r="AH166" s="83"/>
      <c r="AI166" s="83"/>
      <c r="AJ166" s="83"/>
      <c r="AK166" s="83"/>
      <c r="AL166" s="83"/>
      <c r="AM166" s="83"/>
    </row>
    <row r="167" spans="2:39" s="29" customFormat="1" ht="15">
      <c r="B167" s="28" t="s">
        <v>82</v>
      </c>
      <c r="C167" s="377"/>
      <c r="D167" s="377"/>
      <c r="E167" s="377"/>
      <c r="F167" s="28"/>
      <c r="G167" s="377"/>
      <c r="H167" s="377"/>
      <c r="I167" s="377"/>
      <c r="J167" s="28"/>
      <c r="K167" s="377"/>
      <c r="L167" s="377"/>
      <c r="M167" s="377"/>
      <c r="N167" s="28"/>
      <c r="O167" s="377"/>
      <c r="P167" s="377"/>
      <c r="Q167" s="377"/>
      <c r="R167" s="28"/>
      <c r="S167" s="28"/>
      <c r="T167" s="377"/>
      <c r="U167" s="377"/>
      <c r="V167" s="28"/>
      <c r="W167" s="377"/>
      <c r="X167" s="377"/>
      <c r="Y167" s="377"/>
      <c r="Z167" s="28"/>
      <c r="AA167" s="28"/>
      <c r="AB167" s="28"/>
      <c r="AF167" s="83"/>
      <c r="AG167" s="83"/>
      <c r="AH167" s="83"/>
      <c r="AI167" s="83"/>
      <c r="AJ167" s="83"/>
      <c r="AK167" s="83"/>
      <c r="AL167" s="83"/>
      <c r="AM167" s="83"/>
    </row>
    <row r="168" spans="2:39" s="29" customFormat="1" ht="15">
      <c r="B168" s="63" t="s">
        <v>137</v>
      </c>
      <c r="C168" s="382"/>
      <c r="D168" s="382"/>
      <c r="E168" s="382"/>
      <c r="F168" s="42"/>
      <c r="G168" s="382"/>
      <c r="H168" s="382"/>
      <c r="I168" s="382"/>
      <c r="J168" s="42"/>
      <c r="K168" s="382"/>
      <c r="L168" s="382"/>
      <c r="M168" s="382"/>
      <c r="N168" s="42"/>
      <c r="O168" s="382"/>
      <c r="P168" s="382"/>
      <c r="Q168" s="382"/>
      <c r="R168" s="42"/>
      <c r="S168" s="382"/>
      <c r="T168" s="382"/>
      <c r="U168" s="382"/>
      <c r="V168" s="42"/>
      <c r="W168" s="382"/>
      <c r="X168" s="382"/>
      <c r="Y168" s="382"/>
      <c r="Z168" s="42"/>
      <c r="AA168" s="42"/>
      <c r="AB168" s="42"/>
      <c r="AE168" s="83"/>
      <c r="AF168" s="83"/>
      <c r="AG168" s="83"/>
      <c r="AH168" s="83"/>
      <c r="AI168" s="83"/>
      <c r="AJ168" s="83"/>
      <c r="AK168" s="83"/>
      <c r="AL168" s="83"/>
      <c r="AM168" s="83"/>
    </row>
    <row r="169" spans="2:39" s="29" customFormat="1" ht="15">
      <c r="B169" s="63" t="s">
        <v>138</v>
      </c>
      <c r="C169" s="382"/>
      <c r="D169" s="382"/>
      <c r="E169" s="382"/>
      <c r="F169" s="42"/>
      <c r="G169" s="382"/>
      <c r="H169" s="382"/>
      <c r="I169" s="382"/>
      <c r="J169" s="42"/>
      <c r="K169" s="382"/>
      <c r="L169" s="382"/>
      <c r="M169" s="382"/>
      <c r="N169" s="42"/>
      <c r="O169" s="382"/>
      <c r="P169" s="382"/>
      <c r="Q169" s="382"/>
      <c r="R169" s="42"/>
      <c r="S169" s="382"/>
      <c r="T169" s="382"/>
      <c r="U169" s="382"/>
      <c r="V169" s="42"/>
      <c r="W169" s="382"/>
      <c r="X169" s="382"/>
      <c r="Y169" s="382"/>
      <c r="Z169" s="42"/>
      <c r="AA169" s="42"/>
      <c r="AB169" s="42"/>
      <c r="AE169" s="83"/>
      <c r="AF169" s="83"/>
      <c r="AG169" s="83"/>
      <c r="AH169" s="83"/>
      <c r="AI169" s="83"/>
      <c r="AJ169" s="83"/>
      <c r="AK169" s="83"/>
      <c r="AL169" s="83"/>
      <c r="AM169" s="83"/>
    </row>
    <row r="170" spans="2:39" s="133" customFormat="1" ht="15">
      <c r="B170" s="63" t="s">
        <v>139</v>
      </c>
      <c r="C170" s="499"/>
      <c r="D170" s="499"/>
      <c r="E170" s="499"/>
      <c r="F170" s="498"/>
      <c r="G170" s="499"/>
      <c r="H170" s="499"/>
      <c r="I170" s="499"/>
      <c r="J170" s="498"/>
      <c r="K170" s="499"/>
      <c r="L170" s="499"/>
      <c r="M170" s="499"/>
      <c r="N170" s="498"/>
      <c r="O170" s="499"/>
      <c r="P170" s="499"/>
      <c r="Q170" s="499"/>
      <c r="R170" s="498"/>
      <c r="S170" s="499"/>
      <c r="T170" s="499"/>
      <c r="U170" s="499"/>
      <c r="V170" s="498"/>
      <c r="W170" s="499"/>
      <c r="X170" s="499"/>
      <c r="Y170" s="499"/>
      <c r="Z170" s="498"/>
      <c r="AA170" s="498"/>
      <c r="AB170" s="498"/>
      <c r="AE170" s="500"/>
      <c r="AF170" s="500"/>
      <c r="AG170" s="500"/>
      <c r="AH170" s="500"/>
      <c r="AI170" s="500"/>
      <c r="AJ170" s="500"/>
      <c r="AK170" s="500"/>
      <c r="AL170" s="500"/>
      <c r="AM170" s="500"/>
    </row>
    <row r="171" spans="2:39" s="133" customFormat="1" ht="8.25" customHeight="1">
      <c r="B171" s="498"/>
      <c r="C171" s="499"/>
      <c r="D171" s="499"/>
      <c r="E171" s="499"/>
      <c r="F171" s="498"/>
      <c r="G171" s="499"/>
      <c r="H171" s="499"/>
      <c r="I171" s="499"/>
      <c r="J171" s="498"/>
      <c r="K171" s="499"/>
      <c r="L171" s="499"/>
      <c r="M171" s="499"/>
      <c r="N171" s="498"/>
      <c r="O171" s="499"/>
      <c r="P171" s="499"/>
      <c r="Q171" s="499"/>
      <c r="R171" s="498"/>
      <c r="S171" s="499"/>
      <c r="T171" s="499"/>
      <c r="U171" s="499"/>
      <c r="V171" s="498"/>
      <c r="W171" s="499"/>
      <c r="X171" s="499"/>
      <c r="Y171" s="499"/>
      <c r="Z171" s="498"/>
      <c r="AA171" s="498"/>
      <c r="AB171" s="498"/>
      <c r="AE171" s="500"/>
      <c r="AF171" s="500"/>
      <c r="AG171" s="500"/>
      <c r="AH171" s="500"/>
      <c r="AI171" s="500"/>
      <c r="AJ171" s="500"/>
      <c r="AK171" s="500"/>
      <c r="AL171" s="500"/>
      <c r="AM171" s="500"/>
    </row>
    <row r="172" spans="2:28" ht="15">
      <c r="B172" s="88" t="s">
        <v>71</v>
      </c>
      <c r="C172" s="383"/>
      <c r="D172" s="383"/>
      <c r="E172" s="383"/>
      <c r="F172" s="88"/>
      <c r="G172" s="383"/>
      <c r="H172" s="383"/>
      <c r="I172" s="383"/>
      <c r="J172" s="88"/>
      <c r="K172" s="383"/>
      <c r="L172" s="383"/>
      <c r="M172" s="383"/>
      <c r="N172" s="88"/>
      <c r="O172" s="383"/>
      <c r="P172" s="383"/>
      <c r="Q172" s="383"/>
      <c r="R172" s="88"/>
      <c r="S172" s="383"/>
      <c r="T172" s="383"/>
      <c r="U172" s="383"/>
      <c r="V172" s="88"/>
      <c r="W172" s="383"/>
      <c r="X172" s="383"/>
      <c r="Y172" s="383"/>
      <c r="Z172" s="88"/>
      <c r="AA172" s="88"/>
      <c r="AB172" s="88"/>
    </row>
    <row r="173" spans="2:39" ht="15">
      <c r="B173" s="88" t="s">
        <v>145</v>
      </c>
      <c r="C173" s="384"/>
      <c r="D173" s="384"/>
      <c r="E173" s="384"/>
      <c r="F173" s="182"/>
      <c r="G173" s="384"/>
      <c r="H173" s="384"/>
      <c r="I173" s="384"/>
      <c r="J173" s="182"/>
      <c r="K173" s="384"/>
      <c r="L173" s="384"/>
      <c r="M173" s="384"/>
      <c r="N173" s="182"/>
      <c r="O173" s="384"/>
      <c r="P173" s="384"/>
      <c r="Q173" s="384"/>
      <c r="R173" s="182"/>
      <c r="S173" s="384"/>
      <c r="T173" s="384"/>
      <c r="U173" s="384"/>
      <c r="V173" s="182"/>
      <c r="W173" s="384"/>
      <c r="X173" s="384"/>
      <c r="Y173" s="384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233"/>
      <c r="AJ173" s="233"/>
      <c r="AK173" s="233"/>
      <c r="AL173" s="233"/>
      <c r="AM173" s="233"/>
    </row>
    <row r="174" spans="3:39" ht="14.25">
      <c r="C174" s="385"/>
      <c r="D174" s="385"/>
      <c r="E174" s="385"/>
      <c r="F174" s="183"/>
      <c r="G174" s="385"/>
      <c r="H174" s="385"/>
      <c r="I174" s="385"/>
      <c r="J174" s="183"/>
      <c r="K174" s="385"/>
      <c r="L174" s="385"/>
      <c r="M174" s="385"/>
      <c r="N174" s="183"/>
      <c r="O174" s="385"/>
      <c r="P174" s="385"/>
      <c r="Q174" s="385"/>
      <c r="R174" s="183"/>
      <c r="S174" s="385"/>
      <c r="T174" s="385"/>
      <c r="U174" s="385"/>
      <c r="V174" s="183"/>
      <c r="W174" s="385"/>
      <c r="X174" s="385"/>
      <c r="Y174" s="385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3"/>
      <c r="AL174" s="183"/>
      <c r="AM174" s="183"/>
    </row>
    <row r="175" spans="3:32" ht="15">
      <c r="C175" s="386"/>
      <c r="D175" s="386"/>
      <c r="E175" s="386"/>
      <c r="F175" s="212"/>
      <c r="G175" s="386"/>
      <c r="H175" s="386"/>
      <c r="I175" s="386"/>
      <c r="J175" s="212"/>
      <c r="K175" s="386"/>
      <c r="L175" s="386"/>
      <c r="M175" s="386"/>
      <c r="N175" s="212"/>
      <c r="O175" s="386"/>
      <c r="P175" s="386"/>
      <c r="Q175" s="386"/>
      <c r="R175" s="212"/>
      <c r="S175" s="386"/>
      <c r="T175" s="386"/>
      <c r="U175" s="386"/>
      <c r="V175" s="212"/>
      <c r="W175" s="386"/>
      <c r="X175" s="386"/>
      <c r="Y175" s="386"/>
      <c r="Z175" s="212"/>
      <c r="AA175" s="212"/>
      <c r="AB175" s="212"/>
      <c r="AC175" s="212"/>
      <c r="AD175" s="212"/>
      <c r="AE175" s="212"/>
      <c r="AF175" s="212"/>
    </row>
    <row r="176" spans="3:39" ht="14.25">
      <c r="C176" s="387"/>
      <c r="D176" s="387"/>
      <c r="E176" s="387"/>
      <c r="F176" s="160"/>
      <c r="G176" s="387"/>
      <c r="H176" s="387"/>
      <c r="I176" s="387"/>
      <c r="J176" s="160"/>
      <c r="K176" s="387"/>
      <c r="L176" s="387"/>
      <c r="M176" s="387"/>
      <c r="N176" s="160"/>
      <c r="O176" s="387"/>
      <c r="P176" s="387"/>
      <c r="Q176" s="387"/>
      <c r="R176" s="160"/>
      <c r="S176" s="387"/>
      <c r="T176" s="387"/>
      <c r="U176" s="387"/>
      <c r="V176" s="160"/>
      <c r="W176" s="387"/>
      <c r="X176" s="387"/>
      <c r="Y176" s="387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</row>
    <row r="180" spans="2:28" ht="15">
      <c r="B180"/>
      <c r="C180" s="388"/>
      <c r="D180" s="388"/>
      <c r="E180" s="388"/>
      <c r="F180"/>
      <c r="G180" s="388"/>
      <c r="H180" s="388"/>
      <c r="I180" s="388"/>
      <c r="J180"/>
      <c r="K180" s="388"/>
      <c r="L180" s="388"/>
      <c r="M180" s="388"/>
      <c r="N180"/>
      <c r="O180" s="388"/>
      <c r="P180" s="388"/>
      <c r="Q180" s="388"/>
      <c r="R180"/>
      <c r="S180" s="388"/>
      <c r="T180" s="388"/>
      <c r="U180" s="388"/>
      <c r="V180"/>
      <c r="W180" s="388"/>
      <c r="X180" s="388"/>
      <c r="Y180" s="388"/>
      <c r="Z180"/>
      <c r="AA180"/>
      <c r="AB180"/>
    </row>
  </sheetData>
  <sheetProtection/>
  <mergeCells count="212">
    <mergeCell ref="AR164:AR165"/>
    <mergeCell ref="AS164:AS165"/>
    <mergeCell ref="AT164:AT165"/>
    <mergeCell ref="AU164:AU165"/>
    <mergeCell ref="AV164:AV165"/>
    <mergeCell ref="AW164:AW165"/>
    <mergeCell ref="AL164:AL165"/>
    <mergeCell ref="AM164:AM165"/>
    <mergeCell ref="AN164:AN165"/>
    <mergeCell ref="AO164:AO165"/>
    <mergeCell ref="AP164:AP165"/>
    <mergeCell ref="AQ164:AQ165"/>
    <mergeCell ref="AF164:AF165"/>
    <mergeCell ref="AG164:AG165"/>
    <mergeCell ref="AH164:AH165"/>
    <mergeCell ref="AI164:AI165"/>
    <mergeCell ref="AJ164:AJ165"/>
    <mergeCell ref="AK164:AK165"/>
    <mergeCell ref="Z164:Z165"/>
    <mergeCell ref="AA164:AA165"/>
    <mergeCell ref="AB164:AB165"/>
    <mergeCell ref="AC164:AC165"/>
    <mergeCell ref="AD164:AD165"/>
    <mergeCell ref="AE164:AE165"/>
    <mergeCell ref="T164:T165"/>
    <mergeCell ref="U164:U165"/>
    <mergeCell ref="V164:V165"/>
    <mergeCell ref="W164:W165"/>
    <mergeCell ref="X164:X165"/>
    <mergeCell ref="Y164:Y165"/>
    <mergeCell ref="N164:N165"/>
    <mergeCell ref="O164:O165"/>
    <mergeCell ref="P164:P165"/>
    <mergeCell ref="Q164:Q165"/>
    <mergeCell ref="R164:R165"/>
    <mergeCell ref="S164:S165"/>
    <mergeCell ref="H164:H165"/>
    <mergeCell ref="I164:I165"/>
    <mergeCell ref="J164:J165"/>
    <mergeCell ref="K164:K165"/>
    <mergeCell ref="L164:L165"/>
    <mergeCell ref="M164:M165"/>
    <mergeCell ref="B164:B165"/>
    <mergeCell ref="C164:C165"/>
    <mergeCell ref="D164:D165"/>
    <mergeCell ref="E164:E165"/>
    <mergeCell ref="F164:F165"/>
    <mergeCell ref="G164:G165"/>
    <mergeCell ref="AR96:AR97"/>
    <mergeCell ref="AS96:AS97"/>
    <mergeCell ref="AT96:AT97"/>
    <mergeCell ref="AU96:AU97"/>
    <mergeCell ref="AV96:AV97"/>
    <mergeCell ref="AW96:AW97"/>
    <mergeCell ref="AL96:AL97"/>
    <mergeCell ref="AM96:AM97"/>
    <mergeCell ref="AN96:AN97"/>
    <mergeCell ref="AO96:AO97"/>
    <mergeCell ref="AP96:AP97"/>
    <mergeCell ref="AQ96:AQ97"/>
    <mergeCell ref="AF96:AF97"/>
    <mergeCell ref="AG96:AG97"/>
    <mergeCell ref="AH96:AH97"/>
    <mergeCell ref="AI96:AI97"/>
    <mergeCell ref="AJ96:AJ97"/>
    <mergeCell ref="AK96:AK97"/>
    <mergeCell ref="Z96:Z97"/>
    <mergeCell ref="AA96:AA97"/>
    <mergeCell ref="AB96:AB97"/>
    <mergeCell ref="AC96:AC97"/>
    <mergeCell ref="AD96:AD97"/>
    <mergeCell ref="AE96:AE97"/>
    <mergeCell ref="T96:T97"/>
    <mergeCell ref="U96:U97"/>
    <mergeCell ref="V96:V97"/>
    <mergeCell ref="W96:W97"/>
    <mergeCell ref="X96:X97"/>
    <mergeCell ref="Y96:Y97"/>
    <mergeCell ref="N96:N97"/>
    <mergeCell ref="O96:O97"/>
    <mergeCell ref="P96:P97"/>
    <mergeCell ref="Q96:Q97"/>
    <mergeCell ref="R96:R97"/>
    <mergeCell ref="S96:S97"/>
    <mergeCell ref="H96:H97"/>
    <mergeCell ref="I96:I97"/>
    <mergeCell ref="J96:J97"/>
    <mergeCell ref="K96:K97"/>
    <mergeCell ref="L96:L97"/>
    <mergeCell ref="M96:M97"/>
    <mergeCell ref="W95:Z95"/>
    <mergeCell ref="AA95:AD95"/>
    <mergeCell ref="AE95:AH95"/>
    <mergeCell ref="AI95:AL95"/>
    <mergeCell ref="AM95:AW95"/>
    <mergeCell ref="C96:C97"/>
    <mergeCell ref="D96:D97"/>
    <mergeCell ref="E96:E97"/>
    <mergeCell ref="F96:F97"/>
    <mergeCell ref="G96:G97"/>
    <mergeCell ref="AT79:AT80"/>
    <mergeCell ref="AU79:AU80"/>
    <mergeCell ref="AV79:AV80"/>
    <mergeCell ref="AW79:AW80"/>
    <mergeCell ref="B95:B97"/>
    <mergeCell ref="C95:F95"/>
    <mergeCell ref="G95:J95"/>
    <mergeCell ref="K95:N95"/>
    <mergeCell ref="O95:R95"/>
    <mergeCell ref="S95:V95"/>
    <mergeCell ref="AN79:AN80"/>
    <mergeCell ref="AO79:AO80"/>
    <mergeCell ref="AP79:AP80"/>
    <mergeCell ref="AQ79:AQ80"/>
    <mergeCell ref="AR79:AR80"/>
    <mergeCell ref="AS79:AS80"/>
    <mergeCell ref="AH79:AH80"/>
    <mergeCell ref="AI79:AI80"/>
    <mergeCell ref="AJ79:AJ80"/>
    <mergeCell ref="AK79:AK80"/>
    <mergeCell ref="AL79:AL80"/>
    <mergeCell ref="AM79:AM80"/>
    <mergeCell ref="AB79:AB80"/>
    <mergeCell ref="AC79:AC80"/>
    <mergeCell ref="AD79:AD80"/>
    <mergeCell ref="AE79:AE80"/>
    <mergeCell ref="AF79:AF80"/>
    <mergeCell ref="AG79:AG80"/>
    <mergeCell ref="V79:V80"/>
    <mergeCell ref="W79:W80"/>
    <mergeCell ref="X79:X80"/>
    <mergeCell ref="Y79:Y80"/>
    <mergeCell ref="Z79:Z80"/>
    <mergeCell ref="AA79:AA80"/>
    <mergeCell ref="P79:P80"/>
    <mergeCell ref="Q79:Q80"/>
    <mergeCell ref="R79:R80"/>
    <mergeCell ref="S79:S80"/>
    <mergeCell ref="T79:T80"/>
    <mergeCell ref="U79:U80"/>
    <mergeCell ref="J79:J80"/>
    <mergeCell ref="K79:K80"/>
    <mergeCell ref="L79:L80"/>
    <mergeCell ref="M79:M80"/>
    <mergeCell ref="N79:N80"/>
    <mergeCell ref="O79:O80"/>
    <mergeCell ref="AV11:AV12"/>
    <mergeCell ref="AW11:AW12"/>
    <mergeCell ref="B79:B80"/>
    <mergeCell ref="C79:C80"/>
    <mergeCell ref="D79:D80"/>
    <mergeCell ref="E79:E80"/>
    <mergeCell ref="F79:F80"/>
    <mergeCell ref="G79:G80"/>
    <mergeCell ref="H79:H80"/>
    <mergeCell ref="I79:I80"/>
    <mergeCell ref="AP11:AP12"/>
    <mergeCell ref="AQ11:AQ12"/>
    <mergeCell ref="AR11:AR12"/>
    <mergeCell ref="AS11:AS12"/>
    <mergeCell ref="AT11:AT12"/>
    <mergeCell ref="AU11:AU12"/>
    <mergeCell ref="AJ11:AJ12"/>
    <mergeCell ref="AK11:AK12"/>
    <mergeCell ref="AL11:AL12"/>
    <mergeCell ref="AM11:AM12"/>
    <mergeCell ref="AN11:AN12"/>
    <mergeCell ref="AO11:AO12"/>
    <mergeCell ref="AD11:AD12"/>
    <mergeCell ref="AE11:AE12"/>
    <mergeCell ref="AF11:AF12"/>
    <mergeCell ref="AG11:AG12"/>
    <mergeCell ref="AH11:AH12"/>
    <mergeCell ref="AI11:AI12"/>
    <mergeCell ref="X11:X12"/>
    <mergeCell ref="Y11:Y12"/>
    <mergeCell ref="Z11:Z12"/>
    <mergeCell ref="AA11:AA12"/>
    <mergeCell ref="AB11:AB12"/>
    <mergeCell ref="AC11:AC12"/>
    <mergeCell ref="R11:R12"/>
    <mergeCell ref="S11:S12"/>
    <mergeCell ref="T11:T12"/>
    <mergeCell ref="U11:U12"/>
    <mergeCell ref="V11:V12"/>
    <mergeCell ref="W11:W12"/>
    <mergeCell ref="L11:L12"/>
    <mergeCell ref="M11:M12"/>
    <mergeCell ref="N11:N12"/>
    <mergeCell ref="O11:O12"/>
    <mergeCell ref="P11:P12"/>
    <mergeCell ref="Q11:Q12"/>
    <mergeCell ref="W10:Z10"/>
    <mergeCell ref="AA10:AD10"/>
    <mergeCell ref="AE10:AH10"/>
    <mergeCell ref="AI10:AL10"/>
    <mergeCell ref="AM10:AW10"/>
    <mergeCell ref="C11:C12"/>
    <mergeCell ref="D11:D12"/>
    <mergeCell ref="E11:E12"/>
    <mergeCell ref="F11:F12"/>
    <mergeCell ref="G11:G12"/>
    <mergeCell ref="B10:B12"/>
    <mergeCell ref="C10:F10"/>
    <mergeCell ref="G10:J10"/>
    <mergeCell ref="K10:N10"/>
    <mergeCell ref="O10:R10"/>
    <mergeCell ref="S10:V10"/>
    <mergeCell ref="H11:H12"/>
    <mergeCell ref="I11:I12"/>
    <mergeCell ref="J11:J12"/>
    <mergeCell ref="K11:K12"/>
  </mergeCells>
  <hyperlinks>
    <hyperlink ref="AW4" location="dólares" display="En nuevos soles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180"/>
  <sheetViews>
    <sheetView showGridLines="0" tabSelected="1" zoomScale="75" zoomScaleNormal="75" zoomScalePageLayoutView="0" workbookViewId="0" topLeftCell="A1">
      <pane xSplit="26" ySplit="12" topLeftCell="AG13" activePane="bottomRight" state="frozen"/>
      <selection pane="topLeft" activeCell="A1" sqref="A1"/>
      <selection pane="topRight" activeCell="AA1" sqref="AA1"/>
      <selection pane="bottomLeft" activeCell="A13" sqref="A13"/>
      <selection pane="bottomRight" activeCell="A1" sqref="A1"/>
    </sheetView>
  </sheetViews>
  <sheetFormatPr defaultColWidth="11.421875" defaultRowHeight="15"/>
  <cols>
    <col min="1" max="1" width="3.28125" style="4" customWidth="1"/>
    <col min="2" max="2" width="98.421875" style="4" customWidth="1"/>
    <col min="3" max="5" width="14.7109375" style="370" hidden="1" customWidth="1"/>
    <col min="6" max="6" width="14.7109375" style="4" hidden="1" customWidth="1"/>
    <col min="7" max="9" width="14.7109375" style="370" hidden="1" customWidth="1"/>
    <col min="10" max="10" width="14.7109375" style="4" hidden="1" customWidth="1"/>
    <col min="11" max="13" width="14.7109375" style="370" hidden="1" customWidth="1"/>
    <col min="14" max="14" width="14.7109375" style="4" hidden="1" customWidth="1"/>
    <col min="15" max="17" width="14.7109375" style="370" hidden="1" customWidth="1"/>
    <col min="18" max="18" width="14.7109375" style="4" hidden="1" customWidth="1"/>
    <col min="19" max="21" width="14.7109375" style="370" hidden="1" customWidth="1"/>
    <col min="22" max="22" width="14.7109375" style="4" hidden="1" customWidth="1"/>
    <col min="23" max="25" width="14.7109375" style="370" hidden="1" customWidth="1"/>
    <col min="26" max="26" width="14.7109375" style="4" hidden="1" customWidth="1"/>
    <col min="27" max="31" width="13.7109375" style="4" customWidth="1"/>
    <col min="32" max="38" width="13.7109375" style="0" customWidth="1"/>
    <col min="39" max="39" width="13.7109375" style="0" hidden="1" customWidth="1"/>
    <col min="40" max="40" width="13.7109375" style="4" hidden="1" customWidth="1"/>
    <col min="41" max="41" width="13.7109375" style="4" customWidth="1"/>
    <col min="42" max="43" width="13.7109375" style="4" hidden="1" customWidth="1"/>
    <col min="44" max="44" width="13.7109375" style="4" customWidth="1"/>
    <col min="45" max="46" width="13.7109375" style="4" hidden="1" customWidth="1"/>
    <col min="47" max="47" width="13.7109375" style="4" customWidth="1"/>
    <col min="48" max="49" width="13.7109375" style="4" hidden="1" customWidth="1"/>
    <col min="50" max="50" width="13.7109375" style="4" customWidth="1"/>
    <col min="51" max="52" width="13.7109375" style="4" hidden="1" customWidth="1"/>
    <col min="53" max="53" width="13.7109375" style="4" customWidth="1"/>
    <col min="54" max="16384" width="11.421875" style="4" customWidth="1"/>
  </cols>
  <sheetData>
    <row r="1" ht="14.25" customHeight="1"/>
    <row r="2" spans="2:28" ht="15">
      <c r="B2" s="56"/>
      <c r="C2" s="371"/>
      <c r="D2" s="371"/>
      <c r="E2" s="371"/>
      <c r="F2" s="56"/>
      <c r="G2" s="371"/>
      <c r="H2" s="371"/>
      <c r="I2" s="371"/>
      <c r="J2" s="56"/>
      <c r="K2" s="371"/>
      <c r="L2" s="371"/>
      <c r="M2" s="371"/>
      <c r="N2" s="56"/>
      <c r="O2" s="371"/>
      <c r="P2" s="371"/>
      <c r="Q2" s="371"/>
      <c r="R2" s="56"/>
      <c r="S2" s="371"/>
      <c r="T2" s="371"/>
      <c r="U2" s="371"/>
      <c r="V2" s="56"/>
      <c r="W2" s="371"/>
      <c r="X2" s="371"/>
      <c r="Y2" s="371"/>
      <c r="Z2" s="56"/>
      <c r="AA2" s="56"/>
      <c r="AB2" s="56"/>
    </row>
    <row r="3" spans="2:27" ht="15">
      <c r="B3" s="56"/>
      <c r="C3" s="371"/>
      <c r="D3" s="371"/>
      <c r="E3" s="371"/>
      <c r="F3" s="56"/>
      <c r="G3" s="371"/>
      <c r="H3" s="371"/>
      <c r="I3" s="371"/>
      <c r="J3" s="56"/>
      <c r="K3" s="371"/>
      <c r="L3" s="371"/>
      <c r="M3" s="371"/>
      <c r="N3" s="56"/>
      <c r="O3" s="371"/>
      <c r="P3" s="371"/>
      <c r="Q3" s="371"/>
      <c r="R3" s="56"/>
      <c r="S3" s="371"/>
      <c r="T3" s="371"/>
      <c r="U3" s="371"/>
      <c r="V3" s="56"/>
      <c r="W3" s="371"/>
      <c r="X3" s="371"/>
      <c r="Y3" s="371"/>
      <c r="Z3" s="56"/>
      <c r="AA3" s="56"/>
    </row>
    <row r="4" spans="2:53" ht="20.25" customHeight="1">
      <c r="B4" s="56"/>
      <c r="C4" s="371"/>
      <c r="D4" s="371"/>
      <c r="E4" s="371"/>
      <c r="F4" s="56"/>
      <c r="G4" s="371"/>
      <c r="H4" s="371"/>
      <c r="I4" s="371"/>
      <c r="J4" s="56"/>
      <c r="K4" s="371"/>
      <c r="L4" s="371"/>
      <c r="M4" s="371"/>
      <c r="N4" s="56"/>
      <c r="O4" s="371"/>
      <c r="P4" s="371"/>
      <c r="Q4" s="371"/>
      <c r="R4" s="56"/>
      <c r="S4" s="371"/>
      <c r="T4" s="371"/>
      <c r="U4" s="371"/>
      <c r="V4" s="56"/>
      <c r="W4" s="371"/>
      <c r="X4" s="421"/>
      <c r="Y4" s="421"/>
      <c r="Z4" s="421"/>
      <c r="AA4" s="421"/>
      <c r="AB4" s="421"/>
      <c r="AC4" s="421"/>
      <c r="AD4" s="421"/>
      <c r="AE4" s="421"/>
      <c r="AF4" s="421"/>
      <c r="AO4" s="564"/>
      <c r="AQ4" s="89"/>
      <c r="BA4" s="89" t="s">
        <v>73</v>
      </c>
    </row>
    <row r="5" spans="2:34" ht="18">
      <c r="B5" s="44" t="s">
        <v>84</v>
      </c>
      <c r="AA5" s="89"/>
      <c r="AB5" s="89"/>
      <c r="AC5" s="11"/>
      <c r="AD5" s="11"/>
      <c r="AE5" s="46"/>
      <c r="AF5" s="4"/>
      <c r="AG5" s="4"/>
      <c r="AH5" s="4"/>
    </row>
    <row r="6" spans="2:39" ht="15.75">
      <c r="B6" s="220" t="s">
        <v>88</v>
      </c>
      <c r="C6" s="422"/>
      <c r="D6" s="422"/>
      <c r="E6" s="422"/>
      <c r="F6" s="423"/>
      <c r="G6" s="422"/>
      <c r="H6" s="422"/>
      <c r="I6" s="422"/>
      <c r="J6" s="423"/>
      <c r="K6" s="422"/>
      <c r="L6" s="422"/>
      <c r="M6" s="422"/>
      <c r="N6" s="423"/>
      <c r="O6" s="422"/>
      <c r="P6" s="422"/>
      <c r="Q6" s="422"/>
      <c r="R6" s="423"/>
      <c r="S6" s="422"/>
      <c r="T6" s="422"/>
      <c r="U6" s="422"/>
      <c r="V6" s="423"/>
      <c r="W6" s="422"/>
      <c r="X6" s="394"/>
      <c r="Y6" s="394"/>
      <c r="Z6" s="353"/>
      <c r="AA6" s="138"/>
      <c r="AB6" s="138"/>
      <c r="AC6" s="99"/>
      <c r="AD6" s="451"/>
      <c r="AE6" s="87"/>
      <c r="AF6" s="121"/>
      <c r="AG6" s="423"/>
      <c r="AH6" s="423"/>
      <c r="AI6" s="423"/>
      <c r="AJ6" s="423"/>
      <c r="AK6" s="423"/>
      <c r="AL6" s="423"/>
      <c r="AM6" s="423"/>
    </row>
    <row r="7" spans="2:39" ht="16.5">
      <c r="B7" s="505" t="s">
        <v>148</v>
      </c>
      <c r="C7" s="372"/>
      <c r="D7" s="372"/>
      <c r="E7" s="372"/>
      <c r="F7" s="54"/>
      <c r="G7" s="372"/>
      <c r="H7" s="372"/>
      <c r="I7" s="372"/>
      <c r="J7" s="54"/>
      <c r="K7" s="372"/>
      <c r="L7" s="372"/>
      <c r="M7" s="372"/>
      <c r="N7" s="54"/>
      <c r="O7" s="372"/>
      <c r="P7" s="372"/>
      <c r="Q7" s="372"/>
      <c r="R7" s="54"/>
      <c r="S7" s="372"/>
      <c r="T7" s="372"/>
      <c r="U7" s="372"/>
      <c r="V7" s="54"/>
      <c r="W7" s="372"/>
      <c r="X7" s="372"/>
      <c r="Y7" s="372"/>
      <c r="Z7" s="54"/>
      <c r="AA7" s="54"/>
      <c r="AB7" s="54"/>
      <c r="AC7" s="2"/>
      <c r="AD7" s="2"/>
      <c r="AE7" s="46"/>
      <c r="AF7" s="4"/>
      <c r="AG7" s="4"/>
      <c r="AH7" s="4"/>
      <c r="AI7" s="4"/>
      <c r="AJ7" s="4"/>
      <c r="AK7" s="4"/>
      <c r="AL7" s="4"/>
      <c r="AM7" s="4"/>
    </row>
    <row r="8" spans="2:39" ht="15">
      <c r="B8" s="506" t="s">
        <v>39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</row>
    <row r="9" spans="2:39" ht="6.75" customHeight="1">
      <c r="B9" s="506"/>
      <c r="C9" s="373"/>
      <c r="D9" s="373"/>
      <c r="E9" s="373"/>
      <c r="F9" s="55"/>
      <c r="G9" s="373"/>
      <c r="H9" s="373"/>
      <c r="I9" s="373"/>
      <c r="J9" s="55"/>
      <c r="K9" s="373"/>
      <c r="L9" s="373"/>
      <c r="M9" s="373"/>
      <c r="N9" s="55"/>
      <c r="O9" s="373"/>
      <c r="P9" s="373"/>
      <c r="Q9" s="373"/>
      <c r="R9" s="55"/>
      <c r="S9" s="373"/>
      <c r="T9" s="373"/>
      <c r="U9" s="373"/>
      <c r="V9" s="55"/>
      <c r="W9" s="373"/>
      <c r="X9" s="373"/>
      <c r="Y9" s="373"/>
      <c r="Z9" s="55"/>
      <c r="AA9" s="55"/>
      <c r="AB9" s="55"/>
      <c r="AC9" s="12"/>
      <c r="AD9" s="12"/>
      <c r="AE9" s="47"/>
      <c r="AF9" s="4"/>
      <c r="AG9" s="4"/>
      <c r="AH9" s="4"/>
      <c r="AI9" s="4"/>
      <c r="AJ9" s="4"/>
      <c r="AK9" s="4"/>
      <c r="AL9" s="4"/>
      <c r="AM9" s="4"/>
    </row>
    <row r="10" spans="2:53" ht="19.5" customHeight="1">
      <c r="B10" s="694" t="s">
        <v>87</v>
      </c>
      <c r="C10" s="691">
        <v>2006</v>
      </c>
      <c r="D10" s="692"/>
      <c r="E10" s="692"/>
      <c r="F10" s="693"/>
      <c r="G10" s="691">
        <v>2007</v>
      </c>
      <c r="H10" s="692"/>
      <c r="I10" s="692"/>
      <c r="J10" s="693"/>
      <c r="K10" s="691">
        <v>2008</v>
      </c>
      <c r="L10" s="692"/>
      <c r="M10" s="692"/>
      <c r="N10" s="693"/>
      <c r="O10" s="691">
        <v>2009</v>
      </c>
      <c r="P10" s="692"/>
      <c r="Q10" s="692"/>
      <c r="R10" s="693"/>
      <c r="S10" s="691">
        <v>2010</v>
      </c>
      <c r="T10" s="692"/>
      <c r="U10" s="692"/>
      <c r="V10" s="693"/>
      <c r="W10" s="667">
        <v>2011</v>
      </c>
      <c r="X10" s="668"/>
      <c r="Y10" s="668"/>
      <c r="Z10" s="669"/>
      <c r="AA10" s="672">
        <v>2012</v>
      </c>
      <c r="AB10" s="673"/>
      <c r="AC10" s="673"/>
      <c r="AD10" s="674"/>
      <c r="AE10" s="626">
        <v>2013</v>
      </c>
      <c r="AF10" s="626"/>
      <c r="AG10" s="626"/>
      <c r="AH10" s="627"/>
      <c r="AI10" s="625">
        <v>2014</v>
      </c>
      <c r="AJ10" s="626"/>
      <c r="AK10" s="626"/>
      <c r="AL10" s="627"/>
      <c r="AM10" s="625">
        <v>2015</v>
      </c>
      <c r="AN10" s="626"/>
      <c r="AO10" s="626"/>
      <c r="AP10" s="626"/>
      <c r="AQ10" s="626"/>
      <c r="AR10" s="626"/>
      <c r="AS10" s="626"/>
      <c r="AT10" s="626"/>
      <c r="AU10" s="626"/>
      <c r="AV10" s="626"/>
      <c r="AW10" s="626"/>
      <c r="AX10" s="627"/>
      <c r="AY10" s="625">
        <v>2016</v>
      </c>
      <c r="AZ10" s="626"/>
      <c r="BA10" s="627"/>
    </row>
    <row r="11" spans="2:53" ht="13.5" customHeight="1">
      <c r="B11" s="695"/>
      <c r="C11" s="689" t="s">
        <v>35</v>
      </c>
      <c r="D11" s="689" t="s">
        <v>74</v>
      </c>
      <c r="E11" s="639" t="s">
        <v>77</v>
      </c>
      <c r="F11" s="690" t="s">
        <v>80</v>
      </c>
      <c r="G11" s="689" t="s">
        <v>35</v>
      </c>
      <c r="H11" s="689" t="s">
        <v>74</v>
      </c>
      <c r="I11" s="639" t="s">
        <v>77</v>
      </c>
      <c r="J11" s="690" t="s">
        <v>80</v>
      </c>
      <c r="K11" s="689" t="s">
        <v>35</v>
      </c>
      <c r="L11" s="689" t="s">
        <v>74</v>
      </c>
      <c r="M11" s="639" t="s">
        <v>77</v>
      </c>
      <c r="N11" s="690" t="s">
        <v>80</v>
      </c>
      <c r="O11" s="697" t="s">
        <v>35</v>
      </c>
      <c r="P11" s="689" t="s">
        <v>74</v>
      </c>
      <c r="Q11" s="639" t="s">
        <v>77</v>
      </c>
      <c r="R11" s="690" t="s">
        <v>80</v>
      </c>
      <c r="S11" s="699" t="s">
        <v>35</v>
      </c>
      <c r="T11" s="663" t="s">
        <v>74</v>
      </c>
      <c r="U11" s="639" t="s">
        <v>77</v>
      </c>
      <c r="V11" s="690" t="s">
        <v>80</v>
      </c>
      <c r="W11" s="663" t="s">
        <v>35</v>
      </c>
      <c r="X11" s="663" t="s">
        <v>74</v>
      </c>
      <c r="Y11" s="641" t="s">
        <v>77</v>
      </c>
      <c r="Z11" s="638" t="s">
        <v>80</v>
      </c>
      <c r="AA11" s="663" t="s">
        <v>35</v>
      </c>
      <c r="AB11" s="663" t="s">
        <v>74</v>
      </c>
      <c r="AC11" s="641" t="s">
        <v>77</v>
      </c>
      <c r="AD11" s="638" t="s">
        <v>80</v>
      </c>
      <c r="AE11" s="639" t="s">
        <v>35</v>
      </c>
      <c r="AF11" s="637" t="s">
        <v>74</v>
      </c>
      <c r="AG11" s="637" t="s">
        <v>77</v>
      </c>
      <c r="AH11" s="638" t="s">
        <v>80</v>
      </c>
      <c r="AI11" s="637" t="s">
        <v>35</v>
      </c>
      <c r="AJ11" s="637" t="s">
        <v>74</v>
      </c>
      <c r="AK11" s="637" t="s">
        <v>77</v>
      </c>
      <c r="AL11" s="619" t="s">
        <v>80</v>
      </c>
      <c r="AM11" s="637" t="s">
        <v>33</v>
      </c>
      <c r="AN11" s="637" t="s">
        <v>34</v>
      </c>
      <c r="AO11" s="637" t="s">
        <v>35</v>
      </c>
      <c r="AP11" s="637" t="s">
        <v>36</v>
      </c>
      <c r="AQ11" s="637" t="s">
        <v>37</v>
      </c>
      <c r="AR11" s="637" t="s">
        <v>74</v>
      </c>
      <c r="AS11" s="637" t="s">
        <v>75</v>
      </c>
      <c r="AT11" s="637" t="s">
        <v>76</v>
      </c>
      <c r="AU11" s="637" t="s">
        <v>77</v>
      </c>
      <c r="AV11" s="637" t="s">
        <v>78</v>
      </c>
      <c r="AW11" s="631" t="s">
        <v>79</v>
      </c>
      <c r="AX11" s="619" t="s">
        <v>80</v>
      </c>
      <c r="AY11" s="637" t="s">
        <v>33</v>
      </c>
      <c r="AZ11" s="637" t="s">
        <v>34</v>
      </c>
      <c r="BA11" s="619" t="s">
        <v>35</v>
      </c>
    </row>
    <row r="12" spans="2:53" ht="11.25" customHeight="1">
      <c r="B12" s="696"/>
      <c r="C12" s="664"/>
      <c r="D12" s="664"/>
      <c r="E12" s="640"/>
      <c r="F12" s="660"/>
      <c r="G12" s="664"/>
      <c r="H12" s="664"/>
      <c r="I12" s="640"/>
      <c r="J12" s="660"/>
      <c r="K12" s="664"/>
      <c r="L12" s="664"/>
      <c r="M12" s="640"/>
      <c r="N12" s="660"/>
      <c r="O12" s="698"/>
      <c r="P12" s="664"/>
      <c r="Q12" s="640"/>
      <c r="R12" s="660"/>
      <c r="S12" s="698"/>
      <c r="T12" s="664"/>
      <c r="U12" s="640"/>
      <c r="V12" s="660"/>
      <c r="W12" s="664"/>
      <c r="X12" s="664"/>
      <c r="Y12" s="640"/>
      <c r="Z12" s="660"/>
      <c r="AA12" s="664"/>
      <c r="AB12" s="664"/>
      <c r="AC12" s="640"/>
      <c r="AD12" s="660"/>
      <c r="AE12" s="640"/>
      <c r="AF12" s="632"/>
      <c r="AG12" s="632"/>
      <c r="AH12" s="620"/>
      <c r="AI12" s="632"/>
      <c r="AJ12" s="632"/>
      <c r="AK12" s="632"/>
      <c r="AL12" s="620"/>
      <c r="AM12" s="632"/>
      <c r="AN12" s="632"/>
      <c r="AO12" s="632"/>
      <c r="AP12" s="632"/>
      <c r="AQ12" s="632"/>
      <c r="AR12" s="632"/>
      <c r="AS12" s="632"/>
      <c r="AT12" s="632"/>
      <c r="AU12" s="632"/>
      <c r="AV12" s="632"/>
      <c r="AW12" s="632"/>
      <c r="AX12" s="620"/>
      <c r="AY12" s="632"/>
      <c r="AZ12" s="632"/>
      <c r="BA12" s="620"/>
    </row>
    <row r="13" spans="2:53" ht="7.5" customHeight="1">
      <c r="B13" s="507"/>
      <c r="C13" s="374"/>
      <c r="D13" s="374"/>
      <c r="E13" s="374"/>
      <c r="F13" s="344"/>
      <c r="G13" s="414"/>
      <c r="H13" s="374"/>
      <c r="I13" s="374"/>
      <c r="J13" s="368"/>
      <c r="K13" s="374"/>
      <c r="L13" s="374"/>
      <c r="M13" s="374"/>
      <c r="N13" s="344"/>
      <c r="O13" s="403"/>
      <c r="P13" s="374"/>
      <c r="Q13" s="400"/>
      <c r="R13" s="91"/>
      <c r="S13" s="400"/>
      <c r="T13" s="374"/>
      <c r="U13" s="374"/>
      <c r="V13" s="90"/>
      <c r="W13" s="403"/>
      <c r="X13" s="374"/>
      <c r="Y13" s="400"/>
      <c r="Z13" s="325"/>
      <c r="AA13" s="90"/>
      <c r="AB13" s="90"/>
      <c r="AC13" s="1"/>
      <c r="AD13" s="91"/>
      <c r="AE13" s="60"/>
      <c r="AF13" s="184"/>
      <c r="AG13" s="184"/>
      <c r="AH13" s="222"/>
      <c r="AI13" s="219"/>
      <c r="AJ13" s="219"/>
      <c r="AK13" s="219"/>
      <c r="AL13" s="222"/>
      <c r="AM13" s="219"/>
      <c r="AN13" s="7"/>
      <c r="AO13" s="7"/>
      <c r="AP13" s="7"/>
      <c r="AQ13" s="7"/>
      <c r="AR13" s="7"/>
      <c r="AS13" s="580"/>
      <c r="AT13" s="580"/>
      <c r="AU13" s="580"/>
      <c r="AV13" s="580"/>
      <c r="AW13" s="580"/>
      <c r="AX13" s="565"/>
      <c r="AY13" s="580"/>
      <c r="AZ13" s="580"/>
      <c r="BA13" s="565"/>
    </row>
    <row r="14" spans="2:53" s="29" customFormat="1" ht="16.5">
      <c r="B14" s="508" t="s">
        <v>89</v>
      </c>
      <c r="C14" s="389">
        <f aca="true" t="shared" si="0" ref="C14:AR14">+C16+C24+C27+C56</f>
        <v>802.86782153</v>
      </c>
      <c r="D14" s="389">
        <f t="shared" si="0"/>
        <v>810.0039333000001</v>
      </c>
      <c r="E14" s="389">
        <f t="shared" si="0"/>
        <v>792.8422169099999</v>
      </c>
      <c r="F14" s="470">
        <f t="shared" si="0"/>
        <v>799.6521314799999</v>
      </c>
      <c r="G14" s="404">
        <f t="shared" si="0"/>
        <v>796.90295694</v>
      </c>
      <c r="H14" s="389">
        <f t="shared" si="0"/>
        <v>779.55914272</v>
      </c>
      <c r="I14" s="389">
        <f t="shared" si="0"/>
        <v>851.20916274</v>
      </c>
      <c r="J14" s="475">
        <f t="shared" si="0"/>
        <v>835.92632592</v>
      </c>
      <c r="K14" s="404">
        <f t="shared" si="0"/>
        <v>877.0189841299998</v>
      </c>
      <c r="L14" s="389">
        <f t="shared" si="0"/>
        <v>839.39059834</v>
      </c>
      <c r="M14" s="389">
        <f t="shared" si="0"/>
        <v>846.7581844499999</v>
      </c>
      <c r="N14" s="475">
        <f t="shared" si="0"/>
        <v>936.3425380300002</v>
      </c>
      <c r="O14" s="404">
        <f t="shared" si="0"/>
        <v>897.9956143300001</v>
      </c>
      <c r="P14" s="389">
        <f t="shared" si="0"/>
        <v>922.3444531700001</v>
      </c>
      <c r="Q14" s="389">
        <f t="shared" si="0"/>
        <v>953.3543929700002</v>
      </c>
      <c r="R14" s="475">
        <f t="shared" si="0"/>
        <v>955.48702339</v>
      </c>
      <c r="S14" s="389">
        <f t="shared" si="0"/>
        <v>1022.29001389</v>
      </c>
      <c r="T14" s="389">
        <f t="shared" si="0"/>
        <v>1162.6213926700002</v>
      </c>
      <c r="U14" s="389">
        <f t="shared" si="0"/>
        <v>1216.61928387</v>
      </c>
      <c r="V14" s="470">
        <f t="shared" si="0"/>
        <v>1302.04219434</v>
      </c>
      <c r="W14" s="404">
        <f t="shared" si="0"/>
        <v>1260.9571044200002</v>
      </c>
      <c r="X14" s="389">
        <f t="shared" si="0"/>
        <v>1250.96245804</v>
      </c>
      <c r="Y14" s="389">
        <f t="shared" si="0"/>
        <v>1281.6866220400002</v>
      </c>
      <c r="Z14" s="104">
        <f t="shared" si="0"/>
        <v>1301.1473698700001</v>
      </c>
      <c r="AA14" s="98">
        <f t="shared" si="0"/>
        <v>1246.90351418</v>
      </c>
      <c r="AB14" s="98">
        <f t="shared" si="0"/>
        <v>1418.7912238600002</v>
      </c>
      <c r="AC14" s="98">
        <f t="shared" si="0"/>
        <v>1425.06262535</v>
      </c>
      <c r="AD14" s="104">
        <f t="shared" si="0"/>
        <v>1366.36434636</v>
      </c>
      <c r="AE14" s="76">
        <f t="shared" si="0"/>
        <v>1262.19999572</v>
      </c>
      <c r="AF14" s="77">
        <f t="shared" si="0"/>
        <v>1233.5412196</v>
      </c>
      <c r="AG14" s="77">
        <f t="shared" si="0"/>
        <v>1207.8517973</v>
      </c>
      <c r="AH14" s="119">
        <f t="shared" si="0"/>
        <v>1143.1605487199997</v>
      </c>
      <c r="AI14" s="77">
        <f t="shared" si="0"/>
        <v>1159.92186838</v>
      </c>
      <c r="AJ14" s="444">
        <f t="shared" si="0"/>
        <v>1157.7650261100002</v>
      </c>
      <c r="AK14" s="77">
        <f t="shared" si="0"/>
        <v>1074.7673271300002</v>
      </c>
      <c r="AL14" s="119">
        <f t="shared" si="0"/>
        <v>1009.0605525599998</v>
      </c>
      <c r="AM14" s="77">
        <f t="shared" si="0"/>
        <v>916.29661225</v>
      </c>
      <c r="AN14" s="77">
        <f t="shared" si="0"/>
        <v>908.7281179099998</v>
      </c>
      <c r="AO14" s="77">
        <f>+AO16+AO24+AO27+AO56</f>
        <v>916.12485539</v>
      </c>
      <c r="AP14" s="77">
        <f t="shared" si="0"/>
        <v>899.2442673299997</v>
      </c>
      <c r="AQ14" s="77">
        <f t="shared" si="0"/>
        <v>885.88266763</v>
      </c>
      <c r="AR14" s="77">
        <f t="shared" si="0"/>
        <v>897.7662349299999</v>
      </c>
      <c r="AS14" s="77">
        <f aca="true" t="shared" si="1" ref="AS14:AX14">+AS16+AS24+AS27+AS56</f>
        <v>896.1472109499999</v>
      </c>
      <c r="AT14" s="77">
        <f t="shared" si="1"/>
        <v>926.41264042</v>
      </c>
      <c r="AU14" s="77">
        <f t="shared" si="1"/>
        <v>908.1644330199999</v>
      </c>
      <c r="AV14" s="77">
        <f t="shared" si="1"/>
        <v>947.00254327</v>
      </c>
      <c r="AW14" s="77">
        <f t="shared" si="1"/>
        <v>988.2290862800002</v>
      </c>
      <c r="AX14" s="431">
        <f t="shared" si="1"/>
        <v>974.9095926900003</v>
      </c>
      <c r="AY14" s="439">
        <f>+AY16+AY24+AY27+AY56</f>
        <v>1004.8901835400002</v>
      </c>
      <c r="AZ14" s="77">
        <f>+AZ16+AZ24+AZ27+AZ56</f>
        <v>1031.76288403</v>
      </c>
      <c r="BA14" s="431">
        <f>+BA16+BA24+BA27+BA56</f>
        <v>1068.52684062</v>
      </c>
    </row>
    <row r="15" spans="2:53" s="29" customFormat="1" ht="10.5" customHeight="1">
      <c r="B15" s="50"/>
      <c r="C15" s="389"/>
      <c r="D15" s="389"/>
      <c r="E15" s="389"/>
      <c r="F15" s="470"/>
      <c r="G15" s="404"/>
      <c r="H15" s="389"/>
      <c r="I15" s="389"/>
      <c r="J15" s="475"/>
      <c r="K15" s="404"/>
      <c r="L15" s="389"/>
      <c r="M15" s="389"/>
      <c r="N15" s="475"/>
      <c r="O15" s="404"/>
      <c r="P15" s="389"/>
      <c r="Q15" s="389"/>
      <c r="R15" s="475"/>
      <c r="S15" s="389"/>
      <c r="T15" s="389"/>
      <c r="U15" s="389"/>
      <c r="V15" s="470"/>
      <c r="W15" s="404"/>
      <c r="X15" s="389"/>
      <c r="Y15" s="389"/>
      <c r="Z15" s="104"/>
      <c r="AA15" s="98"/>
      <c r="AB15" s="98"/>
      <c r="AC15" s="76"/>
      <c r="AD15" s="104"/>
      <c r="AE15" s="76"/>
      <c r="AF15" s="77"/>
      <c r="AG15" s="77"/>
      <c r="AH15" s="119"/>
      <c r="AI15" s="77"/>
      <c r="AJ15" s="77"/>
      <c r="AK15" s="77"/>
      <c r="AL15" s="119"/>
      <c r="AM15" s="77"/>
      <c r="AN15" s="559"/>
      <c r="AO15" s="559"/>
      <c r="AP15" s="559"/>
      <c r="AQ15" s="559"/>
      <c r="AR15" s="559"/>
      <c r="AS15" s="559"/>
      <c r="AT15" s="559"/>
      <c r="AU15" s="559"/>
      <c r="AV15" s="559"/>
      <c r="AW15" s="559"/>
      <c r="AX15" s="566"/>
      <c r="AY15" s="607"/>
      <c r="AZ15" s="559"/>
      <c r="BA15" s="566"/>
    </row>
    <row r="16" spans="2:53" s="29" customFormat="1" ht="15.75">
      <c r="B16" s="85" t="s">
        <v>101</v>
      </c>
      <c r="C16" s="375">
        <f aca="true" t="shared" si="2" ref="C16:Y16">SUM(C17:C22)</f>
        <v>0</v>
      </c>
      <c r="D16" s="375">
        <f t="shared" si="2"/>
        <v>0</v>
      </c>
      <c r="E16" s="375">
        <f t="shared" si="2"/>
        <v>0</v>
      </c>
      <c r="F16" s="369">
        <f t="shared" si="2"/>
        <v>0</v>
      </c>
      <c r="G16" s="424">
        <f t="shared" si="2"/>
        <v>0</v>
      </c>
      <c r="H16" s="375">
        <f t="shared" si="2"/>
        <v>0</v>
      </c>
      <c r="I16" s="375">
        <f t="shared" si="2"/>
        <v>0</v>
      </c>
      <c r="J16" s="476">
        <f t="shared" si="2"/>
        <v>0.20972605</v>
      </c>
      <c r="K16" s="155">
        <f t="shared" si="2"/>
        <v>0.30894131</v>
      </c>
      <c r="L16" s="155">
        <f t="shared" si="2"/>
        <v>0.38083214</v>
      </c>
      <c r="M16" s="155">
        <f t="shared" si="2"/>
        <v>0.73889313</v>
      </c>
      <c r="N16" s="159">
        <f t="shared" si="2"/>
        <v>0.73169902</v>
      </c>
      <c r="O16" s="152">
        <f t="shared" si="2"/>
        <v>0.69698874</v>
      </c>
      <c r="P16" s="155">
        <f t="shared" si="2"/>
        <v>3.43033758</v>
      </c>
      <c r="Q16" s="155">
        <f t="shared" si="2"/>
        <v>7.08757262</v>
      </c>
      <c r="R16" s="476">
        <f t="shared" si="2"/>
        <v>8.86127293</v>
      </c>
      <c r="S16" s="155">
        <f t="shared" si="2"/>
        <v>11.059942090000002</v>
      </c>
      <c r="T16" s="155">
        <f t="shared" si="2"/>
        <v>14.249732380000001</v>
      </c>
      <c r="U16" s="390">
        <f t="shared" si="2"/>
        <v>62.142155849999995</v>
      </c>
      <c r="V16" s="451">
        <f t="shared" si="2"/>
        <v>81.6992614</v>
      </c>
      <c r="W16" s="405">
        <f t="shared" si="2"/>
        <v>109.11614598000001</v>
      </c>
      <c r="X16" s="390">
        <f t="shared" si="2"/>
        <v>124.0667145</v>
      </c>
      <c r="Y16" s="390">
        <f t="shared" si="2"/>
        <v>150.29959201</v>
      </c>
      <c r="Z16" s="105">
        <f>+Z17+Z18+Z22+Z21</f>
        <v>170.07109050000003</v>
      </c>
      <c r="AA16" s="99">
        <f>+AA17+AA18+AA22+AA21</f>
        <v>172.69590245999999</v>
      </c>
      <c r="AB16" s="99">
        <f>+AB17+AB18+AB22+AB21</f>
        <v>187.29101649</v>
      </c>
      <c r="AC16" s="99">
        <f>+AC17+AC18+AC22+AC21</f>
        <v>198.91226417</v>
      </c>
      <c r="AD16" s="105">
        <f>+AD17+AD18+AD22+AD21</f>
        <v>199.92709663</v>
      </c>
      <c r="AE16" s="87">
        <f aca="true" t="shared" si="3" ref="AE16:AN16">SUM(AE17:AE22)</f>
        <v>182.72828151</v>
      </c>
      <c r="AF16" s="121">
        <f t="shared" si="3"/>
        <v>177.66330198000003</v>
      </c>
      <c r="AG16" s="121">
        <f t="shared" si="3"/>
        <v>180.37205709</v>
      </c>
      <c r="AH16" s="185">
        <f t="shared" si="3"/>
        <v>165.23778424000002</v>
      </c>
      <c r="AI16" s="121">
        <f t="shared" si="3"/>
        <v>165.87196677999998</v>
      </c>
      <c r="AJ16" s="121">
        <f t="shared" si="3"/>
        <v>164.52791181</v>
      </c>
      <c r="AK16" s="121">
        <f t="shared" si="3"/>
        <v>150.19510652</v>
      </c>
      <c r="AL16" s="185">
        <f t="shared" si="3"/>
        <v>134.18914338</v>
      </c>
      <c r="AM16" s="121">
        <f t="shared" si="3"/>
        <v>144.52806109000002</v>
      </c>
      <c r="AN16" s="121">
        <f t="shared" si="3"/>
        <v>142.77863654</v>
      </c>
      <c r="AO16" s="121">
        <f aca="true" t="shared" si="4" ref="AO16:AT16">SUM(AO17:AO22)</f>
        <v>161.54690452999998</v>
      </c>
      <c r="AP16" s="121">
        <f t="shared" si="4"/>
        <v>157.00120894</v>
      </c>
      <c r="AQ16" s="121">
        <f t="shared" si="4"/>
        <v>164.2748476</v>
      </c>
      <c r="AR16" s="121">
        <f t="shared" si="4"/>
        <v>165.10151915</v>
      </c>
      <c r="AS16" s="121">
        <f t="shared" si="4"/>
        <v>164.51335575000002</v>
      </c>
      <c r="AT16" s="121">
        <f t="shared" si="4"/>
        <v>185.85421994</v>
      </c>
      <c r="AU16" s="121">
        <f aca="true" t="shared" si="5" ref="AU16:AZ16">SUM(AU17:AU22)</f>
        <v>182.27305638</v>
      </c>
      <c r="AV16" s="121">
        <f t="shared" si="5"/>
        <v>213.14354639000004</v>
      </c>
      <c r="AW16" s="121">
        <f t="shared" si="5"/>
        <v>252.05122328000004</v>
      </c>
      <c r="AX16" s="214">
        <f t="shared" si="5"/>
        <v>244.55679755000003</v>
      </c>
      <c r="AY16" s="438">
        <f t="shared" si="5"/>
        <v>250.19230299999995</v>
      </c>
      <c r="AZ16" s="121">
        <f t="shared" si="5"/>
        <v>256.38169723</v>
      </c>
      <c r="BA16" s="214">
        <f>SUM(BA17:BA22)</f>
        <v>294.22191652000004</v>
      </c>
    </row>
    <row r="17" spans="2:53" s="29" customFormat="1" ht="15">
      <c r="B17" s="74" t="s">
        <v>61</v>
      </c>
      <c r="C17" s="204">
        <v>0</v>
      </c>
      <c r="D17" s="204">
        <v>0</v>
      </c>
      <c r="E17" s="204">
        <v>0</v>
      </c>
      <c r="F17" s="217">
        <v>0</v>
      </c>
      <c r="G17" s="204">
        <v>0</v>
      </c>
      <c r="H17" s="204">
        <v>0</v>
      </c>
      <c r="I17" s="204">
        <v>0</v>
      </c>
      <c r="J17" s="466">
        <v>0</v>
      </c>
      <c r="K17" s="204">
        <v>0</v>
      </c>
      <c r="L17" s="204">
        <v>0</v>
      </c>
      <c r="M17" s="204">
        <v>0</v>
      </c>
      <c r="N17" s="203">
        <v>0</v>
      </c>
      <c r="O17" s="181">
        <v>0</v>
      </c>
      <c r="P17" s="204">
        <v>0</v>
      </c>
      <c r="Q17" s="96">
        <v>1.95286026</v>
      </c>
      <c r="R17" s="432">
        <v>3.28921339</v>
      </c>
      <c r="S17" s="395">
        <v>4.75308078</v>
      </c>
      <c r="T17" s="443">
        <v>7.2286002</v>
      </c>
      <c r="U17" s="391">
        <v>22.72345621</v>
      </c>
      <c r="V17" s="173">
        <v>33.78968262</v>
      </c>
      <c r="W17" s="406">
        <v>45.79799104</v>
      </c>
      <c r="X17" s="395">
        <v>54.96729802</v>
      </c>
      <c r="Y17" s="395">
        <v>70.17287612</v>
      </c>
      <c r="Z17" s="106">
        <v>83.87508684000001</v>
      </c>
      <c r="AA17" s="140">
        <v>86.25411892</v>
      </c>
      <c r="AB17" s="75">
        <v>95.33152910000001</v>
      </c>
      <c r="AC17" s="79">
        <v>102.88129933</v>
      </c>
      <c r="AD17" s="106">
        <v>103.57233937</v>
      </c>
      <c r="AE17" s="71">
        <v>93.99377033</v>
      </c>
      <c r="AF17" s="125">
        <v>91.41787062</v>
      </c>
      <c r="AG17" s="125">
        <v>91.4507311</v>
      </c>
      <c r="AH17" s="126">
        <v>84.72926159000002</v>
      </c>
      <c r="AI17" s="125">
        <v>83.10992815</v>
      </c>
      <c r="AJ17" s="125">
        <v>84.00616322</v>
      </c>
      <c r="AK17" s="125">
        <v>74.24227384</v>
      </c>
      <c r="AL17" s="126">
        <v>66.51198094</v>
      </c>
      <c r="AM17" s="125">
        <v>72.81256651000001</v>
      </c>
      <c r="AN17" s="125">
        <v>71.94210933</v>
      </c>
      <c r="AO17" s="125">
        <v>67.94976571</v>
      </c>
      <c r="AP17" s="125">
        <v>65.43265924</v>
      </c>
      <c r="AQ17" s="125">
        <v>62.39070742999999</v>
      </c>
      <c r="AR17" s="125">
        <v>64.36235464</v>
      </c>
      <c r="AS17" s="125">
        <v>64.10022727</v>
      </c>
      <c r="AT17" s="125">
        <v>65.5501998</v>
      </c>
      <c r="AU17" s="125">
        <v>62.17714924</v>
      </c>
      <c r="AV17" s="125">
        <v>63.14389595</v>
      </c>
      <c r="AW17" s="125">
        <v>61.47926126</v>
      </c>
      <c r="AX17" s="257">
        <v>58.715778490000005</v>
      </c>
      <c r="AY17" s="433">
        <v>61.85854797</v>
      </c>
      <c r="AZ17" s="125">
        <v>64.93481373</v>
      </c>
      <c r="BA17" s="257">
        <v>62.74549038999999</v>
      </c>
    </row>
    <row r="18" spans="2:53" s="29" customFormat="1" ht="14.25">
      <c r="B18" s="74" t="s">
        <v>62</v>
      </c>
      <c r="C18" s="204">
        <v>0</v>
      </c>
      <c r="D18" s="204">
        <v>0</v>
      </c>
      <c r="E18" s="204">
        <v>0</v>
      </c>
      <c r="F18" s="217">
        <v>0</v>
      </c>
      <c r="G18" s="204">
        <v>0</v>
      </c>
      <c r="H18" s="204">
        <v>0</v>
      </c>
      <c r="I18" s="204">
        <v>0</v>
      </c>
      <c r="J18" s="466">
        <v>0</v>
      </c>
      <c r="K18" s="204">
        <v>0</v>
      </c>
      <c r="L18" s="204">
        <v>0</v>
      </c>
      <c r="M18" s="204">
        <v>0</v>
      </c>
      <c r="N18" s="203">
        <v>0</v>
      </c>
      <c r="O18" s="181">
        <v>0</v>
      </c>
      <c r="P18" s="96">
        <v>2.72068309</v>
      </c>
      <c r="Q18" s="96">
        <v>4.14630241</v>
      </c>
      <c r="R18" s="432">
        <v>4.59868314</v>
      </c>
      <c r="S18" s="395">
        <v>5.37530645</v>
      </c>
      <c r="T18" s="395">
        <v>6.00430233</v>
      </c>
      <c r="U18" s="391">
        <v>38.24642188</v>
      </c>
      <c r="V18" s="173">
        <v>46.75601729</v>
      </c>
      <c r="W18" s="406">
        <v>61.73764467</v>
      </c>
      <c r="X18" s="395">
        <v>66.57568746</v>
      </c>
      <c r="Y18" s="395">
        <v>77.31905735</v>
      </c>
      <c r="Z18" s="106">
        <v>83.26125879000001</v>
      </c>
      <c r="AA18" s="140">
        <v>83.48210291</v>
      </c>
      <c r="AB18" s="75">
        <v>88.77008379</v>
      </c>
      <c r="AC18" s="79">
        <v>92.68106406999999</v>
      </c>
      <c r="AD18" s="106">
        <v>89.58939975999999</v>
      </c>
      <c r="AE18" s="71">
        <v>80.18350427999998</v>
      </c>
      <c r="AF18" s="125">
        <v>77.25806793</v>
      </c>
      <c r="AG18" s="125">
        <v>77.28583861999999</v>
      </c>
      <c r="AH18" s="126">
        <v>68.54137339</v>
      </c>
      <c r="AI18" s="125">
        <v>70.39233890999999</v>
      </c>
      <c r="AJ18" s="125">
        <v>67.54367097</v>
      </c>
      <c r="AK18" s="125">
        <v>62.6337168</v>
      </c>
      <c r="AL18" s="126">
        <v>53.45956005</v>
      </c>
      <c r="AM18" s="125">
        <v>58.52370831</v>
      </c>
      <c r="AN18" s="125">
        <v>57.824071090000004</v>
      </c>
      <c r="AO18" s="125">
        <v>57.46169584</v>
      </c>
      <c r="AP18" s="125">
        <v>54.87790151000001</v>
      </c>
      <c r="AQ18" s="125">
        <v>52.32663838</v>
      </c>
      <c r="AR18" s="125">
        <v>51.28668261</v>
      </c>
      <c r="AS18" s="125">
        <v>51.07780828</v>
      </c>
      <c r="AT18" s="125">
        <v>52.23320854000001</v>
      </c>
      <c r="AU18" s="125">
        <v>52.147771629999994</v>
      </c>
      <c r="AV18" s="125">
        <v>52.95857894</v>
      </c>
      <c r="AW18" s="125">
        <v>51.56245528</v>
      </c>
      <c r="AX18" s="257">
        <v>46.64292177000001</v>
      </c>
      <c r="AY18" s="433">
        <v>49.13949005999999</v>
      </c>
      <c r="AZ18" s="125">
        <v>51.5832288</v>
      </c>
      <c r="BA18" s="257">
        <v>52.6244375</v>
      </c>
    </row>
    <row r="19" spans="2:53" s="29" customFormat="1" ht="14.25">
      <c r="B19" s="74" t="s">
        <v>127</v>
      </c>
      <c r="C19" s="204">
        <v>0</v>
      </c>
      <c r="D19" s="204">
        <v>0</v>
      </c>
      <c r="E19" s="204">
        <v>0</v>
      </c>
      <c r="F19" s="217">
        <v>0</v>
      </c>
      <c r="G19" s="204">
        <v>0</v>
      </c>
      <c r="H19" s="204">
        <v>0</v>
      </c>
      <c r="I19" s="204">
        <v>0</v>
      </c>
      <c r="J19" s="217">
        <v>0</v>
      </c>
      <c r="K19" s="204">
        <v>0</v>
      </c>
      <c r="L19" s="204">
        <v>0</v>
      </c>
      <c r="M19" s="204">
        <v>0</v>
      </c>
      <c r="N19" s="217">
        <v>0</v>
      </c>
      <c r="O19" s="204">
        <v>0</v>
      </c>
      <c r="P19" s="204">
        <v>0</v>
      </c>
      <c r="Q19" s="204">
        <v>0</v>
      </c>
      <c r="R19" s="217">
        <v>0</v>
      </c>
      <c r="S19" s="204">
        <v>0</v>
      </c>
      <c r="T19" s="204">
        <v>0</v>
      </c>
      <c r="U19" s="204">
        <v>0</v>
      </c>
      <c r="V19" s="217">
        <v>0</v>
      </c>
      <c r="W19" s="204">
        <v>0</v>
      </c>
      <c r="X19" s="204">
        <v>0</v>
      </c>
      <c r="Y19" s="204">
        <v>0</v>
      </c>
      <c r="Z19" s="217">
        <v>0</v>
      </c>
      <c r="AA19" s="194">
        <v>0</v>
      </c>
      <c r="AB19" s="177">
        <v>0</v>
      </c>
      <c r="AC19" s="177">
        <v>0</v>
      </c>
      <c r="AD19" s="466">
        <v>0</v>
      </c>
      <c r="AE19" s="176">
        <v>0</v>
      </c>
      <c r="AF19" s="203">
        <v>0</v>
      </c>
      <c r="AG19" s="203">
        <v>0</v>
      </c>
      <c r="AH19" s="466">
        <v>0</v>
      </c>
      <c r="AI19" s="203">
        <v>0</v>
      </c>
      <c r="AJ19" s="203">
        <v>0</v>
      </c>
      <c r="AK19" s="203">
        <v>0</v>
      </c>
      <c r="AL19" s="466">
        <v>0</v>
      </c>
      <c r="AM19" s="203">
        <v>0</v>
      </c>
      <c r="AN19" s="203">
        <v>0</v>
      </c>
      <c r="AO19" s="125">
        <v>23.75842751</v>
      </c>
      <c r="AP19" s="125">
        <v>23.75842751</v>
      </c>
      <c r="AQ19" s="125">
        <v>36.39331644</v>
      </c>
      <c r="AR19" s="125">
        <v>36.39331644</v>
      </c>
      <c r="AS19" s="125">
        <v>36.39331644</v>
      </c>
      <c r="AT19" s="125">
        <v>54.80156371</v>
      </c>
      <c r="AU19" s="125">
        <v>54.80156371</v>
      </c>
      <c r="AV19" s="125">
        <v>54.80156371</v>
      </c>
      <c r="AW19" s="125">
        <v>97.27679279</v>
      </c>
      <c r="AX19" s="257">
        <v>97.27679279</v>
      </c>
      <c r="AY19" s="433">
        <v>97.27679279</v>
      </c>
      <c r="AZ19" s="125">
        <v>97.27679279</v>
      </c>
      <c r="BA19" s="257">
        <v>135.90212846</v>
      </c>
    </row>
    <row r="20" spans="2:53" s="29" customFormat="1" ht="14.25">
      <c r="B20" s="117" t="s">
        <v>142</v>
      </c>
      <c r="C20" s="204">
        <v>0</v>
      </c>
      <c r="D20" s="204">
        <v>0</v>
      </c>
      <c r="E20" s="204">
        <v>0</v>
      </c>
      <c r="F20" s="217">
        <v>0</v>
      </c>
      <c r="G20" s="204">
        <v>0</v>
      </c>
      <c r="H20" s="204">
        <v>0</v>
      </c>
      <c r="I20" s="204">
        <v>0</v>
      </c>
      <c r="J20" s="217">
        <v>0</v>
      </c>
      <c r="K20" s="204">
        <v>0</v>
      </c>
      <c r="L20" s="204">
        <v>0</v>
      </c>
      <c r="M20" s="204">
        <v>0</v>
      </c>
      <c r="N20" s="217">
        <v>0</v>
      </c>
      <c r="O20" s="204">
        <v>0</v>
      </c>
      <c r="P20" s="204">
        <v>0</v>
      </c>
      <c r="Q20" s="204">
        <v>0</v>
      </c>
      <c r="R20" s="217">
        <v>0</v>
      </c>
      <c r="S20" s="204">
        <v>0</v>
      </c>
      <c r="T20" s="204">
        <v>0</v>
      </c>
      <c r="U20" s="204">
        <v>0</v>
      </c>
      <c r="V20" s="217">
        <v>0</v>
      </c>
      <c r="W20" s="204">
        <v>0</v>
      </c>
      <c r="X20" s="204">
        <v>0</v>
      </c>
      <c r="Y20" s="204">
        <v>0</v>
      </c>
      <c r="Z20" s="217">
        <v>0</v>
      </c>
      <c r="AA20" s="586">
        <v>0</v>
      </c>
      <c r="AB20" s="176">
        <v>0</v>
      </c>
      <c r="AC20" s="176">
        <v>0</v>
      </c>
      <c r="AD20" s="466">
        <v>0</v>
      </c>
      <c r="AE20" s="176">
        <v>0</v>
      </c>
      <c r="AF20" s="203">
        <v>0</v>
      </c>
      <c r="AG20" s="203">
        <v>0</v>
      </c>
      <c r="AH20" s="203">
        <v>0</v>
      </c>
      <c r="AI20" s="202">
        <v>0</v>
      </c>
      <c r="AJ20" s="203">
        <v>0</v>
      </c>
      <c r="AK20" s="203">
        <v>0</v>
      </c>
      <c r="AL20" s="466">
        <v>0</v>
      </c>
      <c r="AM20" s="203">
        <v>0</v>
      </c>
      <c r="AN20" s="203">
        <v>0</v>
      </c>
      <c r="AO20" s="203">
        <v>0</v>
      </c>
      <c r="AP20" s="203">
        <v>0</v>
      </c>
      <c r="AQ20" s="203">
        <v>0</v>
      </c>
      <c r="AR20" s="203">
        <v>0</v>
      </c>
      <c r="AS20" s="203">
        <v>0</v>
      </c>
      <c r="AT20" s="203">
        <v>0</v>
      </c>
      <c r="AU20" s="203">
        <v>0</v>
      </c>
      <c r="AV20" s="125">
        <v>29.16261145</v>
      </c>
      <c r="AW20" s="125">
        <v>29.16261145</v>
      </c>
      <c r="AX20" s="257">
        <v>29.16261145</v>
      </c>
      <c r="AY20" s="433">
        <v>29.16261145</v>
      </c>
      <c r="AZ20" s="125">
        <v>29.16261145</v>
      </c>
      <c r="BA20" s="257">
        <v>29.16261145</v>
      </c>
    </row>
    <row r="21" spans="2:53" s="29" customFormat="1" ht="14.25">
      <c r="B21" s="74" t="s">
        <v>64</v>
      </c>
      <c r="C21" s="204">
        <v>0</v>
      </c>
      <c r="D21" s="204">
        <v>0</v>
      </c>
      <c r="E21" s="204">
        <v>0</v>
      </c>
      <c r="F21" s="217">
        <v>0</v>
      </c>
      <c r="G21" s="204">
        <v>0</v>
      </c>
      <c r="H21" s="204">
        <v>0</v>
      </c>
      <c r="I21" s="204">
        <v>0</v>
      </c>
      <c r="J21" s="217">
        <v>0</v>
      </c>
      <c r="K21" s="204">
        <v>0</v>
      </c>
      <c r="L21" s="204">
        <v>0</v>
      </c>
      <c r="M21" s="204">
        <v>0</v>
      </c>
      <c r="N21" s="203">
        <v>0</v>
      </c>
      <c r="O21" s="181">
        <v>0</v>
      </c>
      <c r="P21" s="204">
        <v>0</v>
      </c>
      <c r="Q21" s="204">
        <v>0</v>
      </c>
      <c r="R21" s="466">
        <v>0</v>
      </c>
      <c r="S21" s="204">
        <v>0</v>
      </c>
      <c r="T21" s="204">
        <v>0</v>
      </c>
      <c r="U21" s="204">
        <v>0</v>
      </c>
      <c r="V21" s="203">
        <v>0</v>
      </c>
      <c r="W21" s="407">
        <v>0</v>
      </c>
      <c r="X21" s="204">
        <v>0</v>
      </c>
      <c r="Y21" s="204">
        <v>0</v>
      </c>
      <c r="Z21" s="466">
        <v>0</v>
      </c>
      <c r="AA21" s="176">
        <v>0</v>
      </c>
      <c r="AB21" s="177">
        <v>0</v>
      </c>
      <c r="AC21" s="177">
        <v>0</v>
      </c>
      <c r="AD21" s="107">
        <v>3.2080859</v>
      </c>
      <c r="AE21" s="71">
        <v>3.0903927700000002</v>
      </c>
      <c r="AF21" s="125">
        <v>3.45116744</v>
      </c>
      <c r="AG21" s="125">
        <v>5.93361286</v>
      </c>
      <c r="AH21" s="126">
        <v>6.08121987</v>
      </c>
      <c r="AI21" s="125">
        <v>6.07456268</v>
      </c>
      <c r="AJ21" s="125">
        <v>6.54459756</v>
      </c>
      <c r="AK21" s="125">
        <v>6.21633936</v>
      </c>
      <c r="AL21" s="126">
        <v>6.1775907199999995</v>
      </c>
      <c r="AM21" s="125">
        <v>5.767235530000001</v>
      </c>
      <c r="AN21" s="125">
        <v>5.68086362</v>
      </c>
      <c r="AO21" s="125">
        <v>5.37481233</v>
      </c>
      <c r="AP21" s="125">
        <v>5.59136945</v>
      </c>
      <c r="AQ21" s="125">
        <v>5.8324342</v>
      </c>
      <c r="AR21" s="125">
        <v>5.78101634</v>
      </c>
      <c r="AS21" s="125">
        <v>5.8088207999999995</v>
      </c>
      <c r="AT21" s="125">
        <v>5.968583519999999</v>
      </c>
      <c r="AU21" s="125">
        <v>5.90869225</v>
      </c>
      <c r="AV21" s="125">
        <v>5.87467624</v>
      </c>
      <c r="AW21" s="125">
        <v>5.62725617</v>
      </c>
      <c r="AX21" s="257">
        <v>5.71932731</v>
      </c>
      <c r="AY21" s="433">
        <v>5.80231345</v>
      </c>
      <c r="AZ21" s="125">
        <v>5.933831280000001</v>
      </c>
      <c r="BA21" s="257">
        <v>5.99314686</v>
      </c>
    </row>
    <row r="22" spans="2:53" s="29" customFormat="1" ht="14.25">
      <c r="B22" s="74" t="s">
        <v>63</v>
      </c>
      <c r="C22" s="204">
        <v>0</v>
      </c>
      <c r="D22" s="204">
        <v>0</v>
      </c>
      <c r="E22" s="204">
        <v>0</v>
      </c>
      <c r="F22" s="217">
        <v>0</v>
      </c>
      <c r="G22" s="204">
        <v>0</v>
      </c>
      <c r="H22" s="204">
        <v>0</v>
      </c>
      <c r="I22" s="204">
        <v>0</v>
      </c>
      <c r="J22" s="216">
        <v>0.20972605</v>
      </c>
      <c r="K22" s="149">
        <v>0.30894131</v>
      </c>
      <c r="L22" s="96">
        <v>0.38083214</v>
      </c>
      <c r="M22" s="96">
        <v>0.73889313</v>
      </c>
      <c r="N22" s="432">
        <v>0.73169902</v>
      </c>
      <c r="O22" s="149">
        <v>0.69698874</v>
      </c>
      <c r="P22" s="96">
        <v>0.70965449</v>
      </c>
      <c r="Q22" s="96">
        <f>0.73840995+0.25</f>
        <v>0.98840995</v>
      </c>
      <c r="R22" s="432">
        <f>0.25+0.7233764</f>
        <v>0.9733764</v>
      </c>
      <c r="S22" s="156">
        <v>0.93155486</v>
      </c>
      <c r="T22" s="395">
        <v>1.01682985</v>
      </c>
      <c r="U22" s="395">
        <v>1.17227776</v>
      </c>
      <c r="V22" s="173">
        <v>1.15356149</v>
      </c>
      <c r="W22" s="406">
        <v>1.58051027</v>
      </c>
      <c r="X22" s="395">
        <v>2.52372902</v>
      </c>
      <c r="Y22" s="395">
        <v>2.80765854</v>
      </c>
      <c r="Z22" s="106">
        <v>2.9347448700000003</v>
      </c>
      <c r="AA22" s="140">
        <v>2.95968063</v>
      </c>
      <c r="AB22" s="75">
        <v>3.1894035999999995</v>
      </c>
      <c r="AC22" s="79">
        <v>3.34990077</v>
      </c>
      <c r="AD22" s="106">
        <v>3.5572715999999995</v>
      </c>
      <c r="AE22" s="71">
        <v>5.46061413</v>
      </c>
      <c r="AF22" s="125">
        <v>5.53619599</v>
      </c>
      <c r="AG22" s="125">
        <v>5.70187451</v>
      </c>
      <c r="AH22" s="126">
        <v>5.88592939</v>
      </c>
      <c r="AI22" s="125">
        <v>6.29513704</v>
      </c>
      <c r="AJ22" s="125">
        <v>6.43348006</v>
      </c>
      <c r="AK22" s="125">
        <v>7.102776520000001</v>
      </c>
      <c r="AL22" s="126">
        <v>8.04001167</v>
      </c>
      <c r="AM22" s="125">
        <v>7.424550740000001</v>
      </c>
      <c r="AN22" s="125">
        <v>7.331592500000001</v>
      </c>
      <c r="AO22" s="125">
        <v>7.002203140000001</v>
      </c>
      <c r="AP22" s="125">
        <v>7.34085123</v>
      </c>
      <c r="AQ22" s="125">
        <v>7.3317511500000005</v>
      </c>
      <c r="AR22" s="125">
        <v>7.27814912</v>
      </c>
      <c r="AS22" s="125">
        <v>7.13318296</v>
      </c>
      <c r="AT22" s="125">
        <v>7.30066437</v>
      </c>
      <c r="AU22" s="125">
        <v>7.237879550000001</v>
      </c>
      <c r="AV22" s="125">
        <v>7.2022201</v>
      </c>
      <c r="AW22" s="125">
        <v>6.94284633</v>
      </c>
      <c r="AX22" s="257">
        <v>7.03936574</v>
      </c>
      <c r="AY22" s="433">
        <v>6.952547280000001</v>
      </c>
      <c r="AZ22" s="125">
        <v>7.49041918</v>
      </c>
      <c r="BA22" s="257">
        <v>7.7941018600000005</v>
      </c>
    </row>
    <row r="23" spans="2:53" s="29" customFormat="1" ht="12" customHeight="1">
      <c r="B23" s="49"/>
      <c r="C23" s="392"/>
      <c r="D23" s="392"/>
      <c r="E23" s="392"/>
      <c r="F23" s="471"/>
      <c r="G23" s="415"/>
      <c r="H23" s="392"/>
      <c r="I23" s="392"/>
      <c r="J23" s="477"/>
      <c r="K23" s="415"/>
      <c r="L23" s="392"/>
      <c r="M23" s="392"/>
      <c r="N23" s="477"/>
      <c r="O23" s="415"/>
      <c r="P23" s="392"/>
      <c r="Q23" s="392"/>
      <c r="R23" s="477"/>
      <c r="S23" s="392"/>
      <c r="T23" s="392"/>
      <c r="U23" s="392"/>
      <c r="V23" s="471"/>
      <c r="W23" s="408"/>
      <c r="X23" s="392"/>
      <c r="Y23" s="392"/>
      <c r="Z23" s="108"/>
      <c r="AA23" s="62"/>
      <c r="AB23" s="62"/>
      <c r="AC23" s="78"/>
      <c r="AD23" s="108"/>
      <c r="AE23" s="69"/>
      <c r="AF23" s="170"/>
      <c r="AG23" s="170"/>
      <c r="AH23" s="123"/>
      <c r="AI23" s="170"/>
      <c r="AJ23" s="170"/>
      <c r="AK23" s="170"/>
      <c r="AL23" s="123"/>
      <c r="AM23" s="170"/>
      <c r="AN23" s="559"/>
      <c r="AO23" s="559"/>
      <c r="AP23" s="559"/>
      <c r="AQ23" s="559"/>
      <c r="AR23" s="559"/>
      <c r="AS23" s="559"/>
      <c r="AT23" s="559"/>
      <c r="AU23" s="559"/>
      <c r="AV23" s="559"/>
      <c r="AW23" s="559"/>
      <c r="AX23" s="566"/>
      <c r="AY23" s="607"/>
      <c r="AZ23" s="559"/>
      <c r="BA23" s="566"/>
    </row>
    <row r="24" spans="2:53" s="29" customFormat="1" ht="15.75">
      <c r="B24" s="85" t="s">
        <v>102</v>
      </c>
      <c r="C24" s="155">
        <f aca="true" t="shared" si="6" ref="C24:AR24">+C25</f>
        <v>1.9407512000000002</v>
      </c>
      <c r="D24" s="155">
        <f t="shared" si="6"/>
        <v>1.85626713</v>
      </c>
      <c r="E24" s="155">
        <f t="shared" si="6"/>
        <v>1.85626713</v>
      </c>
      <c r="F24" s="159">
        <f t="shared" si="6"/>
        <v>1.7686961499999998</v>
      </c>
      <c r="G24" s="152">
        <f t="shared" si="6"/>
        <v>1.7686961499999998</v>
      </c>
      <c r="H24" s="155">
        <f t="shared" si="6"/>
        <v>1.6779501200000002</v>
      </c>
      <c r="I24" s="155">
        <f t="shared" si="6"/>
        <v>1.6779501200000002</v>
      </c>
      <c r="J24" s="476">
        <f t="shared" si="6"/>
        <v>1.58393281</v>
      </c>
      <c r="K24" s="152">
        <f t="shared" si="6"/>
        <v>1.58393281</v>
      </c>
      <c r="L24" s="155">
        <f t="shared" si="6"/>
        <v>1.4864598199999999</v>
      </c>
      <c r="M24" s="155">
        <f t="shared" si="6"/>
        <v>1.4864598199999999</v>
      </c>
      <c r="N24" s="476">
        <f t="shared" si="6"/>
        <v>1.38543493</v>
      </c>
      <c r="O24" s="152">
        <f t="shared" si="6"/>
        <v>1.38543493</v>
      </c>
      <c r="P24" s="155">
        <f t="shared" si="6"/>
        <v>1.2807618699999999</v>
      </c>
      <c r="Q24" s="155">
        <f t="shared" si="6"/>
        <v>1.2807618699999999</v>
      </c>
      <c r="R24" s="476">
        <f t="shared" si="6"/>
        <v>1.17225628</v>
      </c>
      <c r="S24" s="155">
        <f t="shared" si="6"/>
        <v>1.17225628</v>
      </c>
      <c r="T24" s="155">
        <f t="shared" si="6"/>
        <v>1.0598299899999999</v>
      </c>
      <c r="U24" s="155">
        <f t="shared" si="6"/>
        <v>1.05982999</v>
      </c>
      <c r="V24" s="159">
        <f t="shared" si="6"/>
        <v>0.94329055</v>
      </c>
      <c r="W24" s="152">
        <f t="shared" si="6"/>
        <v>0.943291</v>
      </c>
      <c r="X24" s="155">
        <f t="shared" si="6"/>
        <v>0.82254168</v>
      </c>
      <c r="Y24" s="155">
        <f t="shared" si="6"/>
        <v>0.82254168</v>
      </c>
      <c r="Z24" s="109">
        <f t="shared" si="6"/>
        <v>0.6973990400000001</v>
      </c>
      <c r="AA24" s="92">
        <f t="shared" si="6"/>
        <v>0.697399</v>
      </c>
      <c r="AB24" s="92">
        <f t="shared" si="6"/>
        <v>0.56767821</v>
      </c>
      <c r="AC24" s="92">
        <f t="shared" si="6"/>
        <v>0.56767821</v>
      </c>
      <c r="AD24" s="109">
        <f t="shared" si="6"/>
        <v>0.43328295999999994</v>
      </c>
      <c r="AE24" s="92">
        <f t="shared" si="6"/>
        <v>0.43328295999999994</v>
      </c>
      <c r="AF24" s="159">
        <f t="shared" si="6"/>
        <v>0.29402889</v>
      </c>
      <c r="AG24" s="159">
        <f t="shared" si="6"/>
        <v>0.29402889</v>
      </c>
      <c r="AH24" s="109">
        <f t="shared" si="6"/>
        <v>0.1496354</v>
      </c>
      <c r="AI24" s="159">
        <f t="shared" si="6"/>
        <v>0.1496354</v>
      </c>
      <c r="AJ24" s="203">
        <f t="shared" si="6"/>
        <v>0</v>
      </c>
      <c r="AK24" s="203">
        <f t="shared" si="6"/>
        <v>0</v>
      </c>
      <c r="AL24" s="196">
        <f t="shared" si="6"/>
        <v>0</v>
      </c>
      <c r="AM24" s="203">
        <f t="shared" si="6"/>
        <v>0</v>
      </c>
      <c r="AN24" s="203">
        <f t="shared" si="6"/>
        <v>0</v>
      </c>
      <c r="AO24" s="203">
        <f t="shared" si="6"/>
        <v>0</v>
      </c>
      <c r="AP24" s="203">
        <f t="shared" si="6"/>
        <v>0</v>
      </c>
      <c r="AQ24" s="203">
        <f t="shared" si="6"/>
        <v>0</v>
      </c>
      <c r="AR24" s="203">
        <f t="shared" si="6"/>
        <v>0</v>
      </c>
      <c r="AS24" s="203">
        <f aca="true" t="shared" si="7" ref="AS24:BA24">+AS25</f>
        <v>0</v>
      </c>
      <c r="AT24" s="203">
        <f t="shared" si="7"/>
        <v>0</v>
      </c>
      <c r="AU24" s="203">
        <f t="shared" si="7"/>
        <v>0</v>
      </c>
      <c r="AV24" s="203">
        <f t="shared" si="7"/>
        <v>0</v>
      </c>
      <c r="AW24" s="203">
        <f t="shared" si="7"/>
        <v>0</v>
      </c>
      <c r="AX24" s="217">
        <f t="shared" si="7"/>
        <v>0</v>
      </c>
      <c r="AY24" s="202">
        <f t="shared" si="7"/>
        <v>0</v>
      </c>
      <c r="AZ24" s="203">
        <f t="shared" si="7"/>
        <v>0</v>
      </c>
      <c r="BA24" s="217">
        <f t="shared" si="7"/>
        <v>0</v>
      </c>
    </row>
    <row r="25" spans="2:53" s="29" customFormat="1" ht="14.25">
      <c r="B25" s="74" t="s">
        <v>83</v>
      </c>
      <c r="C25" s="96">
        <v>1.9407512000000002</v>
      </c>
      <c r="D25" s="96">
        <v>1.85626713</v>
      </c>
      <c r="E25" s="96">
        <v>1.85626713</v>
      </c>
      <c r="F25" s="129">
        <v>1.7686961499999998</v>
      </c>
      <c r="G25" s="149">
        <v>1.7686961499999998</v>
      </c>
      <c r="H25" s="96">
        <v>1.6779501200000002</v>
      </c>
      <c r="I25" s="96">
        <v>1.6779501200000002</v>
      </c>
      <c r="J25" s="432">
        <v>1.58393281</v>
      </c>
      <c r="K25" s="149">
        <v>1.58393281</v>
      </c>
      <c r="L25" s="96">
        <v>1.4864598199999999</v>
      </c>
      <c r="M25" s="96">
        <v>1.4864598199999999</v>
      </c>
      <c r="N25" s="432">
        <v>1.38543493</v>
      </c>
      <c r="O25" s="149">
        <v>1.38543493</v>
      </c>
      <c r="P25" s="96">
        <v>1.2807618699999999</v>
      </c>
      <c r="Q25" s="96">
        <v>1.2807618699999999</v>
      </c>
      <c r="R25" s="432">
        <v>1.17225628</v>
      </c>
      <c r="S25" s="96">
        <v>1.17225628</v>
      </c>
      <c r="T25" s="96">
        <v>1.0598299899999999</v>
      </c>
      <c r="U25" s="96">
        <v>1.05982999</v>
      </c>
      <c r="V25" s="129">
        <v>0.94329055</v>
      </c>
      <c r="W25" s="146">
        <v>0.943291</v>
      </c>
      <c r="X25" s="96">
        <v>0.82254168</v>
      </c>
      <c r="Y25" s="96">
        <v>0.82254168</v>
      </c>
      <c r="Z25" s="107">
        <v>0.6973990400000001</v>
      </c>
      <c r="AA25" s="70">
        <v>0.697399</v>
      </c>
      <c r="AB25" s="70">
        <v>0.56767821</v>
      </c>
      <c r="AC25" s="75">
        <v>0.56767821</v>
      </c>
      <c r="AD25" s="107">
        <v>0.43328295999999994</v>
      </c>
      <c r="AE25" s="244">
        <v>0.43328295999999994</v>
      </c>
      <c r="AF25" s="129">
        <v>0.29402889</v>
      </c>
      <c r="AG25" s="129">
        <v>0.29402889</v>
      </c>
      <c r="AH25" s="107">
        <v>0.1496354</v>
      </c>
      <c r="AI25" s="129">
        <v>0.1496354</v>
      </c>
      <c r="AJ25" s="203">
        <v>0</v>
      </c>
      <c r="AK25" s="203">
        <v>0</v>
      </c>
      <c r="AL25" s="196">
        <v>0</v>
      </c>
      <c r="AM25" s="203">
        <v>0</v>
      </c>
      <c r="AN25" s="203">
        <v>0</v>
      </c>
      <c r="AO25" s="203">
        <v>0</v>
      </c>
      <c r="AP25" s="203">
        <v>0</v>
      </c>
      <c r="AQ25" s="203">
        <v>0</v>
      </c>
      <c r="AR25" s="203">
        <v>0</v>
      </c>
      <c r="AS25" s="203">
        <v>0</v>
      </c>
      <c r="AT25" s="203">
        <v>0</v>
      </c>
      <c r="AU25" s="203">
        <v>0</v>
      </c>
      <c r="AV25" s="203">
        <v>0</v>
      </c>
      <c r="AW25" s="203">
        <v>0</v>
      </c>
      <c r="AX25" s="217">
        <v>0</v>
      </c>
      <c r="AY25" s="202">
        <v>0</v>
      </c>
      <c r="AZ25" s="203">
        <v>0</v>
      </c>
      <c r="BA25" s="217">
        <v>0</v>
      </c>
    </row>
    <row r="26" spans="2:53" s="29" customFormat="1" ht="11.25" customHeight="1">
      <c r="B26" s="49"/>
      <c r="C26" s="393"/>
      <c r="D26" s="393"/>
      <c r="E26" s="393"/>
      <c r="F26" s="472"/>
      <c r="G26" s="416"/>
      <c r="H26" s="393"/>
      <c r="I26" s="393"/>
      <c r="J26" s="478"/>
      <c r="K26" s="416"/>
      <c r="L26" s="393"/>
      <c r="M26" s="393"/>
      <c r="N26" s="478"/>
      <c r="O26" s="416"/>
      <c r="P26" s="393"/>
      <c r="Q26" s="393"/>
      <c r="R26" s="478"/>
      <c r="S26" s="393"/>
      <c r="T26" s="393"/>
      <c r="U26" s="393"/>
      <c r="V26" s="472"/>
      <c r="W26" s="409"/>
      <c r="X26" s="393"/>
      <c r="Y26" s="393"/>
      <c r="Z26" s="110"/>
      <c r="AA26" s="139"/>
      <c r="AB26" s="139"/>
      <c r="AC26" s="78"/>
      <c r="AD26" s="110"/>
      <c r="AE26" s="245"/>
      <c r="AF26" s="170"/>
      <c r="AG26" s="170"/>
      <c r="AH26" s="123"/>
      <c r="AI26" s="170"/>
      <c r="AJ26" s="170"/>
      <c r="AK26" s="170"/>
      <c r="AL26" s="123"/>
      <c r="AM26" s="170"/>
      <c r="AN26" s="559"/>
      <c r="AO26" s="559"/>
      <c r="AP26" s="559"/>
      <c r="AQ26" s="559"/>
      <c r="AR26" s="559"/>
      <c r="AS26" s="559"/>
      <c r="AT26" s="559"/>
      <c r="AU26" s="559"/>
      <c r="AV26" s="559"/>
      <c r="AW26" s="559"/>
      <c r="AX26" s="566"/>
      <c r="AY26" s="607"/>
      <c r="AZ26" s="559"/>
      <c r="BA26" s="566"/>
    </row>
    <row r="27" spans="2:53" s="29" customFormat="1" ht="15.75">
      <c r="B27" s="85" t="s">
        <v>105</v>
      </c>
      <c r="C27" s="394">
        <f aca="true" t="shared" si="8" ref="C27:AK27">SUM(C28:C54)</f>
        <v>429.35730250999995</v>
      </c>
      <c r="D27" s="394">
        <f t="shared" si="8"/>
        <v>433.5654961100001</v>
      </c>
      <c r="E27" s="394">
        <f t="shared" si="8"/>
        <v>432.42203599</v>
      </c>
      <c r="F27" s="451">
        <f t="shared" si="8"/>
        <v>442.0789790299999</v>
      </c>
      <c r="G27" s="417">
        <f t="shared" si="8"/>
        <v>449.70982265</v>
      </c>
      <c r="H27" s="394">
        <f t="shared" si="8"/>
        <v>439.80550464999993</v>
      </c>
      <c r="I27" s="394">
        <f t="shared" si="8"/>
        <v>514.5006442600001</v>
      </c>
      <c r="J27" s="479">
        <f t="shared" si="8"/>
        <v>496.36830517</v>
      </c>
      <c r="K27" s="417">
        <f t="shared" si="8"/>
        <v>533.7301885899999</v>
      </c>
      <c r="L27" s="394">
        <f t="shared" si="8"/>
        <v>505.52660625999994</v>
      </c>
      <c r="M27" s="394">
        <f t="shared" si="8"/>
        <v>526.3351877499999</v>
      </c>
      <c r="N27" s="479">
        <f t="shared" si="8"/>
        <v>596.3995497300001</v>
      </c>
      <c r="O27" s="417">
        <f t="shared" si="8"/>
        <v>579.45428797</v>
      </c>
      <c r="P27" s="394">
        <f t="shared" si="8"/>
        <v>597.0145800700001</v>
      </c>
      <c r="Q27" s="394">
        <f t="shared" si="8"/>
        <v>629.1252804900001</v>
      </c>
      <c r="R27" s="479">
        <f t="shared" si="8"/>
        <v>635.41877304</v>
      </c>
      <c r="S27" s="394">
        <f t="shared" si="8"/>
        <v>715.69434268</v>
      </c>
      <c r="T27" s="394">
        <f t="shared" si="8"/>
        <v>848.9160069300001</v>
      </c>
      <c r="U27" s="394">
        <f t="shared" si="8"/>
        <v>860.1170751299999</v>
      </c>
      <c r="V27" s="451">
        <f t="shared" si="8"/>
        <v>924.9894452</v>
      </c>
      <c r="W27" s="410">
        <f t="shared" si="8"/>
        <v>872.6764284400002</v>
      </c>
      <c r="X27" s="394">
        <f t="shared" si="8"/>
        <v>845.0401275700001</v>
      </c>
      <c r="Y27" s="394">
        <f t="shared" si="8"/>
        <v>859.9988164700003</v>
      </c>
      <c r="Z27" s="111">
        <f t="shared" si="8"/>
        <v>862.9210094700002</v>
      </c>
      <c r="AA27" s="138">
        <f t="shared" si="8"/>
        <v>827.63708672</v>
      </c>
      <c r="AB27" s="138">
        <f t="shared" si="8"/>
        <v>981.3201253899999</v>
      </c>
      <c r="AC27" s="99">
        <f t="shared" si="8"/>
        <v>987.4279598399999</v>
      </c>
      <c r="AD27" s="111">
        <f t="shared" si="8"/>
        <v>937.0645729599999</v>
      </c>
      <c r="AE27" s="246">
        <f t="shared" si="8"/>
        <v>845.3107444000001</v>
      </c>
      <c r="AF27" s="121">
        <f t="shared" si="8"/>
        <v>827.6277556499999</v>
      </c>
      <c r="AG27" s="121">
        <f t="shared" si="8"/>
        <v>811.9673705300002</v>
      </c>
      <c r="AH27" s="185">
        <f t="shared" si="8"/>
        <v>771.6790471799998</v>
      </c>
      <c r="AI27" s="121">
        <f t="shared" si="8"/>
        <v>779.4773094899999</v>
      </c>
      <c r="AJ27" s="445">
        <f t="shared" si="8"/>
        <v>780.2217416800003</v>
      </c>
      <c r="AK27" s="121">
        <f t="shared" si="8"/>
        <v>732.2897986600002</v>
      </c>
      <c r="AL27" s="185">
        <f aca="true" t="shared" si="9" ref="AL27:AS27">SUM(AL28:AL54)</f>
        <v>684.0289419499998</v>
      </c>
      <c r="AM27" s="121">
        <f t="shared" si="9"/>
        <v>718.9515715999999</v>
      </c>
      <c r="AN27" s="121">
        <f t="shared" si="9"/>
        <v>713.6313652399998</v>
      </c>
      <c r="AO27" s="121">
        <f>SUM(AO28:AO54)</f>
        <v>702.2864607399999</v>
      </c>
      <c r="AP27" s="121">
        <f t="shared" si="9"/>
        <v>685.8043163499998</v>
      </c>
      <c r="AQ27" s="121">
        <f t="shared" si="9"/>
        <v>666.9984990800001</v>
      </c>
      <c r="AR27" s="121">
        <f t="shared" si="9"/>
        <v>676.86965185</v>
      </c>
      <c r="AS27" s="121">
        <f t="shared" si="9"/>
        <v>675.9964339199998</v>
      </c>
      <c r="AT27" s="121">
        <f aca="true" t="shared" si="10" ref="AT27:AY27">SUM(AT28:AT54)</f>
        <v>684.04898989</v>
      </c>
      <c r="AU27" s="121">
        <f t="shared" si="10"/>
        <v>669.21070688</v>
      </c>
      <c r="AV27" s="121">
        <f t="shared" si="10"/>
        <v>676.5627256199999</v>
      </c>
      <c r="AW27" s="121">
        <f t="shared" si="10"/>
        <v>664.1918200200001</v>
      </c>
      <c r="AX27" s="214">
        <f t="shared" si="10"/>
        <v>646.6654164300003</v>
      </c>
      <c r="AY27" s="438">
        <f t="shared" si="10"/>
        <v>668.2887556400002</v>
      </c>
      <c r="AZ27" s="121">
        <f>SUM(AZ28:AZ54)</f>
        <v>686.3079102099999</v>
      </c>
      <c r="BA27" s="214">
        <f>SUM(BA28:BA54)</f>
        <v>683.73144242</v>
      </c>
    </row>
    <row r="28" spans="2:53" s="29" customFormat="1" ht="14.25">
      <c r="B28" s="117" t="s">
        <v>42</v>
      </c>
      <c r="C28" s="395">
        <v>228.56973595</v>
      </c>
      <c r="D28" s="395">
        <v>227.4303396</v>
      </c>
      <c r="E28" s="395">
        <v>231.32744586</v>
      </c>
      <c r="F28" s="173">
        <v>234.78459262</v>
      </c>
      <c r="G28" s="418">
        <v>244.79038077</v>
      </c>
      <c r="H28" s="395">
        <v>236.31298833</v>
      </c>
      <c r="I28" s="395">
        <f>4.46301789+6.31369142+9.88790365+65.94271616+74.01851834+93.02233869</f>
        <v>253.64818615</v>
      </c>
      <c r="J28" s="480">
        <f>2.23150898+5.95480898+13.63666315+68.11598383+86.14938617+88.2173944</f>
        <v>264.30574551</v>
      </c>
      <c r="K28" s="418">
        <v>282.8214369</v>
      </c>
      <c r="L28" s="395">
        <v>269.7437738</v>
      </c>
      <c r="M28" s="395">
        <v>299.75362599</v>
      </c>
      <c r="N28" s="480">
        <v>348.60421629</v>
      </c>
      <c r="O28" s="418">
        <v>351.72477598</v>
      </c>
      <c r="P28" s="395">
        <v>364.58177525</v>
      </c>
      <c r="Q28" s="395">
        <f>206.90245478+75.50636722+72.51916594+19+10.02218255+3.7715217</f>
        <v>387.72169219</v>
      </c>
      <c r="R28" s="480">
        <v>405.35982401</v>
      </c>
      <c r="S28" s="395">
        <v>493.65198101</v>
      </c>
      <c r="T28" s="395">
        <v>524.5096546</v>
      </c>
      <c r="U28" s="395">
        <v>566.50529166</v>
      </c>
      <c r="V28" s="173">
        <f>238.8942124+114.151173+78.13720816+55.41558906+52.8607845+49.96563484+20+17+6.23497221+1.95387796</f>
        <v>634.61345213</v>
      </c>
      <c r="W28" s="411">
        <v>646.14011079</v>
      </c>
      <c r="X28" s="395">
        <v>666.85333231</v>
      </c>
      <c r="Y28" s="395">
        <v>682.39970684</v>
      </c>
      <c r="Z28" s="112">
        <v>683.59675612</v>
      </c>
      <c r="AA28" s="140">
        <v>644.56389585</v>
      </c>
      <c r="AB28" s="140">
        <v>661.08387214</v>
      </c>
      <c r="AC28" s="79">
        <v>669.57580207</v>
      </c>
      <c r="AD28" s="112">
        <v>633.55792193</v>
      </c>
      <c r="AE28" s="198">
        <f>603.50547913-22.34753313</f>
        <v>581.157946</v>
      </c>
      <c r="AF28" s="125">
        <v>570.22771718</v>
      </c>
      <c r="AG28" s="125">
        <v>563.3728531200001</v>
      </c>
      <c r="AH28" s="126">
        <v>535.1436143</v>
      </c>
      <c r="AI28" s="125">
        <v>547.3391039999999</v>
      </c>
      <c r="AJ28" s="188">
        <f>549.30618574+1.10644716000024</f>
        <v>550.4126329000003</v>
      </c>
      <c r="AK28" s="125">
        <v>527.7187151100001</v>
      </c>
      <c r="AL28" s="126">
        <v>498.51996345999993</v>
      </c>
      <c r="AM28" s="125">
        <v>524.4995479</v>
      </c>
      <c r="AN28" s="125">
        <v>521.64565407</v>
      </c>
      <c r="AO28" s="125">
        <v>522.01525427</v>
      </c>
      <c r="AP28" s="125">
        <v>509.69009304</v>
      </c>
      <c r="AQ28" s="125">
        <v>496.90327811000003</v>
      </c>
      <c r="AR28" s="125">
        <v>505.07311064</v>
      </c>
      <c r="AS28" s="125">
        <v>504.19185283999997</v>
      </c>
      <c r="AT28" s="125">
        <v>507.99207023</v>
      </c>
      <c r="AU28" s="125">
        <v>501.43181469000007</v>
      </c>
      <c r="AV28" s="125">
        <v>507.17343826</v>
      </c>
      <c r="AW28" s="125">
        <v>500.0329732</v>
      </c>
      <c r="AX28" s="257">
        <v>487.79362097000006</v>
      </c>
      <c r="AY28" s="433">
        <v>502.67176208</v>
      </c>
      <c r="AZ28" s="125">
        <v>513.70439282</v>
      </c>
      <c r="BA28" s="257">
        <v>514.81545267</v>
      </c>
    </row>
    <row r="29" spans="2:53" s="29" customFormat="1" ht="14.25">
      <c r="B29" s="117" t="s">
        <v>43</v>
      </c>
      <c r="C29" s="395">
        <v>54.03533</v>
      </c>
      <c r="D29" s="395">
        <v>57.62968711</v>
      </c>
      <c r="E29" s="395">
        <v>53.32752478</v>
      </c>
      <c r="F29" s="173">
        <v>53.07414576</v>
      </c>
      <c r="G29" s="418">
        <v>50.95563538</v>
      </c>
      <c r="H29" s="395">
        <v>49.43578496</v>
      </c>
      <c r="I29" s="395">
        <v>93.952013</v>
      </c>
      <c r="J29" s="480">
        <v>72.12366662</v>
      </c>
      <c r="K29" s="418">
        <v>77.34613293</v>
      </c>
      <c r="L29" s="395">
        <v>72.6557907</v>
      </c>
      <c r="M29" s="395">
        <v>69.86065268</v>
      </c>
      <c r="N29" s="480">
        <v>81.7244831</v>
      </c>
      <c r="O29" s="418">
        <v>72.181017</v>
      </c>
      <c r="P29" s="395">
        <v>75.02397025</v>
      </c>
      <c r="Q29" s="395">
        <v>76.39801704</v>
      </c>
      <c r="R29" s="480">
        <v>74.27223072</v>
      </c>
      <c r="S29" s="395">
        <v>70.31666812</v>
      </c>
      <c r="T29" s="395">
        <v>181.09600275</v>
      </c>
      <c r="U29" s="395">
        <v>137.1026151</v>
      </c>
      <c r="V29" s="173">
        <v>140.4323481</v>
      </c>
      <c r="W29" s="411">
        <v>72.0426882</v>
      </c>
      <c r="X29" s="395">
        <v>74.45230317000001</v>
      </c>
      <c r="Y29" s="395">
        <v>74.02387</v>
      </c>
      <c r="Z29" s="112">
        <v>73.5671792</v>
      </c>
      <c r="AA29" s="140">
        <v>65.45806318</v>
      </c>
      <c r="AB29" s="140">
        <v>194.82547359999998</v>
      </c>
      <c r="AC29" s="79">
        <v>189.75769052999996</v>
      </c>
      <c r="AD29" s="112">
        <v>176.20200706</v>
      </c>
      <c r="AE29" s="198">
        <v>148.10237157</v>
      </c>
      <c r="AF29" s="125">
        <v>142.69896515</v>
      </c>
      <c r="AG29" s="125">
        <v>134.35318475999998</v>
      </c>
      <c r="AH29" s="126">
        <v>124.46111588999999</v>
      </c>
      <c r="AI29" s="125">
        <v>120.44385901999999</v>
      </c>
      <c r="AJ29" s="125">
        <v>121.00386266000001</v>
      </c>
      <c r="AK29" s="125">
        <v>105.28842323999999</v>
      </c>
      <c r="AL29" s="126">
        <v>94.32552693000001</v>
      </c>
      <c r="AM29" s="125">
        <v>103.26085024</v>
      </c>
      <c r="AN29" s="125">
        <v>102.02639094999999</v>
      </c>
      <c r="AO29" s="125">
        <v>94.67761059</v>
      </c>
      <c r="AP29" s="125">
        <v>90.42038375999999</v>
      </c>
      <c r="AQ29" s="125">
        <v>86.21675744</v>
      </c>
      <c r="AR29" s="125">
        <v>88.94134634000001</v>
      </c>
      <c r="AS29" s="125">
        <v>88.57911654</v>
      </c>
      <c r="AT29" s="125">
        <v>90.58281124999999</v>
      </c>
      <c r="AU29" s="125">
        <v>83.97810736000001</v>
      </c>
      <c r="AV29" s="125">
        <v>85.28382111</v>
      </c>
      <c r="AW29" s="125">
        <v>83.03552133000001</v>
      </c>
      <c r="AX29" s="257">
        <v>79.3030882</v>
      </c>
      <c r="AY29" s="433">
        <v>83.54779601999999</v>
      </c>
      <c r="AZ29" s="125">
        <v>87.70268217</v>
      </c>
      <c r="BA29" s="257">
        <v>82.53880408</v>
      </c>
    </row>
    <row r="30" spans="2:53" s="29" customFormat="1" ht="14.25">
      <c r="B30" s="117" t="s">
        <v>44</v>
      </c>
      <c r="C30" s="156">
        <v>0.92775</v>
      </c>
      <c r="D30" s="395">
        <v>1.1125397</v>
      </c>
      <c r="E30" s="395">
        <v>1.37819276</v>
      </c>
      <c r="F30" s="173">
        <v>7.413931</v>
      </c>
      <c r="G30" s="418">
        <v>7.56983705</v>
      </c>
      <c r="H30" s="395">
        <v>14.05706269</v>
      </c>
      <c r="I30" s="395">
        <f>2.3871171+16.77208562</f>
        <v>19.15920272</v>
      </c>
      <c r="J30" s="480">
        <f>3.05799059+17.32484161</f>
        <v>20.3828322</v>
      </c>
      <c r="K30" s="418">
        <v>21.92839147</v>
      </c>
      <c r="L30" s="395">
        <v>21.21262288</v>
      </c>
      <c r="M30" s="395">
        <v>22.55317124</v>
      </c>
      <c r="N30" s="480">
        <v>29.08789357</v>
      </c>
      <c r="O30" s="418">
        <v>26.06416981</v>
      </c>
      <c r="P30" s="395">
        <v>27.53005546</v>
      </c>
      <c r="Q30" s="395">
        <f>22.60424516+5.79035146</f>
        <v>28.39459662</v>
      </c>
      <c r="R30" s="480">
        <v>27.60464226</v>
      </c>
      <c r="S30" s="395">
        <v>26.62780668</v>
      </c>
      <c r="T30" s="395">
        <v>28.25223463</v>
      </c>
      <c r="U30" s="395">
        <v>33.31033236</v>
      </c>
      <c r="V30" s="173">
        <f>27.76761505+6.78902778</f>
        <v>34.55664283</v>
      </c>
      <c r="W30" s="411">
        <v>33.98320865</v>
      </c>
      <c r="X30" s="395">
        <v>36.26410141</v>
      </c>
      <c r="Y30" s="395">
        <v>38.78727639</v>
      </c>
      <c r="Z30" s="112">
        <v>44.144750789999996</v>
      </c>
      <c r="AA30" s="140">
        <v>42.613081539999996</v>
      </c>
      <c r="AB30" s="140">
        <v>45.642099210000005</v>
      </c>
      <c r="AC30" s="79">
        <v>46.83580343</v>
      </c>
      <c r="AD30" s="112">
        <v>45.085313330000005</v>
      </c>
      <c r="AE30" s="198">
        <v>38.71642951</v>
      </c>
      <c r="AF30" s="125">
        <v>37.30388896</v>
      </c>
      <c r="AG30" s="125">
        <v>35.96072969</v>
      </c>
      <c r="AH30" s="126">
        <v>33.31303649</v>
      </c>
      <c r="AI30" s="433">
        <v>33.089770030000004</v>
      </c>
      <c r="AJ30" s="125">
        <v>33.243620889999995</v>
      </c>
      <c r="AK30" s="125">
        <v>29.77726557</v>
      </c>
      <c r="AL30" s="126">
        <v>26.67678154</v>
      </c>
      <c r="AM30" s="125">
        <v>29.20383518</v>
      </c>
      <c r="AN30" s="125">
        <v>28.854710179999994</v>
      </c>
      <c r="AO30" s="125">
        <v>27.65950661</v>
      </c>
      <c r="AP30" s="125">
        <v>26.415782859999997</v>
      </c>
      <c r="AQ30" s="125">
        <v>25.187718180000005</v>
      </c>
      <c r="AR30" s="125">
        <v>25.98369078</v>
      </c>
      <c r="AS30" s="125">
        <v>25.87786748</v>
      </c>
      <c r="AT30" s="125">
        <v>26.46323509</v>
      </c>
      <c r="AU30" s="125">
        <v>25.447612789999997</v>
      </c>
      <c r="AV30" s="125">
        <v>25.843278979999997</v>
      </c>
      <c r="AW30" s="125">
        <v>25.161983999999997</v>
      </c>
      <c r="AX30" s="257">
        <v>24.030956930000002</v>
      </c>
      <c r="AY30" s="433">
        <v>25.317216939999998</v>
      </c>
      <c r="AZ30" s="125">
        <v>26.576258579999998</v>
      </c>
      <c r="BA30" s="257">
        <v>26.07302134</v>
      </c>
    </row>
    <row r="31" spans="2:53" ht="14.25">
      <c r="B31" s="117" t="s">
        <v>45</v>
      </c>
      <c r="C31" s="395">
        <v>5.38583277</v>
      </c>
      <c r="D31" s="395">
        <v>5.54542502</v>
      </c>
      <c r="E31" s="395">
        <v>5.36203384</v>
      </c>
      <c r="F31" s="173">
        <v>5.41858735</v>
      </c>
      <c r="G31" s="418">
        <v>5.32906781</v>
      </c>
      <c r="H31" s="395">
        <v>5.20657802</v>
      </c>
      <c r="I31" s="395">
        <f>0.30046747+5.25268041</f>
        <v>5.55314788</v>
      </c>
      <c r="J31" s="480">
        <f>0.29715049+5.02122275</f>
        <v>5.31837324</v>
      </c>
      <c r="K31" s="418">
        <v>5.57196926</v>
      </c>
      <c r="L31" s="395">
        <v>5.37126407</v>
      </c>
      <c r="M31" s="395">
        <v>4.64066653</v>
      </c>
      <c r="N31" s="480">
        <v>4.43372871</v>
      </c>
      <c r="O31" s="418">
        <v>4.0711953</v>
      </c>
      <c r="P31" s="395">
        <v>4.1514383</v>
      </c>
      <c r="Q31" s="395">
        <f>3.88828121+0.26352682</f>
        <v>4.15180803</v>
      </c>
      <c r="R31" s="480">
        <v>4.32762802</v>
      </c>
      <c r="S31" s="395">
        <v>4.09728912</v>
      </c>
      <c r="T31" s="395">
        <v>3.89634876</v>
      </c>
      <c r="U31" s="395">
        <v>4.35422749</v>
      </c>
      <c r="V31" s="173">
        <f>2.78173418+1.69587349+0.21583804</f>
        <v>4.693445710000001</v>
      </c>
      <c r="W31" s="411">
        <v>4.6810776800000005</v>
      </c>
      <c r="X31" s="395">
        <v>4.641298740000001</v>
      </c>
      <c r="Y31" s="395">
        <v>4.31680131</v>
      </c>
      <c r="Z31" s="112">
        <v>4.07306885</v>
      </c>
      <c r="AA31" s="140">
        <v>15.18353139</v>
      </c>
      <c r="AB31" s="140">
        <v>15.69431996</v>
      </c>
      <c r="AC31" s="81">
        <v>16.097874140000002</v>
      </c>
      <c r="AD31" s="112">
        <v>17.709469629999997</v>
      </c>
      <c r="AE31" s="247">
        <v>15.491154049999999</v>
      </c>
      <c r="AF31" s="187">
        <v>14.86268957</v>
      </c>
      <c r="AG31" s="187">
        <v>14.49911889</v>
      </c>
      <c r="AH31" s="215">
        <v>13.402115929999999</v>
      </c>
      <c r="AI31" s="434">
        <v>13.3988658</v>
      </c>
      <c r="AJ31" s="187">
        <v>13.2936102</v>
      </c>
      <c r="AK31" s="187">
        <v>12.0202316</v>
      </c>
      <c r="AL31" s="215">
        <v>10.718833870000001</v>
      </c>
      <c r="AM31" s="187">
        <v>11.642459789999998</v>
      </c>
      <c r="AN31" s="187">
        <v>11.50167086</v>
      </c>
      <c r="AO31" s="187">
        <v>11.12968547</v>
      </c>
      <c r="AP31" s="187">
        <v>10.66074923</v>
      </c>
      <c r="AQ31" s="187">
        <v>10.18243921</v>
      </c>
      <c r="AR31" s="125">
        <v>10.4017607</v>
      </c>
      <c r="AS31" s="125">
        <v>10.36200596</v>
      </c>
      <c r="AT31" s="125">
        <v>10.59783947</v>
      </c>
      <c r="AU31" s="125">
        <v>10.30449629</v>
      </c>
      <c r="AV31" s="125">
        <v>10.461137149999999</v>
      </c>
      <c r="AW31" s="125">
        <v>10.182725709999998</v>
      </c>
      <c r="AX31" s="257">
        <v>9.72093121</v>
      </c>
      <c r="AY31" s="433">
        <v>10.235448</v>
      </c>
      <c r="AZ31" s="125">
        <v>10.74038364</v>
      </c>
      <c r="BA31" s="257">
        <v>10.78366556</v>
      </c>
    </row>
    <row r="32" spans="2:53" ht="14.25">
      <c r="B32" s="117" t="s">
        <v>85</v>
      </c>
      <c r="C32" s="395">
        <v>20.06664506</v>
      </c>
      <c r="D32" s="395">
        <v>21.53498882</v>
      </c>
      <c r="E32" s="395">
        <v>20.51612474</v>
      </c>
      <c r="F32" s="173">
        <v>21.64041544</v>
      </c>
      <c r="G32" s="418">
        <v>20.98669051</v>
      </c>
      <c r="H32" s="395">
        <v>21.43625403</v>
      </c>
      <c r="I32" s="395">
        <v>21.67539497</v>
      </c>
      <c r="J32" s="480">
        <v>21.66518548</v>
      </c>
      <c r="K32" s="419">
        <v>23.43586208</v>
      </c>
      <c r="L32" s="156">
        <v>22.67373866</v>
      </c>
      <c r="M32" s="156">
        <v>20.27080353</v>
      </c>
      <c r="N32" s="172">
        <v>19.46573386</v>
      </c>
      <c r="O32" s="418">
        <v>18.5423199</v>
      </c>
      <c r="P32" s="395">
        <v>19.03802741</v>
      </c>
      <c r="Q32" s="395">
        <v>19.80945526</v>
      </c>
      <c r="R32" s="480">
        <v>18.78077773</v>
      </c>
      <c r="S32" s="420">
        <v>17.69497923</v>
      </c>
      <c r="T32" s="420">
        <v>16.25476378</v>
      </c>
      <c r="U32" s="420">
        <v>16.67670373</v>
      </c>
      <c r="V32" s="173">
        <v>15.06564618</v>
      </c>
      <c r="W32" s="411">
        <v>17.3099808</v>
      </c>
      <c r="X32" s="395">
        <v>11.40299534</v>
      </c>
      <c r="Y32" s="395">
        <v>10.5286241</v>
      </c>
      <c r="Z32" s="112">
        <v>10.18972675</v>
      </c>
      <c r="AA32" s="140">
        <v>10.48930886</v>
      </c>
      <c r="AB32" s="140">
        <v>14.27607654</v>
      </c>
      <c r="AC32" s="81">
        <v>14.38308088</v>
      </c>
      <c r="AD32" s="112">
        <v>14.34563921</v>
      </c>
      <c r="AE32" s="247">
        <v>13.8193493</v>
      </c>
      <c r="AF32" s="187">
        <v>13.52570421</v>
      </c>
      <c r="AG32" s="187">
        <v>13.82298225</v>
      </c>
      <c r="AH32" s="215">
        <v>14.379351199999999</v>
      </c>
      <c r="AI32" s="434">
        <v>14.36360994</v>
      </c>
      <c r="AJ32" s="187">
        <v>12.93500223</v>
      </c>
      <c r="AK32" s="187">
        <v>11.982443009999999</v>
      </c>
      <c r="AL32" s="215">
        <v>11.003552130000001</v>
      </c>
      <c r="AM32" s="187">
        <v>10.272625640000001</v>
      </c>
      <c r="AN32" s="187">
        <v>10.1187796</v>
      </c>
      <c r="AO32" s="187">
        <f>9.57363968</f>
        <v>9.57363968</v>
      </c>
      <c r="AP32" s="187">
        <v>9.959372179999999</v>
      </c>
      <c r="AQ32" s="187">
        <v>9.94457122</v>
      </c>
      <c r="AR32" s="125">
        <v>9.36408098</v>
      </c>
      <c r="AS32" s="125">
        <v>9.40911858</v>
      </c>
      <c r="AT32" s="125">
        <v>9.66790199</v>
      </c>
      <c r="AU32" s="125">
        <v>9.5708902</v>
      </c>
      <c r="AV32" s="125">
        <v>9.51579112</v>
      </c>
      <c r="AW32" s="125">
        <v>9.1150205</v>
      </c>
      <c r="AX32" s="257">
        <v>8.77659565</v>
      </c>
      <c r="AY32" s="433">
        <v>8.903942050000001</v>
      </c>
      <c r="AZ32" s="125">
        <v>9.10576278</v>
      </c>
      <c r="BA32" s="257">
        <v>9.196785539999999</v>
      </c>
    </row>
    <row r="33" spans="2:53" s="133" customFormat="1" ht="14.25">
      <c r="B33" s="117" t="s">
        <v>51</v>
      </c>
      <c r="C33" s="395">
        <f>9.62176724+1.81255132</f>
        <v>11.434318560000001</v>
      </c>
      <c r="D33" s="395">
        <f>9.90858912+1.91622842</f>
        <v>11.82481754</v>
      </c>
      <c r="E33" s="395">
        <f>9.84118902+1.90319387</f>
        <v>11.74438289</v>
      </c>
      <c r="F33" s="173">
        <f>9.95423493+1.9776556</f>
        <v>11.93189053</v>
      </c>
      <c r="G33" s="418">
        <f>10.07112178+2.00087807</f>
        <v>12.071999850000001</v>
      </c>
      <c r="H33" s="395">
        <f>9.85755547+2.01346315</f>
        <v>11.87101862</v>
      </c>
      <c r="I33" s="395">
        <f>2.1255303+10.40621619</f>
        <v>12.53174649</v>
      </c>
      <c r="J33" s="480">
        <f>2.18695749+3.81009164</f>
        <v>5.997049130000001</v>
      </c>
      <c r="K33" s="418">
        <f>11.2566686+2.3656956</f>
        <v>13.6223642</v>
      </c>
      <c r="L33" s="395">
        <f>10.89600768+2.35805466</f>
        <v>13.25406234</v>
      </c>
      <c r="M33" s="395">
        <f>10.23815462+2.10815091</f>
        <v>12.346305529999999</v>
      </c>
      <c r="N33" s="173">
        <f>9.91445636+2.08762524</f>
        <v>12.0020816</v>
      </c>
      <c r="O33" s="418">
        <f>9.47260321+1.98859264</f>
        <v>11.461195850000001</v>
      </c>
      <c r="P33" s="395">
        <f>9.90303848+2.10755162</f>
        <v>12.0105901</v>
      </c>
      <c r="Q33" s="395">
        <f>2.19295038+10.72987937</f>
        <v>12.922829750000002</v>
      </c>
      <c r="R33" s="480">
        <f>10.88038819+2.09524901</f>
        <v>12.9756372</v>
      </c>
      <c r="S33" s="395">
        <f>10.25134559+1.97411354</f>
        <v>12.225459129999999</v>
      </c>
      <c r="T33" s="395">
        <f>9.09810059+1.8045049</f>
        <v>10.90260549</v>
      </c>
      <c r="U33" s="395">
        <f>10.2274545+1.94278388</f>
        <v>12.17023838</v>
      </c>
      <c r="V33" s="173">
        <f>1.90884462+9.67586494</f>
        <v>11.58470956</v>
      </c>
      <c r="W33" s="411">
        <v>12.28825264</v>
      </c>
      <c r="X33" s="395">
        <v>12.30723692</v>
      </c>
      <c r="Y33" s="395">
        <v>11.29541141</v>
      </c>
      <c r="Z33" s="112">
        <v>10.61686313</v>
      </c>
      <c r="AA33" s="140">
        <v>10.92900334</v>
      </c>
      <c r="AB33" s="140">
        <v>10.3960959</v>
      </c>
      <c r="AC33" s="135">
        <v>10.47401838</v>
      </c>
      <c r="AD33" s="173">
        <v>10.54930998</v>
      </c>
      <c r="AE33" s="174">
        <f>1.6341099+8.52818383</f>
        <v>10.16229373</v>
      </c>
      <c r="AF33" s="188">
        <v>10.0514603</v>
      </c>
      <c r="AG33" s="188">
        <v>10.272378830000001</v>
      </c>
      <c r="AH33" s="429">
        <v>10.55131468</v>
      </c>
      <c r="AI33" s="435">
        <v>10.53976401</v>
      </c>
      <c r="AJ33" s="188">
        <f>8.25077335+1.59145752</f>
        <v>9.84223087</v>
      </c>
      <c r="AK33" s="188">
        <f>7.64317003+1.47425943</f>
        <v>9.11742946</v>
      </c>
      <c r="AL33" s="223">
        <f>7.10878912+1.37489105</f>
        <v>8.48368017</v>
      </c>
      <c r="AM33" s="188">
        <f>6.63657776+1.28356197</f>
        <v>7.92013973</v>
      </c>
      <c r="AN33" s="188">
        <f>6.53718632+1.26433895</f>
        <v>7.80152527</v>
      </c>
      <c r="AO33" s="188">
        <f>6.18500143+1.19622385</f>
        <v>7.38122528</v>
      </c>
      <c r="AP33" s="188">
        <f>6.43420196+1.24442103</f>
        <v>7.67862299</v>
      </c>
      <c r="AQ33" s="188">
        <f>6.42463987+1.24257166</f>
        <v>7.66721153</v>
      </c>
      <c r="AR33" s="125">
        <f>6.13428662+1.18985703</f>
        <v>7.32414365</v>
      </c>
      <c r="AS33" s="125">
        <f>6.16379017+1.19557978</f>
        <v>7.3593699500000005</v>
      </c>
      <c r="AT33" s="125">
        <f>6.33331578+1.22846237</f>
        <v>7.56177815</v>
      </c>
      <c r="AU33" s="125">
        <f>6.26976463+1.21613547</f>
        <v>7.4859001</v>
      </c>
      <c r="AV33" s="125">
        <f>6.23366995+1.20913424</f>
        <v>7.44280419</v>
      </c>
      <c r="AW33" s="125">
        <f>5.97113037+1.15820989</f>
        <v>7.12934026</v>
      </c>
      <c r="AX33" s="257">
        <f>5.83760723+1.13584542</f>
        <v>6.97345265</v>
      </c>
      <c r="AY33" s="433">
        <f>5.92230958+1.15232628</f>
        <v>7.074635860000001</v>
      </c>
      <c r="AZ33" s="125">
        <f>6.05654729+1.17844543</f>
        <v>7.23499272</v>
      </c>
      <c r="BA33" s="257">
        <f>6.11708957+1.19022537</f>
        <v>7.30731494</v>
      </c>
    </row>
    <row r="34" spans="2:53" s="133" customFormat="1" ht="14.25">
      <c r="B34" s="117" t="s">
        <v>46</v>
      </c>
      <c r="C34" s="395">
        <v>8.55068322</v>
      </c>
      <c r="D34" s="395">
        <v>9.07229826</v>
      </c>
      <c r="E34" s="395">
        <v>9.27987635</v>
      </c>
      <c r="F34" s="173">
        <v>9.55945224</v>
      </c>
      <c r="G34" s="418">
        <v>9.67170338</v>
      </c>
      <c r="H34" s="395">
        <v>9.76742088</v>
      </c>
      <c r="I34" s="395">
        <v>10.45765907</v>
      </c>
      <c r="J34" s="480">
        <v>10.90788524</v>
      </c>
      <c r="K34" s="418">
        <v>12.08570301</v>
      </c>
      <c r="L34" s="395">
        <v>12.18678961</v>
      </c>
      <c r="M34" s="395">
        <v>11.17129895</v>
      </c>
      <c r="N34" s="173">
        <v>11.24279283</v>
      </c>
      <c r="O34" s="418">
        <v>10.72751236</v>
      </c>
      <c r="P34" s="395">
        <v>11.36923953</v>
      </c>
      <c r="Q34" s="395">
        <v>11.82992529</v>
      </c>
      <c r="R34" s="480">
        <v>11.23203566</v>
      </c>
      <c r="S34" s="395">
        <v>10.58266279</v>
      </c>
      <c r="T34" s="395">
        <v>9.27321106</v>
      </c>
      <c r="U34" s="395">
        <v>10.34561806</v>
      </c>
      <c r="V34" s="173">
        <v>9.73382208</v>
      </c>
      <c r="W34" s="418">
        <v>10.38592214</v>
      </c>
      <c r="X34" s="395">
        <v>10.27642123</v>
      </c>
      <c r="Y34" s="395">
        <v>9.48843472</v>
      </c>
      <c r="Z34" s="480">
        <v>8.86034109</v>
      </c>
      <c r="AA34" s="140">
        <v>9.12083887</v>
      </c>
      <c r="AB34" s="140">
        <v>8.690214460000002</v>
      </c>
      <c r="AC34" s="135">
        <v>8.75535074</v>
      </c>
      <c r="AD34" s="112">
        <v>8.800613519999999</v>
      </c>
      <c r="AE34" s="174">
        <v>8.47775066</v>
      </c>
      <c r="AF34" s="188">
        <v>8.32301907</v>
      </c>
      <c r="AG34" s="188">
        <v>8.505948609999999</v>
      </c>
      <c r="AH34" s="429">
        <v>8.43743312</v>
      </c>
      <c r="AI34" s="435">
        <v>8.428196550000001</v>
      </c>
      <c r="AJ34" s="188">
        <v>8.12477001</v>
      </c>
      <c r="AK34" s="188">
        <v>7.52644583</v>
      </c>
      <c r="AL34" s="223">
        <v>7.02405262</v>
      </c>
      <c r="AM34" s="188">
        <v>6.55747</v>
      </c>
      <c r="AN34" s="188">
        <v>6.45926329</v>
      </c>
      <c r="AO34" s="188">
        <v>6.111276429999999</v>
      </c>
      <c r="AP34" s="188">
        <v>6.3575065</v>
      </c>
      <c r="AQ34" s="188">
        <v>6.348058389999999</v>
      </c>
      <c r="AR34" s="125">
        <v>6.083293360000001</v>
      </c>
      <c r="AS34" s="125">
        <v>6.11255165</v>
      </c>
      <c r="AT34" s="125">
        <v>6.280668019999999</v>
      </c>
      <c r="AU34" s="125">
        <v>6.21764517</v>
      </c>
      <c r="AV34" s="125">
        <v>6.18185053</v>
      </c>
      <c r="AW34" s="125">
        <v>5.921493389999999</v>
      </c>
      <c r="AX34" s="257">
        <v>5.81180534</v>
      </c>
      <c r="AY34" s="433">
        <v>5.89613331</v>
      </c>
      <c r="AZ34" s="125">
        <v>6.02977771</v>
      </c>
      <c r="BA34" s="257">
        <v>6.090052389999999</v>
      </c>
    </row>
    <row r="35" spans="2:53" s="133" customFormat="1" ht="14.25">
      <c r="B35" s="117" t="s">
        <v>47</v>
      </c>
      <c r="C35" s="395">
        <v>10.04674694</v>
      </c>
      <c r="D35" s="395">
        <v>10.40459255</v>
      </c>
      <c r="E35" s="395">
        <v>10.24963969</v>
      </c>
      <c r="F35" s="173">
        <v>10.42788348</v>
      </c>
      <c r="G35" s="418">
        <v>10.4608161</v>
      </c>
      <c r="H35" s="395">
        <v>10.3008324</v>
      </c>
      <c r="I35" s="395">
        <v>10.77799268</v>
      </c>
      <c r="J35" s="480">
        <v>10.64770968</v>
      </c>
      <c r="K35" s="418">
        <v>11.29339862</v>
      </c>
      <c r="L35" s="395">
        <v>11.11297883</v>
      </c>
      <c r="M35" s="395">
        <v>9.73514461</v>
      </c>
      <c r="N35" s="173">
        <v>9.51292454</v>
      </c>
      <c r="O35" s="418">
        <v>8.87290471</v>
      </c>
      <c r="P35" s="395">
        <v>9.27503616</v>
      </c>
      <c r="Q35" s="395">
        <v>9.44272102</v>
      </c>
      <c r="R35" s="480">
        <v>9.11933381</v>
      </c>
      <c r="S35" s="395">
        <v>8.39998876</v>
      </c>
      <c r="T35" s="395">
        <v>7.49044581</v>
      </c>
      <c r="U35" s="395">
        <v>6.7630072</v>
      </c>
      <c r="V35" s="173">
        <v>6.57907082</v>
      </c>
      <c r="W35" s="418">
        <v>7.01982404</v>
      </c>
      <c r="X35" s="395">
        <v>5.15674711</v>
      </c>
      <c r="Y35" s="395">
        <v>6.2846198200000005</v>
      </c>
      <c r="Z35" s="480">
        <v>7.03048098</v>
      </c>
      <c r="AA35" s="140">
        <v>7.047480480000001</v>
      </c>
      <c r="AB35" s="140">
        <v>6.78920021</v>
      </c>
      <c r="AC35" s="135">
        <v>6.65272745</v>
      </c>
      <c r="AD35" s="112">
        <v>6.786680639999999</v>
      </c>
      <c r="AE35" s="174">
        <v>6.3501845</v>
      </c>
      <c r="AF35" s="188">
        <v>6.36229816</v>
      </c>
      <c r="AG35" s="188">
        <v>6.306412269999998</v>
      </c>
      <c r="AH35" s="429">
        <v>6.33428592</v>
      </c>
      <c r="AI35" s="435">
        <v>6.12698121</v>
      </c>
      <c r="AJ35" s="188">
        <v>6.004688580000001</v>
      </c>
      <c r="AK35" s="188">
        <v>5.376673190000001</v>
      </c>
      <c r="AL35" s="223">
        <v>5.069060919999999</v>
      </c>
      <c r="AM35" s="188">
        <v>4.732341379999999</v>
      </c>
      <c r="AN35" s="188">
        <v>4.661468360000001</v>
      </c>
      <c r="AO35" s="188">
        <v>4.25444964</v>
      </c>
      <c r="AP35" s="188">
        <v>4.425866109999999</v>
      </c>
      <c r="AQ35" s="188">
        <v>4.419288659999999</v>
      </c>
      <c r="AR35" s="125">
        <v>4.27710591</v>
      </c>
      <c r="AS35" s="125">
        <v>4.29767714</v>
      </c>
      <c r="AT35" s="125">
        <v>4.415878180000001</v>
      </c>
      <c r="AU35" s="125">
        <v>4.20752399</v>
      </c>
      <c r="AV35" s="125">
        <v>4.183301510000001</v>
      </c>
      <c r="AW35" s="125">
        <v>4.00711601</v>
      </c>
      <c r="AX35" s="257">
        <v>3.9705575300000002</v>
      </c>
      <c r="AY35" s="433">
        <v>4.0281694099999985</v>
      </c>
      <c r="AZ35" s="125">
        <v>4.11947369</v>
      </c>
      <c r="BA35" s="257">
        <v>3.9942645299999993</v>
      </c>
    </row>
    <row r="36" spans="2:53" s="133" customFormat="1" ht="14.25">
      <c r="B36" s="117" t="s">
        <v>128</v>
      </c>
      <c r="C36" s="204">
        <v>0</v>
      </c>
      <c r="D36" s="204">
        <v>0</v>
      </c>
      <c r="E36" s="156">
        <v>0.05563594</v>
      </c>
      <c r="F36" s="172">
        <v>0.29700821</v>
      </c>
      <c r="G36" s="419">
        <v>0.34509076</v>
      </c>
      <c r="H36" s="156">
        <v>0.47275087</v>
      </c>
      <c r="I36" s="156">
        <v>0.54135708</v>
      </c>
      <c r="J36" s="216">
        <v>0.89892012</v>
      </c>
      <c r="K36" s="395">
        <v>1.22986182</v>
      </c>
      <c r="L36" s="395">
        <v>1.91921912</v>
      </c>
      <c r="M36" s="395">
        <v>2.12198276</v>
      </c>
      <c r="N36" s="173">
        <v>2.36713123</v>
      </c>
      <c r="O36" s="418">
        <v>2.91420686</v>
      </c>
      <c r="P36" s="395">
        <v>3.42701884</v>
      </c>
      <c r="Q36" s="395">
        <v>3.81712741</v>
      </c>
      <c r="R36" s="480">
        <v>4.06579011</v>
      </c>
      <c r="S36" s="395">
        <v>3.94884355</v>
      </c>
      <c r="T36" s="395">
        <v>3.57383494</v>
      </c>
      <c r="U36" s="156">
        <v>4.1459392</v>
      </c>
      <c r="V36" s="173">
        <v>4.05290934</v>
      </c>
      <c r="W36" s="419">
        <v>4.3907964900000005</v>
      </c>
      <c r="X36" s="156">
        <v>4.497162980000001</v>
      </c>
      <c r="Y36" s="156">
        <v>4.28269274</v>
      </c>
      <c r="Z36" s="480">
        <v>4.1448405699999995</v>
      </c>
      <c r="AA36" s="140">
        <v>4.2667005300000005</v>
      </c>
      <c r="AB36" s="140">
        <v>4.182741610000001</v>
      </c>
      <c r="AC36" s="137">
        <v>4.21409277</v>
      </c>
      <c r="AD36" s="172">
        <v>5.04445483</v>
      </c>
      <c r="AE36" s="174">
        <v>4.85939192</v>
      </c>
      <c r="AF36" s="188">
        <v>5.1632885</v>
      </c>
      <c r="AG36" s="188">
        <v>5.3873657</v>
      </c>
      <c r="AH36" s="429">
        <v>5.76870692</v>
      </c>
      <c r="AI36" s="435">
        <v>5.867116189999999</v>
      </c>
      <c r="AJ36" s="188">
        <v>5.87354605</v>
      </c>
      <c r="AK36" s="188">
        <v>5.4410064700000005</v>
      </c>
      <c r="AL36" s="223">
        <v>5.24632316</v>
      </c>
      <c r="AM36" s="188">
        <v>4.89782874</v>
      </c>
      <c r="AN36" s="188">
        <v>4.83385075</v>
      </c>
      <c r="AO36" s="188">
        <v>4.5734315</v>
      </c>
      <c r="AP36" s="188">
        <v>4.7577001</v>
      </c>
      <c r="AQ36" s="188">
        <v>4.75062952</v>
      </c>
      <c r="AR36" s="125">
        <v>4.48076</v>
      </c>
      <c r="AS36" s="125">
        <v>4.5023107300000005</v>
      </c>
      <c r="AT36" s="125">
        <v>4.7678245399999994</v>
      </c>
      <c r="AU36" s="125">
        <v>4.7199822000000005</v>
      </c>
      <c r="AV36" s="125">
        <v>4.69280952</v>
      </c>
      <c r="AW36" s="125">
        <v>4.4951653899999995</v>
      </c>
      <c r="AX36" s="257">
        <v>4.34315786</v>
      </c>
      <c r="AY36" s="433">
        <v>4.40617609</v>
      </c>
      <c r="AZ36" s="125">
        <v>4.50604844</v>
      </c>
      <c r="BA36" s="257">
        <v>4.55109167</v>
      </c>
    </row>
    <row r="37" spans="2:53" s="133" customFormat="1" ht="14.25">
      <c r="B37" s="117" t="s">
        <v>48</v>
      </c>
      <c r="C37" s="156">
        <v>0.4146263</v>
      </c>
      <c r="D37" s="156">
        <v>0.43834273</v>
      </c>
      <c r="E37" s="156">
        <v>2.73937358</v>
      </c>
      <c r="F37" s="172">
        <v>4.20739381</v>
      </c>
      <c r="G37" s="419">
        <v>4.36747368</v>
      </c>
      <c r="H37" s="156">
        <v>4.89129057</v>
      </c>
      <c r="I37" s="156">
        <v>5.28491494</v>
      </c>
      <c r="J37" s="216">
        <v>5.43764738</v>
      </c>
      <c r="K37" s="156">
        <v>6.13126463</v>
      </c>
      <c r="L37" s="156">
        <v>6.1114613</v>
      </c>
      <c r="M37" s="156">
        <v>5.54585314</v>
      </c>
      <c r="N37" s="172">
        <v>5.49525988</v>
      </c>
      <c r="O37" s="419">
        <v>5.86964724</v>
      </c>
      <c r="P37" s="156">
        <v>6.22077357</v>
      </c>
      <c r="Q37" s="156">
        <v>6.4728416</v>
      </c>
      <c r="R37" s="216">
        <v>6.39263634</v>
      </c>
      <c r="S37" s="156">
        <v>6.02305021</v>
      </c>
      <c r="T37" s="156">
        <v>5.45106106</v>
      </c>
      <c r="U37" s="156">
        <v>6.11980112</v>
      </c>
      <c r="V37" s="172">
        <v>5.95335832</v>
      </c>
      <c r="W37" s="419">
        <v>6.42045622</v>
      </c>
      <c r="X37" s="156">
        <v>5.42519264</v>
      </c>
      <c r="Y37" s="156">
        <v>5.00919366</v>
      </c>
      <c r="Z37" s="216">
        <v>4.847956969999999</v>
      </c>
      <c r="AA37" s="134">
        <v>4.99048892</v>
      </c>
      <c r="AB37" s="134">
        <v>5.930045219999999</v>
      </c>
      <c r="AC37" s="137">
        <v>5.9744930400000005</v>
      </c>
      <c r="AD37" s="113">
        <v>6.05253635</v>
      </c>
      <c r="AE37" s="174">
        <v>5.830490559999999</v>
      </c>
      <c r="AF37" s="188">
        <v>5.8025191</v>
      </c>
      <c r="AG37" s="188">
        <v>5.93005121</v>
      </c>
      <c r="AH37" s="429">
        <v>5.91817333</v>
      </c>
      <c r="AI37" s="435">
        <v>5.9116946299999995</v>
      </c>
      <c r="AJ37" s="188">
        <v>5.75877705</v>
      </c>
      <c r="AK37" s="188">
        <v>5.33468929</v>
      </c>
      <c r="AL37" s="223">
        <v>5.001435389999999</v>
      </c>
      <c r="AM37" s="188">
        <v>4.66920798</v>
      </c>
      <c r="AN37" s="188">
        <v>4.59928047</v>
      </c>
      <c r="AO37" s="188">
        <v>4.35149848</v>
      </c>
      <c r="AP37" s="188">
        <v>4.5268251500000005</v>
      </c>
      <c r="AQ37" s="188">
        <v>4.52009768</v>
      </c>
      <c r="AR37" s="125">
        <v>4.35271096</v>
      </c>
      <c r="AS37" s="125">
        <v>4.37364582</v>
      </c>
      <c r="AT37" s="125">
        <v>4.49393625</v>
      </c>
      <c r="AU37" s="125">
        <v>4.44884221</v>
      </c>
      <c r="AV37" s="125">
        <v>4.42323047</v>
      </c>
      <c r="AW37" s="125">
        <v>4.23694004</v>
      </c>
      <c r="AX37" s="257">
        <v>4.18008606</v>
      </c>
      <c r="AY37" s="433">
        <v>4.24073816</v>
      </c>
      <c r="AZ37" s="125">
        <v>4.33686062</v>
      </c>
      <c r="BA37" s="257">
        <v>4.38021262</v>
      </c>
    </row>
    <row r="38" spans="2:53" s="133" customFormat="1" ht="14.25">
      <c r="B38" s="117" t="s">
        <v>49</v>
      </c>
      <c r="C38" s="395">
        <v>3.6249057</v>
      </c>
      <c r="D38" s="395">
        <v>3.87526365</v>
      </c>
      <c r="E38" s="395">
        <v>3.95415436</v>
      </c>
      <c r="F38" s="173">
        <v>4.10885913</v>
      </c>
      <c r="G38" s="418">
        <v>4.21765542</v>
      </c>
      <c r="H38" s="395">
        <v>4.24418355</v>
      </c>
      <c r="I38" s="395">
        <v>4.48041015</v>
      </c>
      <c r="J38" s="480">
        <v>4.60989264</v>
      </c>
      <c r="K38" s="395">
        <v>4.98665512</v>
      </c>
      <c r="L38" s="395">
        <v>4.97054876</v>
      </c>
      <c r="M38" s="395">
        <v>4.44377607</v>
      </c>
      <c r="N38" s="173">
        <v>4.40050997</v>
      </c>
      <c r="O38" s="418">
        <v>4.19175893</v>
      </c>
      <c r="P38" s="395">
        <v>4.44251283</v>
      </c>
      <c r="Q38" s="395">
        <v>4.75396361</v>
      </c>
      <c r="R38" s="480">
        <v>5.02774275</v>
      </c>
      <c r="S38" s="395">
        <v>4.92353081</v>
      </c>
      <c r="T38" s="395">
        <v>4.45595938</v>
      </c>
      <c r="U38" s="395">
        <v>4.97127193</v>
      </c>
      <c r="V38" s="173">
        <v>4.92341942</v>
      </c>
      <c r="W38" s="418">
        <v>5.25325513</v>
      </c>
      <c r="X38" s="395">
        <v>3.9791550499999997</v>
      </c>
      <c r="Y38" s="395">
        <v>4.02609885</v>
      </c>
      <c r="Z38" s="480">
        <v>3.89982681</v>
      </c>
      <c r="AA38" s="140">
        <v>4.01448335</v>
      </c>
      <c r="AB38" s="140">
        <v>4.85091235</v>
      </c>
      <c r="AC38" s="137">
        <v>4.88727169</v>
      </c>
      <c r="AD38" s="173">
        <v>4.940759519999999</v>
      </c>
      <c r="AE38" s="174">
        <v>4.75950082</v>
      </c>
      <c r="AF38" s="188">
        <v>4.72622104</v>
      </c>
      <c r="AG38" s="188">
        <v>4.83009746</v>
      </c>
      <c r="AH38" s="429">
        <v>4.80919431</v>
      </c>
      <c r="AI38" s="435">
        <v>4.80392962</v>
      </c>
      <c r="AJ38" s="188">
        <v>4.66813565</v>
      </c>
      <c r="AK38" s="188">
        <v>4.32436488</v>
      </c>
      <c r="AL38" s="223">
        <v>4.04364054</v>
      </c>
      <c r="AM38" s="188">
        <v>3.77503601</v>
      </c>
      <c r="AN38" s="188">
        <v>3.7184999</v>
      </c>
      <c r="AO38" s="188">
        <v>3.51816914</v>
      </c>
      <c r="AP38" s="188">
        <v>3.65992006</v>
      </c>
      <c r="AQ38" s="188">
        <v>3.65448092</v>
      </c>
      <c r="AR38" s="125">
        <v>3.5093978900000002</v>
      </c>
      <c r="AS38" s="125">
        <v>3.52627674</v>
      </c>
      <c r="AT38" s="125">
        <v>3.62326158</v>
      </c>
      <c r="AU38" s="125">
        <v>3.58690425</v>
      </c>
      <c r="AV38" s="125">
        <v>3.56625465</v>
      </c>
      <c r="AW38" s="125">
        <v>3.4160569300000003</v>
      </c>
      <c r="AX38" s="257">
        <v>3.36028793</v>
      </c>
      <c r="AY38" s="433">
        <v>3.40904494</v>
      </c>
      <c r="AZ38" s="125">
        <v>3.48631588</v>
      </c>
      <c r="BA38" s="257">
        <v>3.52116568</v>
      </c>
    </row>
    <row r="39" spans="2:53" s="133" customFormat="1" ht="14.25">
      <c r="B39" s="117" t="s">
        <v>50</v>
      </c>
      <c r="C39" s="395">
        <v>3.76567651</v>
      </c>
      <c r="D39" s="395">
        <v>3.98107146</v>
      </c>
      <c r="E39" s="395">
        <v>3.99210351</v>
      </c>
      <c r="F39" s="173">
        <v>4.14829302</v>
      </c>
      <c r="G39" s="418">
        <v>4.29709772</v>
      </c>
      <c r="H39" s="395">
        <v>4.32412552</v>
      </c>
      <c r="I39" s="395">
        <v>4.5648016</v>
      </c>
      <c r="J39" s="480">
        <v>4.69672298</v>
      </c>
      <c r="K39" s="395">
        <v>5.08058203</v>
      </c>
      <c r="L39" s="395">
        <v>5.06748202</v>
      </c>
      <c r="M39" s="395">
        <v>4.75860191</v>
      </c>
      <c r="N39" s="173">
        <v>4.71227056</v>
      </c>
      <c r="O39" s="418">
        <v>4.6019567</v>
      </c>
      <c r="P39" s="395">
        <v>4.87724892</v>
      </c>
      <c r="Q39" s="395">
        <v>5.07487684</v>
      </c>
      <c r="R39" s="480">
        <v>4.78827022</v>
      </c>
      <c r="S39" s="395">
        <v>4.51143948</v>
      </c>
      <c r="T39" s="395">
        <v>3.92671385</v>
      </c>
      <c r="U39" s="395">
        <v>4.38082143</v>
      </c>
      <c r="V39" s="173">
        <v>4.09205331</v>
      </c>
      <c r="W39" s="418">
        <v>4.36619313</v>
      </c>
      <c r="X39" s="395">
        <v>4.35159701</v>
      </c>
      <c r="Y39" s="395">
        <v>4.01792056</v>
      </c>
      <c r="Z39" s="480">
        <v>3.78103123</v>
      </c>
      <c r="AA39" s="140">
        <v>3.8921951299999997</v>
      </c>
      <c r="AB39" s="140">
        <v>3.70706231</v>
      </c>
      <c r="AC39" s="137">
        <v>3.73484808</v>
      </c>
      <c r="AD39" s="173">
        <v>3.76671609</v>
      </c>
      <c r="AE39" s="174">
        <v>3.62852882</v>
      </c>
      <c r="AF39" s="188">
        <v>3.5940498599999997</v>
      </c>
      <c r="AG39" s="188">
        <v>3.67304257</v>
      </c>
      <c r="AH39" s="429">
        <v>3.64733602</v>
      </c>
      <c r="AI39" s="435">
        <v>3.64334323</v>
      </c>
      <c r="AJ39" s="188">
        <v>3.53025733</v>
      </c>
      <c r="AK39" s="188">
        <v>3.27028218</v>
      </c>
      <c r="AL39" s="223">
        <v>3.04869292</v>
      </c>
      <c r="AM39" s="188">
        <v>2.84617918</v>
      </c>
      <c r="AN39" s="188">
        <v>2.80355392</v>
      </c>
      <c r="AO39" s="188">
        <v>2.65251503</v>
      </c>
      <c r="AP39" s="188">
        <v>2.75938779</v>
      </c>
      <c r="AQ39" s="188">
        <v>2.7552869700000002</v>
      </c>
      <c r="AR39" s="125">
        <v>2.63731826</v>
      </c>
      <c r="AS39" s="125">
        <v>2.65000274</v>
      </c>
      <c r="AT39" s="125">
        <v>2.72288701</v>
      </c>
      <c r="AU39" s="125">
        <v>2.6955644199999997</v>
      </c>
      <c r="AV39" s="125">
        <v>2.6800462</v>
      </c>
      <c r="AW39" s="125">
        <v>2.56717237</v>
      </c>
      <c r="AX39" s="257">
        <v>2.51649665</v>
      </c>
      <c r="AY39" s="433">
        <v>2.55301044</v>
      </c>
      <c r="AZ39" s="125">
        <v>2.61087812</v>
      </c>
      <c r="BA39" s="257">
        <v>2.6369769</v>
      </c>
    </row>
    <row r="40" spans="2:53" s="133" customFormat="1" ht="14.25">
      <c r="B40" s="117" t="s">
        <v>54</v>
      </c>
      <c r="C40" s="204">
        <v>0</v>
      </c>
      <c r="D40" s="204">
        <v>0</v>
      </c>
      <c r="E40" s="204">
        <v>0</v>
      </c>
      <c r="F40" s="203">
        <v>0</v>
      </c>
      <c r="G40" s="181">
        <v>0</v>
      </c>
      <c r="H40" s="204">
        <v>0</v>
      </c>
      <c r="I40" s="204">
        <v>0</v>
      </c>
      <c r="J40" s="466">
        <v>0</v>
      </c>
      <c r="K40" s="204">
        <v>0</v>
      </c>
      <c r="L40" s="204">
        <v>0</v>
      </c>
      <c r="M40" s="204">
        <v>0</v>
      </c>
      <c r="N40" s="203">
        <v>0</v>
      </c>
      <c r="O40" s="181">
        <v>0</v>
      </c>
      <c r="P40" s="204">
        <v>0</v>
      </c>
      <c r="Q40" s="204">
        <v>0</v>
      </c>
      <c r="R40" s="466">
        <v>0</v>
      </c>
      <c r="S40" s="156">
        <v>0.33537629</v>
      </c>
      <c r="T40" s="156">
        <v>0.30352672</v>
      </c>
      <c r="U40" s="156">
        <v>0.33862828</v>
      </c>
      <c r="V40" s="172">
        <v>0.32941846</v>
      </c>
      <c r="W40" s="419">
        <v>0.35148726</v>
      </c>
      <c r="X40" s="156">
        <v>0.360002</v>
      </c>
      <c r="Y40" s="156">
        <v>0.33239738</v>
      </c>
      <c r="Z40" s="216">
        <v>0.14610365</v>
      </c>
      <c r="AA40" s="134">
        <v>0.21486070999999998</v>
      </c>
      <c r="AB40" s="134">
        <v>0.21063273999999998</v>
      </c>
      <c r="AC40" s="210">
        <v>0.21221151000000002</v>
      </c>
      <c r="AD40" s="172">
        <v>0.6995840799999999</v>
      </c>
      <c r="AE40" s="200">
        <v>0.6739188500000001</v>
      </c>
      <c r="AF40" s="172">
        <v>1.6983369099999999</v>
      </c>
      <c r="AG40" s="172">
        <v>1.73566423</v>
      </c>
      <c r="AH40" s="216">
        <v>2.1314879700000002</v>
      </c>
      <c r="AI40" s="436">
        <v>2.1291546</v>
      </c>
      <c r="AJ40" s="172">
        <v>2.1314879700000002</v>
      </c>
      <c r="AK40" s="172">
        <v>1.97452097</v>
      </c>
      <c r="AL40" s="113">
        <v>1.90387112</v>
      </c>
      <c r="AM40" s="172">
        <v>1.77740379</v>
      </c>
      <c r="AN40" s="172">
        <v>1.7507848400000001</v>
      </c>
      <c r="AO40" s="172">
        <v>1.6564629199999998</v>
      </c>
      <c r="AP40" s="172">
        <v>1.72320364</v>
      </c>
      <c r="AQ40" s="172">
        <v>1.72064273</v>
      </c>
      <c r="AR40" s="125">
        <v>1.7054738</v>
      </c>
      <c r="AS40" s="125">
        <v>1.71367647</v>
      </c>
      <c r="AT40" s="125">
        <v>1.76080852</v>
      </c>
      <c r="AU40" s="125">
        <v>1.74313983</v>
      </c>
      <c r="AV40" s="125">
        <v>1.73310467</v>
      </c>
      <c r="AW40" s="125">
        <v>1.66011258</v>
      </c>
      <c r="AX40" s="257">
        <v>1.68727475</v>
      </c>
      <c r="AY40" s="433">
        <v>1.71175672</v>
      </c>
      <c r="AZ40" s="125">
        <v>1.75055616</v>
      </c>
      <c r="BA40" s="257">
        <v>1.76805502</v>
      </c>
    </row>
    <row r="41" spans="2:53" s="133" customFormat="1" ht="14.25">
      <c r="B41" s="117" t="s">
        <v>52</v>
      </c>
      <c r="C41" s="204">
        <v>0</v>
      </c>
      <c r="D41" s="204">
        <v>0</v>
      </c>
      <c r="E41" s="204">
        <v>0</v>
      </c>
      <c r="F41" s="203">
        <v>0</v>
      </c>
      <c r="G41" s="181">
        <v>0</v>
      </c>
      <c r="H41" s="204">
        <v>0</v>
      </c>
      <c r="I41" s="204">
        <v>0</v>
      </c>
      <c r="J41" s="466">
        <v>0</v>
      </c>
      <c r="K41" s="204">
        <v>0</v>
      </c>
      <c r="L41" s="204">
        <v>0</v>
      </c>
      <c r="M41" s="204">
        <v>0</v>
      </c>
      <c r="N41" s="203">
        <v>0</v>
      </c>
      <c r="O41" s="181">
        <v>0</v>
      </c>
      <c r="P41" s="204">
        <v>0</v>
      </c>
      <c r="Q41" s="204">
        <v>0</v>
      </c>
      <c r="R41" s="466">
        <v>0</v>
      </c>
      <c r="S41" s="156">
        <v>0</v>
      </c>
      <c r="T41" s="156">
        <v>0.32042809</v>
      </c>
      <c r="U41" s="156">
        <v>0.74007185</v>
      </c>
      <c r="V41" s="172">
        <v>0.7582626</v>
      </c>
      <c r="W41" s="419">
        <v>0.73454609</v>
      </c>
      <c r="X41" s="156">
        <v>0.75911448</v>
      </c>
      <c r="Y41" s="156">
        <v>0.78243407</v>
      </c>
      <c r="Z41" s="216">
        <v>0.8023475600000001</v>
      </c>
      <c r="AA41" s="134">
        <v>0.7421266999999999</v>
      </c>
      <c r="AB41" s="134">
        <v>0.9540280800000001</v>
      </c>
      <c r="AC41" s="135">
        <v>1.12822981</v>
      </c>
      <c r="AD41" s="172">
        <v>1.26222511</v>
      </c>
      <c r="AE41" s="174">
        <v>1.1030529199999999</v>
      </c>
      <c r="AF41" s="188">
        <v>1.0628088399999998</v>
      </c>
      <c r="AG41" s="188">
        <v>1.04385407</v>
      </c>
      <c r="AH41" s="429">
        <v>0.96699786</v>
      </c>
      <c r="AI41" s="435">
        <v>0.9796810300000001</v>
      </c>
      <c r="AJ41" s="188">
        <v>0.98423605</v>
      </c>
      <c r="AK41" s="172">
        <v>0.9002614099999999</v>
      </c>
      <c r="AL41" s="113">
        <v>0.80652393</v>
      </c>
      <c r="AM41" s="172">
        <v>0.8829247800000001</v>
      </c>
      <c r="AN41" s="172">
        <v>0.87236963</v>
      </c>
      <c r="AO41" s="172">
        <v>0.8550352</v>
      </c>
      <c r="AP41" s="172">
        <v>0.8165881</v>
      </c>
      <c r="AQ41" s="172">
        <v>0.7786250800000001</v>
      </c>
      <c r="AR41" s="129">
        <v>0.80323089</v>
      </c>
      <c r="AS41" s="129">
        <v>0.79995959</v>
      </c>
      <c r="AT41" s="129">
        <v>0.81805499</v>
      </c>
      <c r="AU41" s="129">
        <v>0.80549302</v>
      </c>
      <c r="AV41" s="129">
        <v>0.81801704</v>
      </c>
      <c r="AW41" s="129">
        <v>0.79645201</v>
      </c>
      <c r="AX41" s="432">
        <v>0.76065162</v>
      </c>
      <c r="AY41" s="440">
        <v>0.8013656</v>
      </c>
      <c r="AZ41" s="129">
        <v>0.84121803</v>
      </c>
      <c r="BA41" s="432">
        <v>0.84638011</v>
      </c>
    </row>
    <row r="42" spans="2:53" s="133" customFormat="1" ht="14.25">
      <c r="B42" s="117" t="s">
        <v>53</v>
      </c>
      <c r="C42" s="204">
        <v>0</v>
      </c>
      <c r="D42" s="204">
        <v>0</v>
      </c>
      <c r="E42" s="204">
        <v>0</v>
      </c>
      <c r="F42" s="203">
        <v>0</v>
      </c>
      <c r="G42" s="181">
        <v>0</v>
      </c>
      <c r="H42" s="204">
        <v>0</v>
      </c>
      <c r="I42" s="204">
        <v>0</v>
      </c>
      <c r="J42" s="466">
        <v>0</v>
      </c>
      <c r="K42" s="204">
        <v>0</v>
      </c>
      <c r="L42" s="204">
        <v>0</v>
      </c>
      <c r="M42" s="204">
        <v>0</v>
      </c>
      <c r="N42" s="203">
        <v>0</v>
      </c>
      <c r="O42" s="181">
        <v>0</v>
      </c>
      <c r="P42" s="204">
        <v>0</v>
      </c>
      <c r="Q42" s="204">
        <v>0</v>
      </c>
      <c r="R42" s="466">
        <v>0</v>
      </c>
      <c r="S42" s="156">
        <v>0.13170764</v>
      </c>
      <c r="T42" s="156">
        <v>0.1191998</v>
      </c>
      <c r="U42" s="156">
        <v>0.13298474</v>
      </c>
      <c r="V42" s="172">
        <v>0.1293679</v>
      </c>
      <c r="W42" s="419">
        <v>0.13803468</v>
      </c>
      <c r="X42" s="156">
        <v>0.14137855</v>
      </c>
      <c r="Y42" s="156">
        <v>0.13053777</v>
      </c>
      <c r="Z42" s="216">
        <v>0.0822754</v>
      </c>
      <c r="AA42" s="134">
        <v>0.36998422</v>
      </c>
      <c r="AB42" s="134">
        <v>0.36270377000000004</v>
      </c>
      <c r="AC42" s="210">
        <v>0.76068795</v>
      </c>
      <c r="AD42" s="172">
        <v>0.79031925</v>
      </c>
      <c r="AE42" s="200">
        <v>0.76132528</v>
      </c>
      <c r="AF42" s="172">
        <v>0.77754434</v>
      </c>
      <c r="AG42" s="172">
        <v>0.79463379</v>
      </c>
      <c r="AH42" s="216">
        <v>0.8144014300000001</v>
      </c>
      <c r="AI42" s="436">
        <v>0.8135098900000001</v>
      </c>
      <c r="AJ42" s="172">
        <v>0.8144014300000001</v>
      </c>
      <c r="AK42" s="172">
        <v>0.7544272900000001</v>
      </c>
      <c r="AL42" s="113">
        <v>0.7274333199999999</v>
      </c>
      <c r="AM42" s="172">
        <v>0.67911253</v>
      </c>
      <c r="AN42" s="172">
        <v>0.66894193</v>
      </c>
      <c r="AO42" s="172">
        <v>0.6329033000000001</v>
      </c>
      <c r="AP42" s="172">
        <v>0.65840367</v>
      </c>
      <c r="AQ42" s="172">
        <v>0.6574251999999999</v>
      </c>
      <c r="AR42" s="129">
        <v>0.6516294300000001</v>
      </c>
      <c r="AS42" s="129">
        <v>0.65476352</v>
      </c>
      <c r="AT42" s="129">
        <v>0.6727717900000001</v>
      </c>
      <c r="AU42" s="129">
        <v>0.6660209100000001</v>
      </c>
      <c r="AV42" s="129">
        <v>0.6621866700000001</v>
      </c>
      <c r="AW42" s="129">
        <v>0.63429777</v>
      </c>
      <c r="AX42" s="432">
        <v>0.6446759200000001</v>
      </c>
      <c r="AY42" s="440">
        <v>0.65403002</v>
      </c>
      <c r="AZ42" s="129">
        <v>0.6688545600000001</v>
      </c>
      <c r="BA42" s="432">
        <v>0.6755405400000001</v>
      </c>
    </row>
    <row r="43" spans="2:53" s="133" customFormat="1" ht="14.25">
      <c r="B43" s="117" t="s">
        <v>55</v>
      </c>
      <c r="C43" s="204">
        <v>0</v>
      </c>
      <c r="D43" s="204">
        <v>0</v>
      </c>
      <c r="E43" s="204">
        <v>0</v>
      </c>
      <c r="F43" s="203">
        <v>0</v>
      </c>
      <c r="G43" s="181">
        <v>0</v>
      </c>
      <c r="H43" s="204">
        <v>0</v>
      </c>
      <c r="I43" s="204">
        <v>0</v>
      </c>
      <c r="J43" s="466">
        <v>0</v>
      </c>
      <c r="K43" s="204">
        <v>0</v>
      </c>
      <c r="L43" s="204">
        <v>0</v>
      </c>
      <c r="M43" s="204">
        <v>0</v>
      </c>
      <c r="N43" s="203">
        <v>0</v>
      </c>
      <c r="O43" s="181">
        <v>0</v>
      </c>
      <c r="P43" s="204">
        <v>0</v>
      </c>
      <c r="Q43" s="204">
        <v>0</v>
      </c>
      <c r="R43" s="466">
        <v>0</v>
      </c>
      <c r="S43" s="156">
        <v>0.22153698</v>
      </c>
      <c r="T43" s="156">
        <v>0.20049835</v>
      </c>
      <c r="U43" s="156">
        <v>0.22368512</v>
      </c>
      <c r="V43" s="172">
        <v>0.21760146</v>
      </c>
      <c r="W43" s="419">
        <v>0.23217928</v>
      </c>
      <c r="X43" s="156">
        <v>0.23780379999999998</v>
      </c>
      <c r="Y43" s="156">
        <v>0.21956922</v>
      </c>
      <c r="Z43" s="216">
        <v>0.048311150000000004</v>
      </c>
      <c r="AA43" s="134">
        <v>0.18458515</v>
      </c>
      <c r="AB43" s="134">
        <v>0.18095294</v>
      </c>
      <c r="AC43" s="210">
        <v>0.57757483</v>
      </c>
      <c r="AD43" s="172">
        <v>0.60007327</v>
      </c>
      <c r="AE43" s="200">
        <v>0.5780587399999999</v>
      </c>
      <c r="AF43" s="172">
        <v>0.5903735400000001</v>
      </c>
      <c r="AG43" s="172">
        <v>0.60334921</v>
      </c>
      <c r="AH43" s="216">
        <v>0.61835838</v>
      </c>
      <c r="AI43" s="436">
        <v>0.61768145</v>
      </c>
      <c r="AJ43" s="172">
        <v>0.61835838</v>
      </c>
      <c r="AK43" s="172">
        <v>0.57282124</v>
      </c>
      <c r="AL43" s="113">
        <v>0.55232526</v>
      </c>
      <c r="AM43" s="172">
        <v>0.5156362800000001</v>
      </c>
      <c r="AN43" s="172">
        <v>0.5079139500000001</v>
      </c>
      <c r="AO43" s="172">
        <v>0.48055054999999997</v>
      </c>
      <c r="AP43" s="172">
        <v>0.49991247</v>
      </c>
      <c r="AQ43" s="172">
        <v>0.49916953000000003</v>
      </c>
      <c r="AR43" s="129">
        <v>0.49476892</v>
      </c>
      <c r="AS43" s="129">
        <v>0.49714857</v>
      </c>
      <c r="AT43" s="129">
        <v>0.51082188</v>
      </c>
      <c r="AU43" s="129">
        <v>0.50569608</v>
      </c>
      <c r="AV43" s="129">
        <v>0.50278482</v>
      </c>
      <c r="AW43" s="129">
        <v>0.48160934000000005</v>
      </c>
      <c r="AX43" s="432">
        <v>0.48948926</v>
      </c>
      <c r="AY43" s="440">
        <v>0.49659164</v>
      </c>
      <c r="AZ43" s="129">
        <v>0.50784761</v>
      </c>
      <c r="BA43" s="432">
        <v>0.51292414</v>
      </c>
    </row>
    <row r="44" spans="2:53" s="133" customFormat="1" ht="14.25">
      <c r="B44" s="117" t="s">
        <v>56</v>
      </c>
      <c r="C44" s="204">
        <v>0</v>
      </c>
      <c r="D44" s="204">
        <v>0</v>
      </c>
      <c r="E44" s="204">
        <v>0</v>
      </c>
      <c r="F44" s="203">
        <v>0</v>
      </c>
      <c r="G44" s="181">
        <v>0</v>
      </c>
      <c r="H44" s="204">
        <v>0</v>
      </c>
      <c r="I44" s="204">
        <v>0</v>
      </c>
      <c r="J44" s="466">
        <v>0</v>
      </c>
      <c r="K44" s="204">
        <v>0</v>
      </c>
      <c r="L44" s="204">
        <v>0</v>
      </c>
      <c r="M44" s="204">
        <v>0</v>
      </c>
      <c r="N44" s="203">
        <v>0</v>
      </c>
      <c r="O44" s="181">
        <v>0</v>
      </c>
      <c r="P44" s="204">
        <v>0</v>
      </c>
      <c r="Q44" s="204">
        <v>0</v>
      </c>
      <c r="R44" s="466">
        <v>0</v>
      </c>
      <c r="S44" s="156">
        <v>0.51624547</v>
      </c>
      <c r="T44" s="156">
        <v>0.46721935</v>
      </c>
      <c r="U44" s="156">
        <v>0.52125126</v>
      </c>
      <c r="V44" s="172">
        <v>0.50707457</v>
      </c>
      <c r="W44" s="419">
        <v>0.54104512</v>
      </c>
      <c r="X44" s="156">
        <v>0.55415187</v>
      </c>
      <c r="Y44" s="156">
        <v>0.51166002</v>
      </c>
      <c r="Z44" s="216">
        <v>0.0014527000000000001</v>
      </c>
      <c r="AA44" s="134">
        <v>0.46574209000000005</v>
      </c>
      <c r="AB44" s="134">
        <v>0.45657734</v>
      </c>
      <c r="AC44" s="210">
        <v>0.45999955</v>
      </c>
      <c r="AD44" s="172">
        <v>0.47791805</v>
      </c>
      <c r="AE44" s="200">
        <v>0.46038495</v>
      </c>
      <c r="AF44" s="172">
        <v>0.47019286</v>
      </c>
      <c r="AG44" s="172">
        <v>0.48052711</v>
      </c>
      <c r="AH44" s="216">
        <v>0.4924809</v>
      </c>
      <c r="AI44" s="436">
        <v>0.49194178000000005</v>
      </c>
      <c r="AJ44" s="172">
        <v>0.4924809</v>
      </c>
      <c r="AK44" s="172">
        <v>0.45621363</v>
      </c>
      <c r="AL44" s="113">
        <v>0.43988996999999996</v>
      </c>
      <c r="AM44" s="172">
        <v>0.41066965</v>
      </c>
      <c r="AN44" s="172">
        <v>0.40451934</v>
      </c>
      <c r="AO44" s="172">
        <v>0.38272623</v>
      </c>
      <c r="AP44" s="172">
        <v>0.39814669</v>
      </c>
      <c r="AQ44" s="172">
        <v>0.39755499</v>
      </c>
      <c r="AR44" s="129">
        <v>0.39405021</v>
      </c>
      <c r="AS44" s="129">
        <v>0.39594544</v>
      </c>
      <c r="AT44" s="129">
        <v>0.40683531</v>
      </c>
      <c r="AU44" s="129">
        <v>0.40275296000000005</v>
      </c>
      <c r="AV44" s="129">
        <v>0.40043433</v>
      </c>
      <c r="AW44" s="129">
        <v>0.38356949</v>
      </c>
      <c r="AX44" s="432">
        <v>0.38984531</v>
      </c>
      <c r="AY44" s="440">
        <v>0.39550188000000003</v>
      </c>
      <c r="AZ44" s="129">
        <v>0.4044665</v>
      </c>
      <c r="BA44" s="432">
        <v>0.40850962</v>
      </c>
    </row>
    <row r="45" spans="2:53" s="133" customFormat="1" ht="14.25">
      <c r="B45" s="117" t="s">
        <v>57</v>
      </c>
      <c r="C45" s="204">
        <v>0</v>
      </c>
      <c r="D45" s="204">
        <v>0</v>
      </c>
      <c r="E45" s="204">
        <v>0</v>
      </c>
      <c r="F45" s="203">
        <v>0</v>
      </c>
      <c r="G45" s="181">
        <v>0</v>
      </c>
      <c r="H45" s="204">
        <v>0</v>
      </c>
      <c r="I45" s="204">
        <v>0</v>
      </c>
      <c r="J45" s="466">
        <v>0</v>
      </c>
      <c r="K45" s="204">
        <v>0</v>
      </c>
      <c r="L45" s="204">
        <v>0</v>
      </c>
      <c r="M45" s="204">
        <v>0</v>
      </c>
      <c r="N45" s="203">
        <v>0</v>
      </c>
      <c r="O45" s="181">
        <v>0</v>
      </c>
      <c r="P45" s="204">
        <v>0</v>
      </c>
      <c r="Q45" s="204">
        <v>0</v>
      </c>
      <c r="R45" s="466">
        <v>0</v>
      </c>
      <c r="S45" s="156">
        <v>0.51018489</v>
      </c>
      <c r="T45" s="156">
        <v>0.46173431</v>
      </c>
      <c r="U45" s="156">
        <v>0.5151319</v>
      </c>
      <c r="V45" s="172">
        <v>0.50112165</v>
      </c>
      <c r="W45" s="419">
        <v>0.53469341</v>
      </c>
      <c r="X45" s="156">
        <v>0.54764628</v>
      </c>
      <c r="Y45" s="156">
        <v>0.50565327</v>
      </c>
      <c r="Z45" s="216">
        <v>0.02648172</v>
      </c>
      <c r="AA45" s="134">
        <v>0.08881505</v>
      </c>
      <c r="AB45" s="134">
        <v>0.08706736999999999</v>
      </c>
      <c r="AC45" s="210">
        <v>0.08771997</v>
      </c>
      <c r="AD45" s="113">
        <v>0.15958070000000002</v>
      </c>
      <c r="AE45" s="200">
        <v>0.15372626</v>
      </c>
      <c r="AF45" s="172">
        <v>0.1570012</v>
      </c>
      <c r="AG45" s="172">
        <v>0.16045189</v>
      </c>
      <c r="AH45" s="216">
        <v>0.24907854999999998</v>
      </c>
      <c r="AI45" s="436">
        <v>0.24880588</v>
      </c>
      <c r="AJ45" s="172">
        <v>0.24907854999999998</v>
      </c>
      <c r="AK45" s="172">
        <v>0.23073591000000002</v>
      </c>
      <c r="AL45" s="113">
        <v>0.22248001</v>
      </c>
      <c r="AM45" s="172">
        <v>0.20770146</v>
      </c>
      <c r="AN45" s="172">
        <v>0.20459085999999999</v>
      </c>
      <c r="AO45" s="172">
        <v>0.19356871</v>
      </c>
      <c r="AP45" s="172">
        <v>0.20136781</v>
      </c>
      <c r="AQ45" s="172">
        <v>0.20106854999999998</v>
      </c>
      <c r="AR45" s="129">
        <v>0.19929596</v>
      </c>
      <c r="AS45" s="129">
        <v>0.2002545</v>
      </c>
      <c r="AT45" s="129">
        <v>0.20576219</v>
      </c>
      <c r="AU45" s="129">
        <v>0.20369748999999998</v>
      </c>
      <c r="AV45" s="129">
        <v>0.20252481</v>
      </c>
      <c r="AW45" s="129">
        <v>0.1939952</v>
      </c>
      <c r="AX45" s="432">
        <v>0.19716928</v>
      </c>
      <c r="AY45" s="440">
        <v>0.20003016</v>
      </c>
      <c r="AZ45" s="129">
        <v>0.20456414</v>
      </c>
      <c r="BA45" s="432">
        <v>0.20660899</v>
      </c>
    </row>
    <row r="46" spans="2:53" s="133" customFormat="1" ht="14.25">
      <c r="B46" s="117" t="s">
        <v>58</v>
      </c>
      <c r="C46" s="204">
        <v>0</v>
      </c>
      <c r="D46" s="204">
        <v>0</v>
      </c>
      <c r="E46" s="204">
        <v>0</v>
      </c>
      <c r="F46" s="203">
        <v>0</v>
      </c>
      <c r="G46" s="181">
        <v>0</v>
      </c>
      <c r="H46" s="204">
        <v>0</v>
      </c>
      <c r="I46" s="204">
        <v>0</v>
      </c>
      <c r="J46" s="466">
        <v>0</v>
      </c>
      <c r="K46" s="204">
        <v>0</v>
      </c>
      <c r="L46" s="204">
        <v>0</v>
      </c>
      <c r="M46" s="204">
        <v>0</v>
      </c>
      <c r="N46" s="203">
        <v>0</v>
      </c>
      <c r="O46" s="181">
        <v>0</v>
      </c>
      <c r="P46" s="204">
        <v>0</v>
      </c>
      <c r="Q46" s="204">
        <v>0</v>
      </c>
      <c r="R46" s="466">
        <v>0</v>
      </c>
      <c r="S46" s="204">
        <v>0</v>
      </c>
      <c r="T46" s="204">
        <v>0</v>
      </c>
      <c r="U46" s="204">
        <v>0</v>
      </c>
      <c r="V46" s="203">
        <v>0</v>
      </c>
      <c r="W46" s="428">
        <v>0</v>
      </c>
      <c r="X46" s="204">
        <v>0</v>
      </c>
      <c r="Y46" s="204">
        <v>0</v>
      </c>
      <c r="Z46" s="217">
        <v>0</v>
      </c>
      <c r="AA46" s="134">
        <v>0.034917199999999995</v>
      </c>
      <c r="AB46" s="134">
        <v>0.03423011</v>
      </c>
      <c r="AC46" s="210">
        <v>0.03448667</v>
      </c>
      <c r="AD46" s="113">
        <v>0.10427378999999999</v>
      </c>
      <c r="AE46" s="200">
        <v>0.10044836</v>
      </c>
      <c r="AF46" s="172">
        <v>0.10258828</v>
      </c>
      <c r="AG46" s="172">
        <v>0.10484304</v>
      </c>
      <c r="AH46" s="216">
        <v>0.10745116</v>
      </c>
      <c r="AI46" s="436">
        <v>0.10733353</v>
      </c>
      <c r="AJ46" s="172">
        <v>0.10745116</v>
      </c>
      <c r="AK46" s="172">
        <v>0.09953825</v>
      </c>
      <c r="AL46" s="113">
        <v>0.09597669</v>
      </c>
      <c r="AM46" s="172">
        <v>0.08960131</v>
      </c>
      <c r="AN46" s="172">
        <v>0.08825941000000001</v>
      </c>
      <c r="AO46" s="172">
        <v>0.08350450999999999</v>
      </c>
      <c r="AP46" s="172">
        <v>0.086869</v>
      </c>
      <c r="AQ46" s="172">
        <v>0.0867399</v>
      </c>
      <c r="AR46" s="129">
        <v>0.08597522</v>
      </c>
      <c r="AS46" s="129">
        <v>0.08638873</v>
      </c>
      <c r="AT46" s="129">
        <v>0.08876472</v>
      </c>
      <c r="AU46" s="129">
        <v>0.08787400999999999</v>
      </c>
      <c r="AV46" s="129">
        <v>0.08736813</v>
      </c>
      <c r="AW46" s="129">
        <v>0.0836885</v>
      </c>
      <c r="AX46" s="432">
        <v>0.08505778</v>
      </c>
      <c r="AY46" s="440">
        <v>0.08629194999999999</v>
      </c>
      <c r="AZ46" s="129">
        <v>0.08824788</v>
      </c>
      <c r="BA46" s="432">
        <v>0.08913002</v>
      </c>
    </row>
    <row r="47" spans="2:53" s="133" customFormat="1" ht="14.25">
      <c r="B47" s="117" t="s">
        <v>59</v>
      </c>
      <c r="C47" s="204">
        <v>0</v>
      </c>
      <c r="D47" s="204">
        <v>0</v>
      </c>
      <c r="E47" s="204">
        <v>0</v>
      </c>
      <c r="F47" s="203">
        <v>0</v>
      </c>
      <c r="G47" s="181">
        <v>0</v>
      </c>
      <c r="H47" s="204">
        <v>0</v>
      </c>
      <c r="I47" s="204">
        <v>0</v>
      </c>
      <c r="J47" s="466">
        <v>0</v>
      </c>
      <c r="K47" s="204">
        <v>0</v>
      </c>
      <c r="L47" s="204">
        <v>0</v>
      </c>
      <c r="M47" s="204">
        <v>0</v>
      </c>
      <c r="N47" s="203">
        <v>0</v>
      </c>
      <c r="O47" s="181">
        <v>0</v>
      </c>
      <c r="P47" s="204">
        <v>0</v>
      </c>
      <c r="Q47" s="204">
        <v>0</v>
      </c>
      <c r="R47" s="466">
        <v>0</v>
      </c>
      <c r="S47" s="156">
        <v>0.02291972</v>
      </c>
      <c r="T47" s="156">
        <v>0.02074311</v>
      </c>
      <c r="U47" s="156">
        <v>0.02314196</v>
      </c>
      <c r="V47" s="172">
        <v>0.02251256</v>
      </c>
      <c r="W47" s="419">
        <v>0.024020740000000002</v>
      </c>
      <c r="X47" s="156">
        <v>0.02460264</v>
      </c>
      <c r="Y47" s="156">
        <v>0.02271614</v>
      </c>
      <c r="Z47" s="216">
        <v>0.00153482</v>
      </c>
      <c r="AA47" s="134">
        <v>0.02548073</v>
      </c>
      <c r="AB47" s="134">
        <v>0.02497933</v>
      </c>
      <c r="AC47" s="210">
        <v>0.02516656</v>
      </c>
      <c r="AD47" s="113">
        <v>0.09459063000000001</v>
      </c>
      <c r="AE47" s="200">
        <v>0.09112044</v>
      </c>
      <c r="AF47" s="172">
        <v>0.09306164</v>
      </c>
      <c r="AG47" s="172">
        <v>0.09510702</v>
      </c>
      <c r="AH47" s="216">
        <v>0.09747294000000001</v>
      </c>
      <c r="AI47" s="436">
        <v>0.09736624</v>
      </c>
      <c r="AJ47" s="172">
        <v>0.09747294000000001</v>
      </c>
      <c r="AK47" s="172">
        <v>0.09029484</v>
      </c>
      <c r="AL47" s="113">
        <v>0.08706402</v>
      </c>
      <c r="AM47" s="172">
        <v>0.08128067</v>
      </c>
      <c r="AN47" s="172">
        <v>0.08006339</v>
      </c>
      <c r="AO47" s="172">
        <v>0.07575005</v>
      </c>
      <c r="AP47" s="172">
        <v>0.0788021</v>
      </c>
      <c r="AQ47" s="172">
        <v>0.07868499000000001</v>
      </c>
      <c r="AR47" s="129">
        <v>0.07799131</v>
      </c>
      <c r="AS47" s="129">
        <v>0.07836641999999999</v>
      </c>
      <c r="AT47" s="129">
        <v>0.08052177</v>
      </c>
      <c r="AU47" s="129">
        <v>0.07971378</v>
      </c>
      <c r="AV47" s="129">
        <v>0.07925486999999999</v>
      </c>
      <c r="AW47" s="129">
        <v>0.07591695</v>
      </c>
      <c r="AX47" s="432">
        <v>0.07715907000000001</v>
      </c>
      <c r="AY47" s="440">
        <v>0.07827863</v>
      </c>
      <c r="AZ47" s="129">
        <v>0.08005293</v>
      </c>
      <c r="BA47" s="432">
        <v>0.08085315</v>
      </c>
    </row>
    <row r="48" spans="2:53" s="133" customFormat="1" ht="14.25">
      <c r="B48" s="117" t="s">
        <v>60</v>
      </c>
      <c r="C48" s="204">
        <v>0</v>
      </c>
      <c r="D48" s="204">
        <v>0</v>
      </c>
      <c r="E48" s="204">
        <v>0</v>
      </c>
      <c r="F48" s="203">
        <v>0</v>
      </c>
      <c r="G48" s="181">
        <v>0</v>
      </c>
      <c r="H48" s="204">
        <v>0</v>
      </c>
      <c r="I48" s="204">
        <v>0</v>
      </c>
      <c r="J48" s="466">
        <v>0</v>
      </c>
      <c r="K48" s="204">
        <v>0</v>
      </c>
      <c r="L48" s="204">
        <v>0</v>
      </c>
      <c r="M48" s="204">
        <v>0</v>
      </c>
      <c r="N48" s="203">
        <v>0</v>
      </c>
      <c r="O48" s="181">
        <v>0</v>
      </c>
      <c r="P48" s="204">
        <v>0</v>
      </c>
      <c r="Q48" s="204">
        <v>0</v>
      </c>
      <c r="R48" s="466">
        <v>0</v>
      </c>
      <c r="S48" s="156">
        <v>0.05950209</v>
      </c>
      <c r="T48" s="156">
        <v>0.05385138</v>
      </c>
      <c r="U48" s="156">
        <v>0.06007906</v>
      </c>
      <c r="V48" s="172">
        <v>0.05844506</v>
      </c>
      <c r="W48" s="419">
        <v>0.06236048</v>
      </c>
      <c r="X48" s="156">
        <v>0.06387116000000001</v>
      </c>
      <c r="Y48" s="156">
        <v>0.058973580000000005</v>
      </c>
      <c r="Z48" s="216">
        <v>0.02545536</v>
      </c>
      <c r="AA48" s="134">
        <v>0.03370484</v>
      </c>
      <c r="AB48" s="134">
        <v>0.03304161</v>
      </c>
      <c r="AC48" s="210">
        <v>0.033289269999999996</v>
      </c>
      <c r="AD48" s="113">
        <v>0.03458599</v>
      </c>
      <c r="AE48" s="200">
        <v>0.03331716</v>
      </c>
      <c r="AF48" s="172">
        <v>0.034026940000000006</v>
      </c>
      <c r="AG48" s="172">
        <v>0.034774809999999996</v>
      </c>
      <c r="AH48" s="216">
        <v>0.03563988</v>
      </c>
      <c r="AI48" s="436">
        <v>0.03560086</v>
      </c>
      <c r="AJ48" s="172">
        <v>0.03563988</v>
      </c>
      <c r="AK48" s="172">
        <v>0.03301529</v>
      </c>
      <c r="AL48" s="113">
        <v>0.03183398</v>
      </c>
      <c r="AM48" s="172">
        <v>0.02971936</v>
      </c>
      <c r="AN48" s="172">
        <v>0.02927427</v>
      </c>
      <c r="AO48" s="172">
        <v>0.02769715</v>
      </c>
      <c r="AP48" s="172">
        <v>0.028813099999999998</v>
      </c>
      <c r="AQ48" s="172">
        <v>0.02877028</v>
      </c>
      <c r="AR48" s="129">
        <v>0.02851664</v>
      </c>
      <c r="AS48" s="129">
        <v>0.0286538</v>
      </c>
      <c r="AT48" s="129">
        <v>0.02944188</v>
      </c>
      <c r="AU48" s="129">
        <v>0.02914644</v>
      </c>
      <c r="AV48" s="129">
        <v>0.02897865</v>
      </c>
      <c r="AW48" s="129">
        <v>0.02775817</v>
      </c>
      <c r="AX48" s="432">
        <v>0.02821234</v>
      </c>
      <c r="AY48" s="440">
        <v>0.0286217</v>
      </c>
      <c r="AZ48" s="129">
        <v>0.02927045</v>
      </c>
      <c r="BA48" s="432">
        <v>0.029563040000000002</v>
      </c>
    </row>
    <row r="49" spans="2:53" s="133" customFormat="1" ht="14.25">
      <c r="B49" s="117" t="s">
        <v>126</v>
      </c>
      <c r="C49" s="204"/>
      <c r="D49" s="204"/>
      <c r="E49" s="204"/>
      <c r="F49" s="203"/>
      <c r="G49" s="181"/>
      <c r="H49" s="204"/>
      <c r="I49" s="204"/>
      <c r="J49" s="466"/>
      <c r="K49" s="204"/>
      <c r="L49" s="204"/>
      <c r="M49" s="204"/>
      <c r="N49" s="203"/>
      <c r="O49" s="181"/>
      <c r="P49" s="204"/>
      <c r="Q49" s="204"/>
      <c r="R49" s="466"/>
      <c r="S49" s="156"/>
      <c r="T49" s="156"/>
      <c r="U49" s="156"/>
      <c r="V49" s="172"/>
      <c r="W49" s="419"/>
      <c r="X49" s="156"/>
      <c r="Y49" s="156"/>
      <c r="Z49" s="216"/>
      <c r="AA49" s="204">
        <v>0</v>
      </c>
      <c r="AB49" s="204">
        <v>0</v>
      </c>
      <c r="AC49" s="204">
        <v>0</v>
      </c>
      <c r="AD49" s="201">
        <v>0</v>
      </c>
      <c r="AE49" s="181">
        <v>0</v>
      </c>
      <c r="AF49" s="203">
        <v>0</v>
      </c>
      <c r="AG49" s="203">
        <v>0</v>
      </c>
      <c r="AH49" s="217">
        <v>0</v>
      </c>
      <c r="AI49" s="202">
        <v>0</v>
      </c>
      <c r="AJ49" s="203">
        <v>0</v>
      </c>
      <c r="AK49" s="203">
        <v>0</v>
      </c>
      <c r="AL49" s="196">
        <v>0</v>
      </c>
      <c r="AM49" s="172"/>
      <c r="AN49" s="172"/>
      <c r="AO49" s="203">
        <v>0</v>
      </c>
      <c r="AP49" s="203">
        <v>0</v>
      </c>
      <c r="AQ49" s="203">
        <v>0</v>
      </c>
      <c r="AR49" s="203">
        <v>0</v>
      </c>
      <c r="AS49" s="129">
        <v>0.24908370999999999</v>
      </c>
      <c r="AT49" s="129">
        <v>0.25471808</v>
      </c>
      <c r="AU49" s="129">
        <v>0.54149169</v>
      </c>
      <c r="AV49" s="129">
        <v>0.54991094</v>
      </c>
      <c r="AW49" s="129">
        <v>0.53541388</v>
      </c>
      <c r="AX49" s="432">
        <v>0.51134712</v>
      </c>
      <c r="AY49" s="440">
        <v>0.5387170400000001</v>
      </c>
      <c r="AZ49" s="129">
        <v>0.56550778</v>
      </c>
      <c r="BA49" s="432">
        <v>0.58059387</v>
      </c>
    </row>
    <row r="50" spans="2:53" s="133" customFormat="1" ht="14.25">
      <c r="B50" s="117" t="s">
        <v>97</v>
      </c>
      <c r="C50" s="156">
        <v>74.481748</v>
      </c>
      <c r="D50" s="156">
        <v>72.2331139</v>
      </c>
      <c r="E50" s="156">
        <v>70.17474295</v>
      </c>
      <c r="F50" s="172">
        <v>65.13769938</v>
      </c>
      <c r="G50" s="419">
        <v>65.780939</v>
      </c>
      <c r="H50" s="156">
        <v>58.733584</v>
      </c>
      <c r="I50" s="156">
        <v>62.7697096</v>
      </c>
      <c r="J50" s="216">
        <v>60.2069301</v>
      </c>
      <c r="K50" s="156">
        <v>67.33987965</v>
      </c>
      <c r="L50" s="156">
        <v>58.3901873</v>
      </c>
      <c r="M50" s="156">
        <v>58.3033894</v>
      </c>
      <c r="N50" s="172">
        <v>62.52060818</v>
      </c>
      <c r="O50" s="419">
        <v>57.42848338</v>
      </c>
      <c r="P50" s="156">
        <v>54.2637495</v>
      </c>
      <c r="Q50" s="156">
        <v>57.5599765</v>
      </c>
      <c r="R50" s="216">
        <v>50.36225458</v>
      </c>
      <c r="S50" s="156">
        <v>49.7531275</v>
      </c>
      <c r="T50" s="156">
        <v>46.7459265</v>
      </c>
      <c r="U50" s="156">
        <v>49.5234033</v>
      </c>
      <c r="V50" s="172">
        <v>44.38499768</v>
      </c>
      <c r="W50" s="419">
        <v>43.46641303</v>
      </c>
      <c r="X50" s="204">
        <v>0</v>
      </c>
      <c r="Y50" s="204">
        <v>0</v>
      </c>
      <c r="Z50" s="466">
        <v>0</v>
      </c>
      <c r="AA50" s="204">
        <v>0</v>
      </c>
      <c r="AB50" s="204">
        <v>0</v>
      </c>
      <c r="AC50" s="204">
        <v>0</v>
      </c>
      <c r="AD50" s="201">
        <v>0</v>
      </c>
      <c r="AE50" s="181">
        <v>0</v>
      </c>
      <c r="AF50" s="203">
        <v>0</v>
      </c>
      <c r="AG50" s="203">
        <v>0</v>
      </c>
      <c r="AH50" s="217">
        <v>0</v>
      </c>
      <c r="AI50" s="202">
        <v>0</v>
      </c>
      <c r="AJ50" s="203">
        <v>0</v>
      </c>
      <c r="AK50" s="203">
        <v>0</v>
      </c>
      <c r="AL50" s="196">
        <v>0</v>
      </c>
      <c r="AM50" s="203">
        <v>0</v>
      </c>
      <c r="AN50" s="203">
        <v>0</v>
      </c>
      <c r="AO50" s="203">
        <v>0</v>
      </c>
      <c r="AP50" s="203">
        <v>0</v>
      </c>
      <c r="AQ50" s="203">
        <v>0</v>
      </c>
      <c r="AR50" s="203">
        <v>0</v>
      </c>
      <c r="AS50" s="203">
        <v>0</v>
      </c>
      <c r="AT50" s="203">
        <v>0</v>
      </c>
      <c r="AU50" s="203">
        <v>0</v>
      </c>
      <c r="AV50" s="203">
        <v>0</v>
      </c>
      <c r="AW50" s="203">
        <v>0</v>
      </c>
      <c r="AX50" s="217">
        <v>0</v>
      </c>
      <c r="AY50" s="202">
        <v>0</v>
      </c>
      <c r="AZ50" s="203">
        <v>0</v>
      </c>
      <c r="BA50" s="217">
        <v>0</v>
      </c>
    </row>
    <row r="51" spans="2:53" s="133" customFormat="1" ht="14.25">
      <c r="B51" s="117" t="s">
        <v>98</v>
      </c>
      <c r="C51" s="395">
        <v>6.64225105</v>
      </c>
      <c r="D51" s="395">
        <v>7.05077548</v>
      </c>
      <c r="E51" s="395">
        <v>6.97441851</v>
      </c>
      <c r="F51" s="173">
        <v>7.27679721</v>
      </c>
      <c r="G51" s="418">
        <v>7.33239071</v>
      </c>
      <c r="H51" s="395">
        <v>7.22596804</v>
      </c>
      <c r="I51" s="395">
        <v>7.6281575</v>
      </c>
      <c r="J51" s="480">
        <v>7.68292306</v>
      </c>
      <c r="K51" s="204">
        <v>0</v>
      </c>
      <c r="L51" s="204">
        <v>0</v>
      </c>
      <c r="M51" s="204">
        <v>0</v>
      </c>
      <c r="N51" s="203">
        <v>0</v>
      </c>
      <c r="O51" s="181">
        <v>0</v>
      </c>
      <c r="P51" s="204">
        <v>0</v>
      </c>
      <c r="Q51" s="204">
        <v>0</v>
      </c>
      <c r="R51" s="466">
        <v>0</v>
      </c>
      <c r="S51" s="204">
        <v>0</v>
      </c>
      <c r="T51" s="204">
        <v>0</v>
      </c>
      <c r="U51" s="204">
        <v>0</v>
      </c>
      <c r="V51" s="203">
        <v>0</v>
      </c>
      <c r="W51" s="181">
        <v>0</v>
      </c>
      <c r="X51" s="204">
        <v>0</v>
      </c>
      <c r="Y51" s="204">
        <v>0</v>
      </c>
      <c r="Z51" s="466">
        <v>0</v>
      </c>
      <c r="AA51" s="204">
        <v>0</v>
      </c>
      <c r="AB51" s="204">
        <v>0</v>
      </c>
      <c r="AC51" s="204">
        <v>0</v>
      </c>
      <c r="AD51" s="201">
        <v>0</v>
      </c>
      <c r="AE51" s="181">
        <v>0</v>
      </c>
      <c r="AF51" s="203">
        <v>0</v>
      </c>
      <c r="AG51" s="203">
        <v>0</v>
      </c>
      <c r="AH51" s="217">
        <v>0</v>
      </c>
      <c r="AI51" s="202">
        <v>0</v>
      </c>
      <c r="AJ51" s="203">
        <v>0</v>
      </c>
      <c r="AK51" s="203">
        <v>0</v>
      </c>
      <c r="AL51" s="196">
        <v>0</v>
      </c>
      <c r="AM51" s="203">
        <v>0</v>
      </c>
      <c r="AN51" s="203">
        <v>0</v>
      </c>
      <c r="AO51" s="203">
        <v>0</v>
      </c>
      <c r="AP51" s="203">
        <v>0</v>
      </c>
      <c r="AQ51" s="203">
        <v>0</v>
      </c>
      <c r="AR51" s="203">
        <v>0</v>
      </c>
      <c r="AS51" s="203">
        <v>0</v>
      </c>
      <c r="AT51" s="203">
        <v>0</v>
      </c>
      <c r="AU51" s="203">
        <v>0</v>
      </c>
      <c r="AV51" s="203">
        <v>0</v>
      </c>
      <c r="AW51" s="203">
        <v>0</v>
      </c>
      <c r="AX51" s="217">
        <v>0</v>
      </c>
      <c r="AY51" s="202">
        <v>0</v>
      </c>
      <c r="AZ51" s="203">
        <v>0</v>
      </c>
      <c r="BA51" s="217">
        <v>0</v>
      </c>
    </row>
    <row r="52" spans="2:53" s="133" customFormat="1" ht="14.25">
      <c r="B52" s="117" t="s">
        <v>100</v>
      </c>
      <c r="C52" s="204">
        <v>0</v>
      </c>
      <c r="D52" s="204">
        <v>0</v>
      </c>
      <c r="E52" s="204">
        <v>0</v>
      </c>
      <c r="F52" s="173">
        <v>1.04669061</v>
      </c>
      <c r="G52" s="181">
        <v>0</v>
      </c>
      <c r="H52" s="204">
        <v>0</v>
      </c>
      <c r="I52" s="204">
        <v>0</v>
      </c>
      <c r="J52" s="466">
        <v>0</v>
      </c>
      <c r="K52" s="204">
        <v>0</v>
      </c>
      <c r="L52" s="204">
        <v>0</v>
      </c>
      <c r="M52" s="204">
        <v>0</v>
      </c>
      <c r="N52" s="203">
        <v>0</v>
      </c>
      <c r="O52" s="181">
        <v>0</v>
      </c>
      <c r="P52" s="204">
        <v>0</v>
      </c>
      <c r="Q52" s="204">
        <v>0</v>
      </c>
      <c r="R52" s="466">
        <v>0</v>
      </c>
      <c r="S52" s="204">
        <v>0</v>
      </c>
      <c r="T52" s="204">
        <v>0</v>
      </c>
      <c r="U52" s="204">
        <v>0</v>
      </c>
      <c r="V52" s="203">
        <v>0</v>
      </c>
      <c r="W52" s="181">
        <v>0</v>
      </c>
      <c r="X52" s="204">
        <v>0</v>
      </c>
      <c r="Y52" s="204">
        <v>0</v>
      </c>
      <c r="Z52" s="466">
        <v>0</v>
      </c>
      <c r="AA52" s="204">
        <v>0</v>
      </c>
      <c r="AB52" s="204">
        <v>0</v>
      </c>
      <c r="AC52" s="204">
        <v>0</v>
      </c>
      <c r="AD52" s="201">
        <v>0</v>
      </c>
      <c r="AE52" s="181">
        <v>0</v>
      </c>
      <c r="AF52" s="203">
        <v>0</v>
      </c>
      <c r="AG52" s="203">
        <v>0</v>
      </c>
      <c r="AH52" s="217">
        <v>0</v>
      </c>
      <c r="AI52" s="202">
        <v>0</v>
      </c>
      <c r="AJ52" s="203">
        <v>0</v>
      </c>
      <c r="AK52" s="203">
        <v>0</v>
      </c>
      <c r="AL52" s="196">
        <v>0</v>
      </c>
      <c r="AM52" s="203">
        <v>0</v>
      </c>
      <c r="AN52" s="203">
        <v>0</v>
      </c>
      <c r="AO52" s="203">
        <v>0</v>
      </c>
      <c r="AP52" s="203">
        <v>0</v>
      </c>
      <c r="AQ52" s="203">
        <v>0</v>
      </c>
      <c r="AR52" s="203">
        <v>0</v>
      </c>
      <c r="AS52" s="203">
        <v>0</v>
      </c>
      <c r="AT52" s="203">
        <v>0</v>
      </c>
      <c r="AU52" s="203">
        <v>0</v>
      </c>
      <c r="AV52" s="203">
        <v>0</v>
      </c>
      <c r="AW52" s="203">
        <v>0</v>
      </c>
      <c r="AX52" s="217">
        <v>0</v>
      </c>
      <c r="AY52" s="202">
        <v>0</v>
      </c>
      <c r="AZ52" s="203">
        <v>0</v>
      </c>
      <c r="BA52" s="217">
        <v>0</v>
      </c>
    </row>
    <row r="53" spans="2:53" s="133" customFormat="1" ht="14.25">
      <c r="B53" s="117" t="s">
        <v>99</v>
      </c>
      <c r="C53" s="156">
        <v>0.96905245</v>
      </c>
      <c r="D53" s="156">
        <v>0.99024029</v>
      </c>
      <c r="E53" s="156">
        <v>0.90438623</v>
      </c>
      <c r="F53" s="172">
        <v>0.9092614</v>
      </c>
      <c r="G53" s="419">
        <v>0.83696667</v>
      </c>
      <c r="H53" s="156">
        <v>0.82958433</v>
      </c>
      <c r="I53" s="156">
        <v>0.77987259</v>
      </c>
      <c r="J53" s="216">
        <v>0.79074395</v>
      </c>
      <c r="K53" s="204">
        <v>0</v>
      </c>
      <c r="L53" s="204">
        <v>0</v>
      </c>
      <c r="M53" s="204">
        <v>0</v>
      </c>
      <c r="N53" s="203">
        <v>0</v>
      </c>
      <c r="O53" s="181">
        <v>0</v>
      </c>
      <c r="P53" s="204">
        <v>0</v>
      </c>
      <c r="Q53" s="204">
        <v>0</v>
      </c>
      <c r="R53" s="466">
        <v>0</v>
      </c>
      <c r="S53" s="204">
        <v>0</v>
      </c>
      <c r="T53" s="204">
        <v>0</v>
      </c>
      <c r="U53" s="204">
        <v>0</v>
      </c>
      <c r="V53" s="203">
        <v>0</v>
      </c>
      <c r="W53" s="181">
        <v>0</v>
      </c>
      <c r="X53" s="204">
        <v>0</v>
      </c>
      <c r="Y53" s="204">
        <v>0</v>
      </c>
      <c r="Z53" s="466">
        <v>0</v>
      </c>
      <c r="AA53" s="204">
        <v>0</v>
      </c>
      <c r="AB53" s="204">
        <v>0</v>
      </c>
      <c r="AC53" s="204">
        <v>0</v>
      </c>
      <c r="AD53" s="201">
        <v>0</v>
      </c>
      <c r="AE53" s="181">
        <v>0</v>
      </c>
      <c r="AF53" s="203">
        <v>0</v>
      </c>
      <c r="AG53" s="203">
        <v>0</v>
      </c>
      <c r="AH53" s="217">
        <v>0</v>
      </c>
      <c r="AI53" s="202">
        <v>0</v>
      </c>
      <c r="AJ53" s="203">
        <v>0</v>
      </c>
      <c r="AK53" s="203">
        <v>0</v>
      </c>
      <c r="AL53" s="196">
        <v>0</v>
      </c>
      <c r="AM53" s="203">
        <v>0</v>
      </c>
      <c r="AN53" s="203">
        <v>0</v>
      </c>
      <c r="AO53" s="203">
        <v>0</v>
      </c>
      <c r="AP53" s="203">
        <v>0</v>
      </c>
      <c r="AQ53" s="203">
        <v>0</v>
      </c>
      <c r="AR53" s="203">
        <v>0</v>
      </c>
      <c r="AS53" s="203">
        <v>0</v>
      </c>
      <c r="AT53" s="203">
        <v>0</v>
      </c>
      <c r="AU53" s="203">
        <v>0</v>
      </c>
      <c r="AV53" s="203">
        <v>0</v>
      </c>
      <c r="AW53" s="203">
        <v>0</v>
      </c>
      <c r="AX53" s="217">
        <v>0</v>
      </c>
      <c r="AY53" s="202">
        <v>0</v>
      </c>
      <c r="AZ53" s="203">
        <v>0</v>
      </c>
      <c r="BA53" s="217">
        <v>0</v>
      </c>
    </row>
    <row r="54" spans="2:53" s="133" customFormat="1" ht="14.25">
      <c r="B54" s="117" t="s">
        <v>81</v>
      </c>
      <c r="C54" s="156">
        <v>0.442</v>
      </c>
      <c r="D54" s="156">
        <v>0.442</v>
      </c>
      <c r="E54" s="156">
        <v>0.442</v>
      </c>
      <c r="F54" s="172">
        <v>0.69607784</v>
      </c>
      <c r="G54" s="419">
        <v>0.69607784</v>
      </c>
      <c r="H54" s="156">
        <v>0.69607784</v>
      </c>
      <c r="I54" s="156">
        <v>0.69607784</v>
      </c>
      <c r="J54" s="216">
        <v>0.69607784</v>
      </c>
      <c r="K54" s="156">
        <v>0.85668687</v>
      </c>
      <c r="L54" s="156">
        <v>0.85668687</v>
      </c>
      <c r="M54" s="156">
        <v>0.82991541</v>
      </c>
      <c r="N54" s="172">
        <v>0.82991541</v>
      </c>
      <c r="O54" s="419">
        <v>0.80314395</v>
      </c>
      <c r="P54" s="156">
        <v>0.80314395</v>
      </c>
      <c r="Q54" s="156">
        <v>0.77544933</v>
      </c>
      <c r="R54" s="480">
        <v>1.10996963</v>
      </c>
      <c r="S54" s="395">
        <v>1.14004321</v>
      </c>
      <c r="T54" s="395">
        <v>1.14004321</v>
      </c>
      <c r="U54" s="395">
        <v>1.19283</v>
      </c>
      <c r="V54" s="173">
        <v>1.79976546</v>
      </c>
      <c r="W54" s="418">
        <v>2.30988244</v>
      </c>
      <c r="X54" s="395">
        <v>2.74401288</v>
      </c>
      <c r="Y54" s="395">
        <v>2.97422462</v>
      </c>
      <c r="Z54" s="480">
        <v>3.0342246200000003</v>
      </c>
      <c r="AA54" s="140">
        <v>2.90779859</v>
      </c>
      <c r="AB54" s="140">
        <v>2.90779859</v>
      </c>
      <c r="AC54" s="135">
        <v>2.76554052</v>
      </c>
      <c r="AD54" s="201">
        <v>0</v>
      </c>
      <c r="AE54" s="181">
        <v>0</v>
      </c>
      <c r="AF54" s="203">
        <v>0</v>
      </c>
      <c r="AG54" s="203">
        <v>0</v>
      </c>
      <c r="AH54" s="217">
        <v>0</v>
      </c>
      <c r="AI54" s="202">
        <v>0</v>
      </c>
      <c r="AJ54" s="203">
        <v>0</v>
      </c>
      <c r="AK54" s="203">
        <v>0</v>
      </c>
      <c r="AL54" s="196">
        <v>0</v>
      </c>
      <c r="AM54" s="203">
        <v>0</v>
      </c>
      <c r="AN54" s="203">
        <v>0</v>
      </c>
      <c r="AO54" s="203">
        <v>0</v>
      </c>
      <c r="AP54" s="203">
        <v>0</v>
      </c>
      <c r="AQ54" s="203">
        <v>0</v>
      </c>
      <c r="AR54" s="203">
        <v>0</v>
      </c>
      <c r="AS54" s="129">
        <v>0.050397</v>
      </c>
      <c r="AT54" s="129">
        <v>0.050397</v>
      </c>
      <c r="AU54" s="129">
        <v>0.050397</v>
      </c>
      <c r="AV54" s="129">
        <v>0.050397</v>
      </c>
      <c r="AW54" s="129">
        <v>0.017497</v>
      </c>
      <c r="AX54" s="432">
        <v>1.013497</v>
      </c>
      <c r="AY54" s="440">
        <v>1.013497</v>
      </c>
      <c r="AZ54" s="129">
        <v>1.013497</v>
      </c>
      <c r="BA54" s="432">
        <v>2.644476</v>
      </c>
    </row>
    <row r="55" spans="2:53" ht="9.75" customHeight="1">
      <c r="B55" s="49"/>
      <c r="C55" s="393"/>
      <c r="D55" s="393"/>
      <c r="E55" s="393"/>
      <c r="F55" s="472"/>
      <c r="G55" s="416"/>
      <c r="H55" s="393"/>
      <c r="I55" s="393"/>
      <c r="J55" s="478"/>
      <c r="K55" s="393"/>
      <c r="L55" s="393"/>
      <c r="M55" s="393"/>
      <c r="N55" s="472"/>
      <c r="O55" s="416"/>
      <c r="P55" s="393"/>
      <c r="Q55" s="393"/>
      <c r="R55" s="478"/>
      <c r="S55" s="393"/>
      <c r="T55" s="393"/>
      <c r="U55" s="393"/>
      <c r="V55" s="472"/>
      <c r="W55" s="416"/>
      <c r="X55" s="393"/>
      <c r="Y55" s="393"/>
      <c r="Z55" s="478"/>
      <c r="AA55" s="139"/>
      <c r="AB55" s="139"/>
      <c r="AC55" s="82"/>
      <c r="AD55" s="110"/>
      <c r="AE55" s="248"/>
      <c r="AF55" s="191"/>
      <c r="AG55" s="191"/>
      <c r="AH55" s="218"/>
      <c r="AI55" s="437"/>
      <c r="AJ55" s="191"/>
      <c r="AK55" s="191"/>
      <c r="AL55" s="218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218"/>
      <c r="AY55" s="437"/>
      <c r="AZ55" s="191"/>
      <c r="BA55" s="218"/>
    </row>
    <row r="56" spans="2:53" s="29" customFormat="1" ht="15.75">
      <c r="B56" s="85" t="s">
        <v>103</v>
      </c>
      <c r="C56" s="390">
        <f aca="true" t="shared" si="11" ref="C56:AR56">+C57</f>
        <v>371.56976782000004</v>
      </c>
      <c r="D56" s="390">
        <f t="shared" si="11"/>
        <v>374.58217006</v>
      </c>
      <c r="E56" s="390">
        <f t="shared" si="11"/>
        <v>358.56391378999996</v>
      </c>
      <c r="F56" s="451">
        <f t="shared" si="11"/>
        <v>355.80445629999997</v>
      </c>
      <c r="G56" s="417">
        <f t="shared" si="11"/>
        <v>345.42443814</v>
      </c>
      <c r="H56" s="390">
        <f t="shared" si="11"/>
        <v>338.07568795</v>
      </c>
      <c r="I56" s="390">
        <f t="shared" si="11"/>
        <v>335.03056836</v>
      </c>
      <c r="J56" s="481">
        <f t="shared" si="11"/>
        <v>337.76436189</v>
      </c>
      <c r="K56" s="390">
        <f t="shared" si="11"/>
        <v>341.39592142</v>
      </c>
      <c r="L56" s="390">
        <f t="shared" si="11"/>
        <v>331.99670012</v>
      </c>
      <c r="M56" s="390">
        <f t="shared" si="11"/>
        <v>318.19764375</v>
      </c>
      <c r="N56" s="451">
        <f t="shared" si="11"/>
        <v>337.82585435000004</v>
      </c>
      <c r="O56" s="417">
        <f t="shared" si="11"/>
        <v>316.45890269</v>
      </c>
      <c r="P56" s="390">
        <f t="shared" si="11"/>
        <v>320.61877365</v>
      </c>
      <c r="Q56" s="390">
        <f t="shared" si="11"/>
        <v>315.86077799000003</v>
      </c>
      <c r="R56" s="481">
        <f t="shared" si="11"/>
        <v>310.03472114</v>
      </c>
      <c r="S56" s="390">
        <f t="shared" si="11"/>
        <v>294.36347284000004</v>
      </c>
      <c r="T56" s="390">
        <f t="shared" si="11"/>
        <v>298.39582337</v>
      </c>
      <c r="U56" s="390">
        <f t="shared" si="11"/>
        <v>293.3002229</v>
      </c>
      <c r="V56" s="451">
        <f t="shared" si="11"/>
        <v>294.41019719</v>
      </c>
      <c r="W56" s="417">
        <f t="shared" si="11"/>
        <v>278.221239</v>
      </c>
      <c r="X56" s="390">
        <f t="shared" si="11"/>
        <v>281.03307429</v>
      </c>
      <c r="Y56" s="390">
        <f t="shared" si="11"/>
        <v>270.56567187999997</v>
      </c>
      <c r="Z56" s="481">
        <f t="shared" si="11"/>
        <v>267.45787085999996</v>
      </c>
      <c r="AA56" s="99">
        <f t="shared" si="11"/>
        <v>245.873126</v>
      </c>
      <c r="AB56" s="99">
        <f t="shared" si="11"/>
        <v>249.61240377000001</v>
      </c>
      <c r="AC56" s="99">
        <f t="shared" si="11"/>
        <v>238.15472313</v>
      </c>
      <c r="AD56" s="105">
        <f t="shared" si="11"/>
        <v>228.93939381</v>
      </c>
      <c r="AE56" s="246">
        <f t="shared" si="11"/>
        <v>233.72768685000003</v>
      </c>
      <c r="AF56" s="121">
        <f t="shared" si="11"/>
        <v>227.95613308</v>
      </c>
      <c r="AG56" s="121">
        <f t="shared" si="11"/>
        <v>215.21834078999998</v>
      </c>
      <c r="AH56" s="214">
        <f t="shared" si="11"/>
        <v>206.09408189999996</v>
      </c>
      <c r="AI56" s="438">
        <f t="shared" si="11"/>
        <v>214.42295671000005</v>
      </c>
      <c r="AJ56" s="121">
        <f t="shared" si="11"/>
        <v>213.01537262</v>
      </c>
      <c r="AK56" s="121">
        <f t="shared" si="11"/>
        <v>192.28242195</v>
      </c>
      <c r="AL56" s="185">
        <f t="shared" si="11"/>
        <v>190.84246723</v>
      </c>
      <c r="AM56" s="121">
        <f t="shared" si="11"/>
        <v>52.81697956</v>
      </c>
      <c r="AN56" s="121">
        <f t="shared" si="11"/>
        <v>52.31811613</v>
      </c>
      <c r="AO56" s="121">
        <f t="shared" si="11"/>
        <v>52.29149012</v>
      </c>
      <c r="AP56" s="121">
        <f t="shared" si="11"/>
        <v>56.43874204</v>
      </c>
      <c r="AQ56" s="121">
        <f t="shared" si="11"/>
        <v>54.609320950000004</v>
      </c>
      <c r="AR56" s="121">
        <f t="shared" si="11"/>
        <v>55.79506393</v>
      </c>
      <c r="AS56" s="121">
        <f aca="true" t="shared" si="12" ref="AS56:AZ56">+AS57</f>
        <v>55.63742127999999</v>
      </c>
      <c r="AT56" s="121">
        <f t="shared" si="12"/>
        <v>56.50943059</v>
      </c>
      <c r="AU56" s="121">
        <f t="shared" si="12"/>
        <v>56.68066976</v>
      </c>
      <c r="AV56" s="121">
        <f t="shared" si="12"/>
        <v>57.29627126</v>
      </c>
      <c r="AW56" s="121">
        <f t="shared" si="12"/>
        <v>71.98604298000001</v>
      </c>
      <c r="AX56" s="214">
        <f t="shared" si="12"/>
        <v>83.68737871</v>
      </c>
      <c r="AY56" s="438">
        <f t="shared" si="12"/>
        <v>86.40912490000001</v>
      </c>
      <c r="AZ56" s="121">
        <f t="shared" si="12"/>
        <v>89.07327659</v>
      </c>
      <c r="BA56" s="214">
        <f>+BA57</f>
        <v>90.57348167999999</v>
      </c>
    </row>
    <row r="57" spans="2:53" ht="14.25">
      <c r="B57" s="73" t="s">
        <v>41</v>
      </c>
      <c r="C57" s="396">
        <v>371.56976782000004</v>
      </c>
      <c r="D57" s="396">
        <v>374.58217006</v>
      </c>
      <c r="E57" s="396">
        <v>358.56391378999996</v>
      </c>
      <c r="F57" s="473">
        <v>355.80445629999997</v>
      </c>
      <c r="G57" s="425">
        <v>345.42443814</v>
      </c>
      <c r="H57" s="396">
        <v>338.07568795</v>
      </c>
      <c r="I57" s="396">
        <v>335.03056836</v>
      </c>
      <c r="J57" s="482">
        <v>337.76436189</v>
      </c>
      <c r="K57" s="396">
        <v>341.39592142</v>
      </c>
      <c r="L57" s="396">
        <v>331.99670012</v>
      </c>
      <c r="M57" s="396">
        <v>318.19764375</v>
      </c>
      <c r="N57" s="473">
        <v>337.82585435000004</v>
      </c>
      <c r="O57" s="425">
        <v>316.45890269</v>
      </c>
      <c r="P57" s="396">
        <v>320.61877365</v>
      </c>
      <c r="Q57" s="396">
        <v>315.86077799000003</v>
      </c>
      <c r="R57" s="482">
        <v>310.03472114</v>
      </c>
      <c r="S57" s="396">
        <v>294.36347284000004</v>
      </c>
      <c r="T57" s="396">
        <v>298.39582337</v>
      </c>
      <c r="U57" s="396">
        <v>293.3002229</v>
      </c>
      <c r="V57" s="473">
        <v>294.41019719</v>
      </c>
      <c r="W57" s="425">
        <v>278.221239</v>
      </c>
      <c r="X57" s="396">
        <v>281.03307429</v>
      </c>
      <c r="Y57" s="396">
        <v>270.56567187999997</v>
      </c>
      <c r="Z57" s="482">
        <v>267.45787085999996</v>
      </c>
      <c r="AA57" s="141">
        <v>245.873126</v>
      </c>
      <c r="AB57" s="141">
        <v>249.61240377000001</v>
      </c>
      <c r="AC57" s="81">
        <v>238.15472313</v>
      </c>
      <c r="AD57" s="114">
        <v>228.93939381</v>
      </c>
      <c r="AE57" s="247">
        <v>233.72768685000003</v>
      </c>
      <c r="AF57" s="187">
        <v>227.95613308</v>
      </c>
      <c r="AG57" s="187">
        <v>215.21834078999998</v>
      </c>
      <c r="AH57" s="215">
        <v>206.09408189999996</v>
      </c>
      <c r="AI57" s="434">
        <v>214.42295671000005</v>
      </c>
      <c r="AJ57" s="187">
        <v>213.01537262</v>
      </c>
      <c r="AK57" s="187">
        <v>192.28242195</v>
      </c>
      <c r="AL57" s="215">
        <v>190.84246723</v>
      </c>
      <c r="AM57" s="187">
        <v>52.81697956</v>
      </c>
      <c r="AN57" s="187">
        <v>52.31811613</v>
      </c>
      <c r="AO57" s="187">
        <v>52.29149012</v>
      </c>
      <c r="AP57" s="187">
        <v>56.43874204</v>
      </c>
      <c r="AQ57" s="187">
        <v>54.609320950000004</v>
      </c>
      <c r="AR57" s="125">
        <v>55.79506393</v>
      </c>
      <c r="AS57" s="125">
        <v>55.63742127999999</v>
      </c>
      <c r="AT57" s="125">
        <v>56.50943059</v>
      </c>
      <c r="AU57" s="125">
        <v>56.68066976</v>
      </c>
      <c r="AV57" s="125">
        <v>57.29627126</v>
      </c>
      <c r="AW57" s="125">
        <v>71.98604298000001</v>
      </c>
      <c r="AX57" s="257">
        <v>83.68737871</v>
      </c>
      <c r="AY57" s="433">
        <v>86.40912490000001</v>
      </c>
      <c r="AZ57" s="125">
        <v>89.07327659</v>
      </c>
      <c r="BA57" s="257">
        <v>90.57348167999999</v>
      </c>
    </row>
    <row r="58" spans="2:53" ht="14.25">
      <c r="B58" s="68"/>
      <c r="C58" s="396"/>
      <c r="D58" s="396"/>
      <c r="E58" s="396"/>
      <c r="F58" s="473"/>
      <c r="G58" s="425"/>
      <c r="H58" s="396"/>
      <c r="I58" s="396"/>
      <c r="J58" s="482"/>
      <c r="K58" s="396"/>
      <c r="L58" s="396"/>
      <c r="M58" s="396"/>
      <c r="N58" s="473"/>
      <c r="O58" s="425"/>
      <c r="P58" s="396"/>
      <c r="Q58" s="396"/>
      <c r="R58" s="482"/>
      <c r="S58" s="396"/>
      <c r="T58" s="396"/>
      <c r="U58" s="396"/>
      <c r="V58" s="473"/>
      <c r="W58" s="425"/>
      <c r="X58" s="396"/>
      <c r="Y58" s="396"/>
      <c r="Z58" s="482"/>
      <c r="AA58" s="141"/>
      <c r="AB58" s="141"/>
      <c r="AC58" s="81"/>
      <c r="AD58" s="114"/>
      <c r="AE58" s="247"/>
      <c r="AF58" s="187"/>
      <c r="AG58" s="187"/>
      <c r="AH58" s="215"/>
      <c r="AI58" s="434"/>
      <c r="AJ58" s="187"/>
      <c r="AK58" s="187"/>
      <c r="AL58" s="215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215"/>
      <c r="AY58" s="434"/>
      <c r="AZ58" s="187"/>
      <c r="BA58" s="215"/>
    </row>
    <row r="59" spans="2:53" ht="16.5">
      <c r="B59" s="221" t="s">
        <v>90</v>
      </c>
      <c r="C59" s="463">
        <f>+C75+C61</f>
        <v>0</v>
      </c>
      <c r="D59" s="463">
        <f>+D75+D61</f>
        <v>0</v>
      </c>
      <c r="E59" s="463">
        <f>+E61+E75</f>
        <v>0</v>
      </c>
      <c r="F59" s="483">
        <f>+F75+F61</f>
        <v>0</v>
      </c>
      <c r="G59" s="463">
        <f>+G75+G61</f>
        <v>0</v>
      </c>
      <c r="H59" s="463">
        <f>+H75+H61</f>
        <v>0</v>
      </c>
      <c r="I59" s="463">
        <f>+I61+I75</f>
        <v>0</v>
      </c>
      <c r="J59" s="483">
        <f>+J75+J61</f>
        <v>0</v>
      </c>
      <c r="K59" s="463">
        <f>+K75+K61</f>
        <v>0</v>
      </c>
      <c r="L59" s="463">
        <f>+L75+L61</f>
        <v>0</v>
      </c>
      <c r="M59" s="463">
        <f>+M61+M75</f>
        <v>0</v>
      </c>
      <c r="N59" s="483">
        <f>+N75+N61</f>
        <v>0</v>
      </c>
      <c r="O59" s="463">
        <f>+O75+O61</f>
        <v>0</v>
      </c>
      <c r="P59" s="463">
        <f>+P75+P61</f>
        <v>0</v>
      </c>
      <c r="Q59" s="463">
        <f>+Q61+Q75</f>
        <v>0</v>
      </c>
      <c r="R59" s="483">
        <f>+R75+R61</f>
        <v>0</v>
      </c>
      <c r="S59" s="463">
        <f>+S75+S61</f>
        <v>0</v>
      </c>
      <c r="T59" s="463">
        <f>+T75+T61</f>
        <v>0</v>
      </c>
      <c r="U59" s="463">
        <f>+U61+U75</f>
        <v>0</v>
      </c>
      <c r="V59" s="483">
        <f>+V75+V61</f>
        <v>0</v>
      </c>
      <c r="W59" s="463">
        <f>+W75+W61</f>
        <v>0</v>
      </c>
      <c r="X59" s="463">
        <f>+X75+X61</f>
        <v>0</v>
      </c>
      <c r="Y59" s="463">
        <f>+Y61+Y75</f>
        <v>11.01586565</v>
      </c>
      <c r="Z59" s="483">
        <f>+Z75+Z61</f>
        <v>11.32628678</v>
      </c>
      <c r="AA59" s="94">
        <f>+AA75+AA61</f>
        <v>16.928630700000003</v>
      </c>
      <c r="AB59" s="94">
        <f>+AB75+AB61</f>
        <v>623.0355294200862</v>
      </c>
      <c r="AC59" s="94">
        <f>+AC61+AC75</f>
        <v>653.2946899162971</v>
      </c>
      <c r="AD59" s="115">
        <f aca="true" t="shared" si="13" ref="AD59:AW59">+AD75+AD61</f>
        <v>701.1076091354762</v>
      </c>
      <c r="AE59" s="430">
        <f t="shared" si="13"/>
        <v>679.8341157425249</v>
      </c>
      <c r="AF59" s="77">
        <f t="shared" si="13"/>
        <v>627.7045010686526</v>
      </c>
      <c r="AG59" s="77">
        <f t="shared" si="13"/>
        <v>629.87231595289</v>
      </c>
      <c r="AH59" s="431">
        <f t="shared" si="13"/>
        <v>619.6320001087123</v>
      </c>
      <c r="AI59" s="439">
        <f t="shared" si="13"/>
        <v>614.8299777981844</v>
      </c>
      <c r="AJ59" s="77">
        <f t="shared" si="13"/>
        <v>615.186157090887</v>
      </c>
      <c r="AK59" s="77">
        <f t="shared" si="13"/>
        <v>592.0051248269712</v>
      </c>
      <c r="AL59" s="431">
        <f t="shared" si="13"/>
        <v>578.2993839313049</v>
      </c>
      <c r="AM59" s="77">
        <f t="shared" si="13"/>
        <v>591.7948587562329</v>
      </c>
      <c r="AN59" s="77">
        <f t="shared" si="13"/>
        <v>586.18301636</v>
      </c>
      <c r="AO59" s="77">
        <f t="shared" si="13"/>
        <v>574.2476673900001</v>
      </c>
      <c r="AP59" s="77">
        <f t="shared" si="13"/>
        <v>601.1931185699999</v>
      </c>
      <c r="AQ59" s="77">
        <f t="shared" si="13"/>
        <v>599.7737828999999</v>
      </c>
      <c r="AR59" s="77">
        <f t="shared" si="13"/>
        <v>562.32917747</v>
      </c>
      <c r="AS59" s="77">
        <f t="shared" si="13"/>
        <v>550.08068672</v>
      </c>
      <c r="AT59" s="77">
        <f t="shared" si="13"/>
        <v>553.7629083899999</v>
      </c>
      <c r="AU59" s="77">
        <f t="shared" si="13"/>
        <v>548.9058021999999</v>
      </c>
      <c r="AV59" s="77">
        <f t="shared" si="13"/>
        <v>540.77659638</v>
      </c>
      <c r="AW59" s="77">
        <f t="shared" si="13"/>
        <v>546.63856763</v>
      </c>
      <c r="AX59" s="431">
        <f>+AX75+AX61</f>
        <v>558.44762647</v>
      </c>
      <c r="AY59" s="439">
        <f>+AY75+AY61</f>
        <v>463.74944421</v>
      </c>
      <c r="AZ59" s="77">
        <f>+AZ75+AZ61</f>
        <v>459.06907274</v>
      </c>
      <c r="BA59" s="431">
        <f>+BA75+BA61</f>
        <v>480.61203052999997</v>
      </c>
    </row>
    <row r="60" spans="2:53" ht="7.5" customHeight="1">
      <c r="B60" s="72"/>
      <c r="C60" s="425"/>
      <c r="D60" s="396"/>
      <c r="E60" s="396"/>
      <c r="F60" s="488"/>
      <c r="G60" s="425"/>
      <c r="H60" s="396"/>
      <c r="I60" s="396"/>
      <c r="J60" s="488"/>
      <c r="K60" s="425"/>
      <c r="L60" s="396"/>
      <c r="M60" s="396"/>
      <c r="N60" s="488"/>
      <c r="O60" s="425"/>
      <c r="P60" s="396"/>
      <c r="Q60" s="396"/>
      <c r="R60" s="488"/>
      <c r="S60" s="425"/>
      <c r="T60" s="396"/>
      <c r="U60" s="396"/>
      <c r="V60" s="488"/>
      <c r="W60" s="425"/>
      <c r="X60" s="396"/>
      <c r="Y60" s="396"/>
      <c r="Z60" s="488"/>
      <c r="AA60" s="94"/>
      <c r="AB60" s="94"/>
      <c r="AC60" s="547"/>
      <c r="AD60" s="548"/>
      <c r="AE60" s="549"/>
      <c r="AF60" s="77"/>
      <c r="AG60" s="77"/>
      <c r="AH60" s="431"/>
      <c r="AI60" s="439"/>
      <c r="AJ60" s="77"/>
      <c r="AK60" s="77"/>
      <c r="AL60" s="119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431"/>
      <c r="AY60" s="439"/>
      <c r="AZ60" s="77"/>
      <c r="BA60" s="431"/>
    </row>
    <row r="61" spans="2:53" s="29" customFormat="1" ht="15.75">
      <c r="B61" s="85" t="s">
        <v>124</v>
      </c>
      <c r="C61" s="227">
        <f aca="true" t="shared" si="14" ref="C61:Z61">SUM(C62:C68)</f>
        <v>0</v>
      </c>
      <c r="D61" s="179">
        <f t="shared" si="14"/>
        <v>0</v>
      </c>
      <c r="E61" s="179">
        <f t="shared" si="14"/>
        <v>0</v>
      </c>
      <c r="F61" s="485">
        <f t="shared" si="14"/>
        <v>0</v>
      </c>
      <c r="G61" s="227">
        <f t="shared" si="14"/>
        <v>0</v>
      </c>
      <c r="H61" s="179">
        <f t="shared" si="14"/>
        <v>0</v>
      </c>
      <c r="I61" s="179">
        <f t="shared" si="14"/>
        <v>0</v>
      </c>
      <c r="J61" s="485">
        <f t="shared" si="14"/>
        <v>0</v>
      </c>
      <c r="K61" s="227">
        <f t="shared" si="14"/>
        <v>0</v>
      </c>
      <c r="L61" s="179">
        <f t="shared" si="14"/>
        <v>0</v>
      </c>
      <c r="M61" s="179">
        <f t="shared" si="14"/>
        <v>0</v>
      </c>
      <c r="N61" s="485">
        <f t="shared" si="14"/>
        <v>0</v>
      </c>
      <c r="O61" s="227">
        <f t="shared" si="14"/>
        <v>0</v>
      </c>
      <c r="P61" s="179">
        <f t="shared" si="14"/>
        <v>0</v>
      </c>
      <c r="Q61" s="179">
        <f t="shared" si="14"/>
        <v>0</v>
      </c>
      <c r="R61" s="485">
        <f t="shared" si="14"/>
        <v>0</v>
      </c>
      <c r="S61" s="227">
        <f t="shared" si="14"/>
        <v>0</v>
      </c>
      <c r="T61" s="179">
        <f t="shared" si="14"/>
        <v>0</v>
      </c>
      <c r="U61" s="179">
        <f t="shared" si="14"/>
        <v>0</v>
      </c>
      <c r="V61" s="485">
        <f t="shared" si="14"/>
        <v>0</v>
      </c>
      <c r="W61" s="227">
        <f t="shared" si="14"/>
        <v>0</v>
      </c>
      <c r="X61" s="179">
        <f t="shared" si="14"/>
        <v>0</v>
      </c>
      <c r="Y61" s="179">
        <f t="shared" si="14"/>
        <v>0</v>
      </c>
      <c r="Z61" s="485">
        <f t="shared" si="14"/>
        <v>0</v>
      </c>
      <c r="AA61" s="179">
        <f aca="true" t="shared" si="15" ref="AA61:AL61">SUM(AA62:AA69)</f>
        <v>0</v>
      </c>
      <c r="AB61" s="550">
        <f t="shared" si="15"/>
        <v>588.8613468700862</v>
      </c>
      <c r="AC61" s="550">
        <f t="shared" si="15"/>
        <v>608.7022671862971</v>
      </c>
      <c r="AD61" s="511">
        <f t="shared" si="15"/>
        <v>631.4515945354763</v>
      </c>
      <c r="AE61" s="551">
        <f t="shared" si="15"/>
        <v>609.7715893625249</v>
      </c>
      <c r="AF61" s="445">
        <f t="shared" si="15"/>
        <v>555.1698262486526</v>
      </c>
      <c r="AG61" s="445">
        <f t="shared" si="15"/>
        <v>557.71949872289</v>
      </c>
      <c r="AH61" s="511">
        <f t="shared" si="15"/>
        <v>547.8404630987123</v>
      </c>
      <c r="AI61" s="512">
        <f t="shared" si="15"/>
        <v>544.0632490681844</v>
      </c>
      <c r="AJ61" s="445">
        <f t="shared" si="15"/>
        <v>544.0903985108871</v>
      </c>
      <c r="AK61" s="445">
        <f t="shared" si="15"/>
        <v>526.1364832269711</v>
      </c>
      <c r="AL61" s="511">
        <f t="shared" si="15"/>
        <v>517.3423809313049</v>
      </c>
      <c r="AM61" s="445">
        <f>SUM(AM62:AM68)</f>
        <v>532.2132753662329</v>
      </c>
      <c r="AN61" s="445">
        <f>SUM(AN62:AN68)</f>
        <v>526.60143297</v>
      </c>
      <c r="AO61" s="445">
        <f>SUM(AO62:AO73)</f>
        <v>515.4163848600001</v>
      </c>
      <c r="AP61" s="445">
        <f>SUM(AP62:AP68)</f>
        <v>542.92625513</v>
      </c>
      <c r="AQ61" s="445">
        <f>SUM(AQ62:AQ68)</f>
        <v>542.0788867499999</v>
      </c>
      <c r="AR61" s="445">
        <f>SUM(AR62:AR73)</f>
        <v>505.01540521000004</v>
      </c>
      <c r="AS61" s="445">
        <f>SUM(AS62:AS70)</f>
        <v>495.5979635</v>
      </c>
      <c r="AT61" s="445">
        <f>SUM(AT62:AT70)</f>
        <v>500.03759096999994</v>
      </c>
      <c r="AU61" s="445">
        <f aca="true" t="shared" si="16" ref="AU61:AZ61">SUM(AU62:AU73)</f>
        <v>494.94711386999995</v>
      </c>
      <c r="AV61" s="445">
        <f t="shared" si="16"/>
        <v>487.86851835</v>
      </c>
      <c r="AW61" s="445">
        <f t="shared" si="16"/>
        <v>479.13002127</v>
      </c>
      <c r="AX61" s="511">
        <f t="shared" si="16"/>
        <v>482.96645947</v>
      </c>
      <c r="AY61" s="512">
        <f t="shared" si="16"/>
        <v>389.52955858999997</v>
      </c>
      <c r="AZ61" s="445">
        <f t="shared" si="16"/>
        <v>386.02761466000004</v>
      </c>
      <c r="BA61" s="511">
        <f>SUM(BA62:BA73)</f>
        <v>403.20300919999994</v>
      </c>
    </row>
    <row r="62" spans="2:53" s="29" customFormat="1" ht="14.25">
      <c r="B62" s="74" t="s">
        <v>129</v>
      </c>
      <c r="C62" s="227">
        <v>0</v>
      </c>
      <c r="D62" s="179">
        <v>0</v>
      </c>
      <c r="E62" s="179">
        <v>0</v>
      </c>
      <c r="F62" s="485">
        <v>0</v>
      </c>
      <c r="G62" s="227">
        <v>0</v>
      </c>
      <c r="H62" s="179">
        <v>0</v>
      </c>
      <c r="I62" s="179">
        <v>0</v>
      </c>
      <c r="J62" s="485">
        <v>0</v>
      </c>
      <c r="K62" s="227">
        <v>0</v>
      </c>
      <c r="L62" s="179">
        <v>0</v>
      </c>
      <c r="M62" s="179">
        <v>0</v>
      </c>
      <c r="N62" s="485">
        <v>0</v>
      </c>
      <c r="O62" s="227">
        <v>0</v>
      </c>
      <c r="P62" s="179">
        <v>0</v>
      </c>
      <c r="Q62" s="179">
        <v>0</v>
      </c>
      <c r="R62" s="485">
        <v>0</v>
      </c>
      <c r="S62" s="227">
        <v>0</v>
      </c>
      <c r="T62" s="179">
        <v>0</v>
      </c>
      <c r="U62" s="179">
        <v>0</v>
      </c>
      <c r="V62" s="485">
        <v>0</v>
      </c>
      <c r="W62" s="227">
        <v>0</v>
      </c>
      <c r="X62" s="179">
        <v>0</v>
      </c>
      <c r="Y62" s="179">
        <v>0</v>
      </c>
      <c r="Z62" s="485">
        <v>0</v>
      </c>
      <c r="AA62" s="179">
        <v>0</v>
      </c>
      <c r="AB62" s="93">
        <f>+Detalle!D51</f>
        <v>519.1284680756272</v>
      </c>
      <c r="AC62" s="134">
        <f>+Detalle!E51</f>
        <v>532.695568321786</v>
      </c>
      <c r="AD62" s="172">
        <f>+Detalle!F51</f>
        <v>549.6370819913759</v>
      </c>
      <c r="AE62" s="174">
        <f>+Detalle!G51</f>
        <v>527.229883371817</v>
      </c>
      <c r="AF62" s="188">
        <f>+Detalle!H51</f>
        <v>476.89869061444483</v>
      </c>
      <c r="AG62" s="188">
        <f>+Detalle!I51</f>
        <v>466.3897298705966</v>
      </c>
      <c r="AH62" s="223">
        <f>+Detalle!J51</f>
        <v>452.0726549356223</v>
      </c>
      <c r="AI62" s="435">
        <f>+Detalle!K51</f>
        <v>443.3067319045923</v>
      </c>
      <c r="AJ62" s="188">
        <f>+Detalle!L51</f>
        <v>437.4229085729614</v>
      </c>
      <c r="AK62" s="188">
        <f>+Detalle!M51</f>
        <v>417.88999934301523</v>
      </c>
      <c r="AL62" s="223">
        <f>+Detalle!N51</f>
        <v>395.75698275008364</v>
      </c>
      <c r="AM62" s="188">
        <f>+Detalle!O51</f>
        <v>420.8688247416613</v>
      </c>
      <c r="AN62" s="188">
        <v>416.04327691000003</v>
      </c>
      <c r="AO62" s="188">
        <v>405.59895518</v>
      </c>
      <c r="AP62" s="188">
        <v>427.88842188</v>
      </c>
      <c r="AQ62" s="188">
        <v>425.96519986</v>
      </c>
      <c r="AR62" s="125">
        <v>411.32635405</v>
      </c>
      <c r="AS62" s="125">
        <v>409.48764636000004</v>
      </c>
      <c r="AT62" s="125">
        <v>403.28495814999997</v>
      </c>
      <c r="AU62" s="125">
        <v>394.05990053999994</v>
      </c>
      <c r="AV62" s="125">
        <v>385.63206816999997</v>
      </c>
      <c r="AW62" s="125">
        <v>375.4997245099999</v>
      </c>
      <c r="AX62" s="257">
        <v>361.15643658</v>
      </c>
      <c r="AY62" s="433">
        <v>354.96525268999994</v>
      </c>
      <c r="AZ62" s="125">
        <v>349.68894417</v>
      </c>
      <c r="BA62" s="257">
        <v>361.5184442</v>
      </c>
    </row>
    <row r="63" spans="2:53" s="29" customFormat="1" ht="14.25">
      <c r="B63" s="74" t="s">
        <v>130</v>
      </c>
      <c r="C63" s="227">
        <v>0</v>
      </c>
      <c r="D63" s="179">
        <v>0</v>
      </c>
      <c r="E63" s="179">
        <v>0</v>
      </c>
      <c r="F63" s="485">
        <v>0</v>
      </c>
      <c r="G63" s="227">
        <v>0</v>
      </c>
      <c r="H63" s="179">
        <v>0</v>
      </c>
      <c r="I63" s="179">
        <v>0</v>
      </c>
      <c r="J63" s="485">
        <v>0</v>
      </c>
      <c r="K63" s="227">
        <v>0</v>
      </c>
      <c r="L63" s="179">
        <v>0</v>
      </c>
      <c r="M63" s="179">
        <v>0</v>
      </c>
      <c r="N63" s="485">
        <v>0</v>
      </c>
      <c r="O63" s="227">
        <v>0</v>
      </c>
      <c r="P63" s="179">
        <v>0</v>
      </c>
      <c r="Q63" s="179">
        <v>0</v>
      </c>
      <c r="R63" s="485">
        <v>0</v>
      </c>
      <c r="S63" s="227">
        <v>0</v>
      </c>
      <c r="T63" s="179">
        <v>0</v>
      </c>
      <c r="U63" s="179">
        <v>0</v>
      </c>
      <c r="V63" s="485">
        <v>0</v>
      </c>
      <c r="W63" s="227">
        <v>0</v>
      </c>
      <c r="X63" s="179">
        <v>0</v>
      </c>
      <c r="Y63" s="179">
        <v>0</v>
      </c>
      <c r="Z63" s="485">
        <v>0</v>
      </c>
      <c r="AA63" s="179">
        <v>0</v>
      </c>
      <c r="AB63" s="93">
        <f>+Detalle!D54</f>
        <v>69.732878794459</v>
      </c>
      <c r="AC63" s="134">
        <f>+Detalle!E54</f>
        <v>76.00669886451116</v>
      </c>
      <c r="AD63" s="172">
        <f>+Detalle!F54</f>
        <v>81.81451254410034</v>
      </c>
      <c r="AE63" s="174">
        <f>+Detalle!G54</f>
        <v>82.54170599070787</v>
      </c>
      <c r="AF63" s="188">
        <f>+Detalle!H54</f>
        <v>77.04943243621992</v>
      </c>
      <c r="AG63" s="188">
        <f>+Detalle!I54</f>
        <v>89.82276956865564</v>
      </c>
      <c r="AH63" s="223">
        <f>+Detalle!J54</f>
        <v>90.07905530758227</v>
      </c>
      <c r="AI63" s="435">
        <f>+Detalle!K54</f>
        <v>91.87873544677821</v>
      </c>
      <c r="AJ63" s="188">
        <f>+Detalle!L54</f>
        <v>86.76577855507868</v>
      </c>
      <c r="AK63" s="188">
        <f>+Detalle!M54</f>
        <v>75.26089732365146</v>
      </c>
      <c r="AL63" s="223">
        <f>+Detalle!N54</f>
        <v>67.63608699565073</v>
      </c>
      <c r="AM63" s="188">
        <f>+Detalle!O54</f>
        <v>57.95345397318509</v>
      </c>
      <c r="AN63" s="188">
        <v>57.260634010000004</v>
      </c>
      <c r="AO63" s="188">
        <v>57.22365587</v>
      </c>
      <c r="AP63" s="188">
        <v>56.67466013</v>
      </c>
      <c r="AQ63" s="188">
        <v>56.11832243</v>
      </c>
      <c r="AR63" s="125">
        <v>31.38421111</v>
      </c>
      <c r="AS63" s="125">
        <v>23.4422949</v>
      </c>
      <c r="AT63" s="125">
        <v>23.11640572</v>
      </c>
      <c r="AU63" s="125">
        <v>23.216818280000002</v>
      </c>
      <c r="AV63" s="125">
        <v>22.76477193</v>
      </c>
      <c r="AW63" s="125">
        <v>22.16463428</v>
      </c>
      <c r="AX63" s="257">
        <v>21.92434964</v>
      </c>
      <c r="AY63" s="202">
        <v>0</v>
      </c>
      <c r="AZ63" s="203">
        <v>0</v>
      </c>
      <c r="BA63" s="217">
        <v>0</v>
      </c>
    </row>
    <row r="64" spans="2:53" s="29" customFormat="1" ht="14.25">
      <c r="B64" s="74" t="s">
        <v>131</v>
      </c>
      <c r="C64" s="227">
        <v>0</v>
      </c>
      <c r="D64" s="179">
        <v>0</v>
      </c>
      <c r="E64" s="179">
        <v>0</v>
      </c>
      <c r="F64" s="485">
        <v>0</v>
      </c>
      <c r="G64" s="227">
        <v>0</v>
      </c>
      <c r="H64" s="179">
        <v>0</v>
      </c>
      <c r="I64" s="179">
        <v>0</v>
      </c>
      <c r="J64" s="485">
        <v>0</v>
      </c>
      <c r="K64" s="227">
        <v>0</v>
      </c>
      <c r="L64" s="179">
        <v>0</v>
      </c>
      <c r="M64" s="179">
        <v>0</v>
      </c>
      <c r="N64" s="485">
        <v>0</v>
      </c>
      <c r="O64" s="227">
        <v>0</v>
      </c>
      <c r="P64" s="179">
        <v>0</v>
      </c>
      <c r="Q64" s="179">
        <v>0</v>
      </c>
      <c r="R64" s="485">
        <v>0</v>
      </c>
      <c r="S64" s="227">
        <v>0</v>
      </c>
      <c r="T64" s="179">
        <v>0</v>
      </c>
      <c r="U64" s="179">
        <v>0</v>
      </c>
      <c r="V64" s="485">
        <v>0</v>
      </c>
      <c r="W64" s="227">
        <v>0</v>
      </c>
      <c r="X64" s="179">
        <v>0</v>
      </c>
      <c r="Y64" s="179">
        <v>0</v>
      </c>
      <c r="Z64" s="485">
        <v>0</v>
      </c>
      <c r="AA64" s="179">
        <v>0</v>
      </c>
      <c r="AB64" s="179">
        <v>0</v>
      </c>
      <c r="AC64" s="179">
        <v>0</v>
      </c>
      <c r="AD64" s="189">
        <v>0</v>
      </c>
      <c r="AE64" s="227">
        <v>0</v>
      </c>
      <c r="AF64" s="129">
        <f>+Detalle!H56</f>
        <v>1.221703197987783</v>
      </c>
      <c r="AG64" s="129">
        <f>+Detalle!I56</f>
        <v>1.2221423436376706</v>
      </c>
      <c r="AH64" s="126">
        <f>+Detalle!J56</f>
        <v>2.3539488555078685</v>
      </c>
      <c r="AI64" s="125">
        <f>+Detalle!K56</f>
        <v>2.5122965468138125</v>
      </c>
      <c r="AJ64" s="125">
        <f>+Detalle!L56</f>
        <v>3.3197449928469243</v>
      </c>
      <c r="AK64" s="125">
        <f>+Detalle!M56</f>
        <v>3.008949360304288</v>
      </c>
      <c r="AL64" s="126">
        <f>+Detalle!N56</f>
        <v>2.717215155570425</v>
      </c>
      <c r="AM64" s="125">
        <f>+Detalle!O56</f>
        <v>2.592668721386527</v>
      </c>
      <c r="AN64" s="125">
        <v>2.4991941200000003</v>
      </c>
      <c r="AO64" s="125">
        <v>2.43514067</v>
      </c>
      <c r="AP64" s="125">
        <v>2.3499378</v>
      </c>
      <c r="AQ64" s="125">
        <v>2.2656365899999997</v>
      </c>
      <c r="AR64" s="125">
        <v>2.18984121</v>
      </c>
      <c r="AS64" s="125">
        <v>2.1203414900000004</v>
      </c>
      <c r="AT64" s="125">
        <v>2.03112601</v>
      </c>
      <c r="AU64" s="125">
        <v>1.97995028</v>
      </c>
      <c r="AV64" s="125">
        <v>1.88256909</v>
      </c>
      <c r="AW64" s="125">
        <v>1.77566038</v>
      </c>
      <c r="AX64" s="257">
        <v>1.69975221</v>
      </c>
      <c r="AY64" s="433">
        <v>1.6156378999999998</v>
      </c>
      <c r="AZ64" s="125">
        <v>1.53515849</v>
      </c>
      <c r="BA64" s="257">
        <v>1.56884881</v>
      </c>
    </row>
    <row r="65" spans="2:53" s="29" customFormat="1" ht="14.25">
      <c r="B65" s="73" t="s">
        <v>132</v>
      </c>
      <c r="C65" s="227">
        <v>0</v>
      </c>
      <c r="D65" s="179">
        <v>0</v>
      </c>
      <c r="E65" s="179">
        <v>0</v>
      </c>
      <c r="F65" s="485">
        <v>0</v>
      </c>
      <c r="G65" s="227">
        <v>0</v>
      </c>
      <c r="H65" s="179">
        <v>0</v>
      </c>
      <c r="I65" s="179">
        <v>0</v>
      </c>
      <c r="J65" s="485">
        <v>0</v>
      </c>
      <c r="K65" s="227">
        <v>0</v>
      </c>
      <c r="L65" s="179">
        <v>0</v>
      </c>
      <c r="M65" s="179">
        <v>0</v>
      </c>
      <c r="N65" s="485">
        <v>0</v>
      </c>
      <c r="O65" s="227">
        <v>0</v>
      </c>
      <c r="P65" s="179">
        <v>0</v>
      </c>
      <c r="Q65" s="179">
        <v>0</v>
      </c>
      <c r="R65" s="485">
        <v>0</v>
      </c>
      <c r="S65" s="227">
        <v>0</v>
      </c>
      <c r="T65" s="179">
        <v>0</v>
      </c>
      <c r="U65" s="179">
        <v>0</v>
      </c>
      <c r="V65" s="485">
        <v>0</v>
      </c>
      <c r="W65" s="227">
        <v>0</v>
      </c>
      <c r="X65" s="179">
        <v>0</v>
      </c>
      <c r="Y65" s="179">
        <v>0</v>
      </c>
      <c r="Z65" s="485">
        <v>0</v>
      </c>
      <c r="AA65" s="179">
        <v>0</v>
      </c>
      <c r="AB65" s="179">
        <v>0</v>
      </c>
      <c r="AC65" s="179">
        <v>0</v>
      </c>
      <c r="AD65" s="189">
        <v>0</v>
      </c>
      <c r="AE65" s="227">
        <v>0</v>
      </c>
      <c r="AF65" s="189">
        <v>0</v>
      </c>
      <c r="AG65" s="129">
        <v>0.28485694</v>
      </c>
      <c r="AH65" s="432">
        <v>0.50696423</v>
      </c>
      <c r="AI65" s="440">
        <v>3.55073259</v>
      </c>
      <c r="AJ65" s="129">
        <v>5.49857219</v>
      </c>
      <c r="AK65" s="129">
        <v>7.46448197</v>
      </c>
      <c r="AL65" s="107">
        <v>19.463624600000003</v>
      </c>
      <c r="AM65" s="129">
        <v>19.0244519</v>
      </c>
      <c r="AN65" s="129">
        <v>19.0244519</v>
      </c>
      <c r="AO65" s="129">
        <v>18.78488018</v>
      </c>
      <c r="AP65" s="129">
        <v>24.94047775</v>
      </c>
      <c r="AQ65" s="129">
        <v>25.596312179999998</v>
      </c>
      <c r="AR65" s="125">
        <v>26.53161494</v>
      </c>
      <c r="AS65" s="125">
        <v>26.42356011</v>
      </c>
      <c r="AT65" s="125">
        <v>35.771269909999994</v>
      </c>
      <c r="AU65" s="125">
        <v>35.926652409999996</v>
      </c>
      <c r="AV65" s="125">
        <v>35.3878162</v>
      </c>
      <c r="AW65" s="125">
        <v>35.354351009999995</v>
      </c>
      <c r="AX65" s="257">
        <v>43.769434270000005</v>
      </c>
      <c r="AY65" s="202">
        <v>0</v>
      </c>
      <c r="AZ65" s="203">
        <v>0</v>
      </c>
      <c r="BA65" s="217">
        <v>0</v>
      </c>
    </row>
    <row r="66" spans="2:53" s="29" customFormat="1" ht="14.25">
      <c r="B66" s="261" t="s">
        <v>133</v>
      </c>
      <c r="C66" s="227">
        <v>0</v>
      </c>
      <c r="D66" s="179">
        <v>0</v>
      </c>
      <c r="E66" s="179">
        <v>0</v>
      </c>
      <c r="F66" s="485">
        <v>0</v>
      </c>
      <c r="G66" s="227">
        <v>0</v>
      </c>
      <c r="H66" s="179">
        <v>0</v>
      </c>
      <c r="I66" s="179">
        <v>0</v>
      </c>
      <c r="J66" s="485">
        <v>0</v>
      </c>
      <c r="K66" s="227">
        <v>0</v>
      </c>
      <c r="L66" s="179">
        <v>0</v>
      </c>
      <c r="M66" s="179">
        <v>0</v>
      </c>
      <c r="N66" s="485">
        <v>0</v>
      </c>
      <c r="O66" s="227">
        <v>0</v>
      </c>
      <c r="P66" s="179">
        <v>0</v>
      </c>
      <c r="Q66" s="179">
        <v>0</v>
      </c>
      <c r="R66" s="485">
        <v>0</v>
      </c>
      <c r="S66" s="227">
        <v>0</v>
      </c>
      <c r="T66" s="179">
        <v>0</v>
      </c>
      <c r="U66" s="179">
        <v>0</v>
      </c>
      <c r="V66" s="485">
        <v>0</v>
      </c>
      <c r="W66" s="227">
        <v>0</v>
      </c>
      <c r="X66" s="179">
        <v>0</v>
      </c>
      <c r="Y66" s="179">
        <v>0</v>
      </c>
      <c r="Z66" s="485">
        <v>0</v>
      </c>
      <c r="AA66" s="262">
        <v>0</v>
      </c>
      <c r="AB66" s="262">
        <v>0</v>
      </c>
      <c r="AC66" s="262">
        <v>0</v>
      </c>
      <c r="AD66" s="263">
        <v>0</v>
      </c>
      <c r="AE66" s="264">
        <v>0</v>
      </c>
      <c r="AF66" s="263">
        <v>0</v>
      </c>
      <c r="AG66" s="263">
        <v>0</v>
      </c>
      <c r="AH66" s="265">
        <v>2.82783977</v>
      </c>
      <c r="AI66" s="441">
        <v>2.81475258</v>
      </c>
      <c r="AJ66" s="237">
        <v>9.40368485</v>
      </c>
      <c r="AK66" s="238">
        <v>14.43666225</v>
      </c>
      <c r="AL66" s="279">
        <v>20.09713517</v>
      </c>
      <c r="AM66" s="238">
        <v>19.64366809</v>
      </c>
      <c r="AN66" s="238">
        <v>19.64366809</v>
      </c>
      <c r="AO66" s="238">
        <v>19.39629868</v>
      </c>
      <c r="AP66" s="238">
        <v>19.21021331</v>
      </c>
      <c r="AQ66" s="238">
        <v>19.02163933</v>
      </c>
      <c r="AR66" s="125">
        <v>18.89598522</v>
      </c>
      <c r="AS66" s="125">
        <v>18.81902789</v>
      </c>
      <c r="AT66" s="125">
        <v>18.55741026</v>
      </c>
      <c r="AU66" s="125">
        <v>20.25805669</v>
      </c>
      <c r="AV66" s="125">
        <v>19.86361932</v>
      </c>
      <c r="AW66" s="125">
        <v>19.33996348</v>
      </c>
      <c r="AX66" s="257">
        <v>23.19250278</v>
      </c>
      <c r="AY66" s="202">
        <v>0</v>
      </c>
      <c r="AZ66" s="203">
        <v>0</v>
      </c>
      <c r="BA66" s="217">
        <v>0</v>
      </c>
    </row>
    <row r="67" spans="2:53" s="29" customFormat="1" ht="14.25">
      <c r="B67" s="261" t="s">
        <v>134</v>
      </c>
      <c r="C67" s="227">
        <v>0</v>
      </c>
      <c r="D67" s="179">
        <v>0</v>
      </c>
      <c r="E67" s="179">
        <v>0</v>
      </c>
      <c r="F67" s="485">
        <v>0</v>
      </c>
      <c r="G67" s="227">
        <v>0</v>
      </c>
      <c r="H67" s="179">
        <v>0</v>
      </c>
      <c r="I67" s="179">
        <v>0</v>
      </c>
      <c r="J67" s="485">
        <v>0</v>
      </c>
      <c r="K67" s="227">
        <v>0</v>
      </c>
      <c r="L67" s="179">
        <v>0</v>
      </c>
      <c r="M67" s="179">
        <v>0</v>
      </c>
      <c r="N67" s="485">
        <v>0</v>
      </c>
      <c r="O67" s="227">
        <v>0</v>
      </c>
      <c r="P67" s="179">
        <v>0</v>
      </c>
      <c r="Q67" s="179">
        <v>0</v>
      </c>
      <c r="R67" s="485">
        <v>0</v>
      </c>
      <c r="S67" s="227">
        <v>0</v>
      </c>
      <c r="T67" s="179">
        <v>0</v>
      </c>
      <c r="U67" s="179">
        <v>0</v>
      </c>
      <c r="V67" s="485">
        <v>0</v>
      </c>
      <c r="W67" s="227">
        <v>0</v>
      </c>
      <c r="X67" s="179">
        <v>0</v>
      </c>
      <c r="Y67" s="179">
        <v>0</v>
      </c>
      <c r="Z67" s="485">
        <v>0</v>
      </c>
      <c r="AA67" s="262">
        <v>0</v>
      </c>
      <c r="AB67" s="262">
        <v>0</v>
      </c>
      <c r="AC67" s="262">
        <v>0</v>
      </c>
      <c r="AD67" s="263">
        <v>0</v>
      </c>
      <c r="AE67" s="266">
        <v>0</v>
      </c>
      <c r="AF67" s="263">
        <v>0</v>
      </c>
      <c r="AG67" s="263">
        <v>0</v>
      </c>
      <c r="AH67" s="486">
        <v>0</v>
      </c>
      <c r="AI67" s="202">
        <v>0</v>
      </c>
      <c r="AJ67" s="238">
        <v>1.67970935</v>
      </c>
      <c r="AK67" s="238">
        <f>2.76649493+5.30899805</f>
        <v>8.07549298</v>
      </c>
      <c r="AL67" s="279">
        <v>11.253675710000001</v>
      </c>
      <c r="AM67" s="238">
        <v>10.99975039</v>
      </c>
      <c r="AN67" s="238">
        <v>10.99975039</v>
      </c>
      <c r="AO67" s="238">
        <v>10.861232390000001</v>
      </c>
      <c r="AP67" s="238">
        <v>10.75703125</v>
      </c>
      <c r="AQ67" s="238">
        <v>12.01711544</v>
      </c>
      <c r="AR67" s="125">
        <v>11.93773216</v>
      </c>
      <c r="AS67" s="125">
        <v>12.537646050000001</v>
      </c>
      <c r="AT67" s="125">
        <v>12.3633507</v>
      </c>
      <c r="AU67" s="125">
        <f>13.58626519+0.04323946</f>
        <v>13.629504650000001</v>
      </c>
      <c r="AV67" s="125">
        <f>13.32173188+0.11666324</f>
        <v>13.43839512</v>
      </c>
      <c r="AW67" s="125">
        <v>15.113375219999998</v>
      </c>
      <c r="AX67" s="257">
        <v>14.9495326</v>
      </c>
      <c r="AY67" s="433">
        <f>12.61553809+2.08418959</f>
        <v>14.699727679999999</v>
      </c>
      <c r="AZ67" s="125">
        <f>12.41523467+2.05109784</f>
        <v>14.46633251</v>
      </c>
      <c r="BA67" s="257">
        <f>13.15761198+2.17374462</f>
        <v>15.3313566</v>
      </c>
    </row>
    <row r="68" spans="2:53" s="29" customFormat="1" ht="15.75" customHeight="1">
      <c r="B68" s="556" t="s">
        <v>135</v>
      </c>
      <c r="C68" s="227">
        <v>0</v>
      </c>
      <c r="D68" s="179">
        <v>0</v>
      </c>
      <c r="E68" s="179">
        <v>0</v>
      </c>
      <c r="F68" s="485">
        <v>0</v>
      </c>
      <c r="G68" s="227">
        <v>0</v>
      </c>
      <c r="H68" s="179">
        <v>0</v>
      </c>
      <c r="I68" s="179">
        <v>0</v>
      </c>
      <c r="J68" s="485">
        <v>0</v>
      </c>
      <c r="K68" s="227">
        <v>0</v>
      </c>
      <c r="L68" s="179">
        <v>0</v>
      </c>
      <c r="M68" s="179">
        <v>0</v>
      </c>
      <c r="N68" s="485">
        <v>0</v>
      </c>
      <c r="O68" s="227">
        <v>0</v>
      </c>
      <c r="P68" s="179">
        <v>0</v>
      </c>
      <c r="Q68" s="179">
        <v>0</v>
      </c>
      <c r="R68" s="485">
        <v>0</v>
      </c>
      <c r="S68" s="227">
        <v>0</v>
      </c>
      <c r="T68" s="179">
        <v>0</v>
      </c>
      <c r="U68" s="179">
        <v>0</v>
      </c>
      <c r="V68" s="485">
        <v>0</v>
      </c>
      <c r="W68" s="227">
        <v>0</v>
      </c>
      <c r="X68" s="179">
        <v>0</v>
      </c>
      <c r="Y68" s="179">
        <v>0</v>
      </c>
      <c r="Z68" s="485">
        <v>0</v>
      </c>
      <c r="AA68" s="262">
        <v>0</v>
      </c>
      <c r="AB68" s="262">
        <v>0</v>
      </c>
      <c r="AC68" s="262">
        <v>0</v>
      </c>
      <c r="AD68" s="263">
        <v>0</v>
      </c>
      <c r="AE68" s="266">
        <v>0</v>
      </c>
      <c r="AF68" s="263">
        <v>0</v>
      </c>
      <c r="AG68" s="263">
        <v>0</v>
      </c>
      <c r="AH68" s="486">
        <v>0</v>
      </c>
      <c r="AI68" s="202">
        <v>0</v>
      </c>
      <c r="AJ68" s="203">
        <v>0</v>
      </c>
      <c r="AK68" s="203">
        <v>0</v>
      </c>
      <c r="AL68" s="279">
        <v>0.41766054999999996</v>
      </c>
      <c r="AM68" s="238">
        <v>1.13045755</v>
      </c>
      <c r="AN68" s="238">
        <v>1.13045755</v>
      </c>
      <c r="AO68" s="238">
        <v>1.1162218899999998</v>
      </c>
      <c r="AP68" s="238">
        <v>1.10551301</v>
      </c>
      <c r="AQ68" s="238">
        <v>1.09466092</v>
      </c>
      <c r="AR68" s="125">
        <v>2.74966652</v>
      </c>
      <c r="AS68" s="125">
        <v>2.738468</v>
      </c>
      <c r="AT68" s="125">
        <v>4.7806590700000005</v>
      </c>
      <c r="AU68" s="125">
        <v>5.48039917</v>
      </c>
      <c r="AV68" s="125">
        <v>8.412443470000001</v>
      </c>
      <c r="AW68" s="125">
        <v>9.058029799999998</v>
      </c>
      <c r="AX68" s="257">
        <v>12.65778809</v>
      </c>
      <c r="AY68" s="433">
        <v>13.525384580000003</v>
      </c>
      <c r="AZ68" s="125">
        <v>13.310635069999998</v>
      </c>
      <c r="BA68" s="257">
        <v>16.766295829999997</v>
      </c>
    </row>
    <row r="69" spans="2:53" s="29" customFormat="1" ht="15.75" customHeight="1">
      <c r="B69" s="556" t="s">
        <v>136</v>
      </c>
      <c r="C69" s="225">
        <v>0</v>
      </c>
      <c r="D69" s="179">
        <v>0</v>
      </c>
      <c r="E69" s="179">
        <v>0</v>
      </c>
      <c r="F69" s="253">
        <v>0</v>
      </c>
      <c r="G69" s="225">
        <v>0</v>
      </c>
      <c r="H69" s="179">
        <v>0</v>
      </c>
      <c r="I69" s="179">
        <v>0</v>
      </c>
      <c r="J69" s="253">
        <v>0</v>
      </c>
      <c r="K69" s="225">
        <v>0</v>
      </c>
      <c r="L69" s="179">
        <v>0</v>
      </c>
      <c r="M69" s="179">
        <v>0</v>
      </c>
      <c r="N69" s="253">
        <v>0</v>
      </c>
      <c r="O69" s="225">
        <v>0</v>
      </c>
      <c r="P69" s="179">
        <v>0</v>
      </c>
      <c r="Q69" s="179">
        <v>0</v>
      </c>
      <c r="R69" s="253">
        <v>0</v>
      </c>
      <c r="S69" s="225">
        <v>0</v>
      </c>
      <c r="T69" s="179">
        <v>0</v>
      </c>
      <c r="U69" s="179">
        <v>0</v>
      </c>
      <c r="V69" s="253">
        <v>0</v>
      </c>
      <c r="W69" s="225">
        <v>0</v>
      </c>
      <c r="X69" s="179">
        <v>0</v>
      </c>
      <c r="Y69" s="179">
        <v>0</v>
      </c>
      <c r="Z69" s="253">
        <v>0</v>
      </c>
      <c r="AA69" s="262">
        <v>0</v>
      </c>
      <c r="AB69" s="262">
        <v>0</v>
      </c>
      <c r="AC69" s="262">
        <v>0</v>
      </c>
      <c r="AD69" s="263">
        <v>0</v>
      </c>
      <c r="AE69" s="266">
        <v>0</v>
      </c>
      <c r="AF69" s="263">
        <v>0</v>
      </c>
      <c r="AG69" s="263">
        <v>0</v>
      </c>
      <c r="AH69" s="263">
        <v>0</v>
      </c>
      <c r="AI69" s="202">
        <v>0</v>
      </c>
      <c r="AJ69" s="203">
        <v>0</v>
      </c>
      <c r="AK69" s="203">
        <v>0</v>
      </c>
      <c r="AL69" s="457">
        <v>0</v>
      </c>
      <c r="AM69" s="562">
        <v>0</v>
      </c>
      <c r="AN69" s="562">
        <v>0</v>
      </c>
      <c r="AO69" s="562">
        <v>0</v>
      </c>
      <c r="AP69" s="562">
        <v>0</v>
      </c>
      <c r="AQ69" s="562">
        <v>0</v>
      </c>
      <c r="AR69" s="203">
        <v>0</v>
      </c>
      <c r="AS69" s="129">
        <v>0.0289787</v>
      </c>
      <c r="AT69" s="129">
        <v>0.02857584</v>
      </c>
      <c r="AU69" s="129">
        <v>0.06669749000000001</v>
      </c>
      <c r="AV69" s="129">
        <v>0.12171159</v>
      </c>
      <c r="AW69" s="129">
        <v>0.11850296</v>
      </c>
      <c r="AX69" s="432">
        <v>1.33342465</v>
      </c>
      <c r="AY69" s="440">
        <v>1.31114328</v>
      </c>
      <c r="AZ69" s="129">
        <v>1.29032558</v>
      </c>
      <c r="BA69" s="432">
        <v>1.36748147</v>
      </c>
    </row>
    <row r="70" spans="2:53" s="29" customFormat="1" ht="15.75" customHeight="1">
      <c r="B70" s="556" t="s">
        <v>140</v>
      </c>
      <c r="C70" s="225">
        <v>0</v>
      </c>
      <c r="D70" s="179">
        <v>0</v>
      </c>
      <c r="E70" s="179">
        <v>0</v>
      </c>
      <c r="F70" s="253">
        <v>0</v>
      </c>
      <c r="G70" s="225">
        <v>0</v>
      </c>
      <c r="H70" s="179">
        <v>0</v>
      </c>
      <c r="I70" s="179">
        <v>0</v>
      </c>
      <c r="J70" s="253">
        <v>0</v>
      </c>
      <c r="K70" s="225">
        <v>0</v>
      </c>
      <c r="L70" s="179">
        <v>0</v>
      </c>
      <c r="M70" s="179">
        <v>0</v>
      </c>
      <c r="N70" s="253">
        <v>0</v>
      </c>
      <c r="O70" s="225">
        <v>0</v>
      </c>
      <c r="P70" s="179">
        <v>0</v>
      </c>
      <c r="Q70" s="179">
        <v>0</v>
      </c>
      <c r="R70" s="253">
        <v>0</v>
      </c>
      <c r="S70" s="225">
        <v>0</v>
      </c>
      <c r="T70" s="179">
        <v>0</v>
      </c>
      <c r="U70" s="179">
        <v>0</v>
      </c>
      <c r="V70" s="253">
        <v>0</v>
      </c>
      <c r="W70" s="225">
        <v>0</v>
      </c>
      <c r="X70" s="179">
        <v>0</v>
      </c>
      <c r="Y70" s="179">
        <v>0</v>
      </c>
      <c r="Z70" s="253">
        <v>0</v>
      </c>
      <c r="AA70" s="262">
        <v>0</v>
      </c>
      <c r="AB70" s="262">
        <v>0</v>
      </c>
      <c r="AC70" s="262">
        <v>0</v>
      </c>
      <c r="AD70" s="263">
        <v>0</v>
      </c>
      <c r="AE70" s="266">
        <v>0</v>
      </c>
      <c r="AF70" s="263">
        <v>0</v>
      </c>
      <c r="AG70" s="263">
        <v>0</v>
      </c>
      <c r="AH70" s="263">
        <v>0</v>
      </c>
      <c r="AI70" s="202">
        <v>0</v>
      </c>
      <c r="AJ70" s="203">
        <v>0</v>
      </c>
      <c r="AK70" s="203">
        <v>0</v>
      </c>
      <c r="AL70" s="457">
        <v>0</v>
      </c>
      <c r="AM70" s="562">
        <v>0</v>
      </c>
      <c r="AN70" s="562">
        <v>0</v>
      </c>
      <c r="AO70" s="562">
        <v>0</v>
      </c>
      <c r="AP70" s="562">
        <v>0</v>
      </c>
      <c r="AQ70" s="562">
        <v>0</v>
      </c>
      <c r="AR70" s="203">
        <v>0</v>
      </c>
      <c r="AS70" s="203">
        <v>0</v>
      </c>
      <c r="AT70" s="129">
        <v>0.10383531</v>
      </c>
      <c r="AU70" s="129">
        <v>0.10428635</v>
      </c>
      <c r="AV70" s="129">
        <v>0.10225582000000001</v>
      </c>
      <c r="AW70" s="129">
        <v>0.09956010000000001</v>
      </c>
      <c r="AX70" s="432">
        <v>0.10782739</v>
      </c>
      <c r="AY70" s="440">
        <v>0.10602561</v>
      </c>
      <c r="AZ70" s="129">
        <v>0.10434219</v>
      </c>
      <c r="BA70" s="432">
        <v>0.1105814</v>
      </c>
    </row>
    <row r="71" spans="2:53" s="29" customFormat="1" ht="15.75" customHeight="1">
      <c r="B71" s="556" t="s">
        <v>141</v>
      </c>
      <c r="C71" s="225">
        <v>0</v>
      </c>
      <c r="D71" s="179">
        <v>0</v>
      </c>
      <c r="E71" s="179">
        <v>0</v>
      </c>
      <c r="F71" s="253">
        <v>0</v>
      </c>
      <c r="G71" s="225">
        <v>0</v>
      </c>
      <c r="H71" s="179">
        <v>0</v>
      </c>
      <c r="I71" s="179">
        <v>0</v>
      </c>
      <c r="J71" s="253">
        <v>0</v>
      </c>
      <c r="K71" s="225">
        <v>0</v>
      </c>
      <c r="L71" s="179">
        <v>0</v>
      </c>
      <c r="M71" s="179">
        <v>0</v>
      </c>
      <c r="N71" s="253">
        <v>0</v>
      </c>
      <c r="O71" s="225">
        <v>0</v>
      </c>
      <c r="P71" s="179">
        <v>0</v>
      </c>
      <c r="Q71" s="179">
        <v>0</v>
      </c>
      <c r="R71" s="253">
        <v>0</v>
      </c>
      <c r="S71" s="225">
        <v>0</v>
      </c>
      <c r="T71" s="179">
        <v>0</v>
      </c>
      <c r="U71" s="179">
        <v>0</v>
      </c>
      <c r="V71" s="253">
        <v>0</v>
      </c>
      <c r="W71" s="225">
        <v>0</v>
      </c>
      <c r="X71" s="179">
        <v>0</v>
      </c>
      <c r="Y71" s="179">
        <v>0</v>
      </c>
      <c r="Z71" s="253">
        <v>0</v>
      </c>
      <c r="AA71" s="262">
        <v>0</v>
      </c>
      <c r="AB71" s="262">
        <v>0</v>
      </c>
      <c r="AC71" s="262">
        <v>0</v>
      </c>
      <c r="AD71" s="263">
        <v>0</v>
      </c>
      <c r="AE71" s="266">
        <v>0</v>
      </c>
      <c r="AF71" s="263">
        <v>0</v>
      </c>
      <c r="AG71" s="263">
        <v>0</v>
      </c>
      <c r="AH71" s="263">
        <v>0</v>
      </c>
      <c r="AI71" s="202">
        <v>0</v>
      </c>
      <c r="AJ71" s="203">
        <v>0</v>
      </c>
      <c r="AK71" s="203">
        <v>0</v>
      </c>
      <c r="AL71" s="457">
        <v>0</v>
      </c>
      <c r="AM71" s="562">
        <v>0</v>
      </c>
      <c r="AN71" s="562">
        <v>0</v>
      </c>
      <c r="AO71" s="562">
        <v>0</v>
      </c>
      <c r="AP71" s="562">
        <v>0</v>
      </c>
      <c r="AQ71" s="562">
        <v>0</v>
      </c>
      <c r="AR71" s="203">
        <v>0</v>
      </c>
      <c r="AS71" s="203">
        <v>0</v>
      </c>
      <c r="AT71" s="203">
        <v>0</v>
      </c>
      <c r="AU71" s="129">
        <v>0.22484801000000001</v>
      </c>
      <c r="AV71" s="129">
        <v>0.22047007999999998</v>
      </c>
      <c r="AW71" s="129">
        <v>0.56493968</v>
      </c>
      <c r="AX71" s="432">
        <v>2.13457892</v>
      </c>
      <c r="AY71" s="440">
        <v>2.46857009</v>
      </c>
      <c r="AZ71" s="129">
        <v>3.21864119</v>
      </c>
      <c r="BA71" s="432">
        <v>3.68555154</v>
      </c>
    </row>
    <row r="72" spans="2:53" s="29" customFormat="1" ht="15.75" customHeight="1">
      <c r="B72" s="556" t="s">
        <v>147</v>
      </c>
      <c r="C72" s="225"/>
      <c r="D72" s="179"/>
      <c r="E72" s="179"/>
      <c r="F72" s="253"/>
      <c r="G72" s="225"/>
      <c r="H72" s="179"/>
      <c r="I72" s="179"/>
      <c r="J72" s="253"/>
      <c r="K72" s="225"/>
      <c r="L72" s="179"/>
      <c r="M72" s="179"/>
      <c r="N72" s="253"/>
      <c r="O72" s="225"/>
      <c r="P72" s="179"/>
      <c r="Q72" s="179"/>
      <c r="R72" s="253"/>
      <c r="S72" s="225"/>
      <c r="T72" s="179"/>
      <c r="U72" s="179"/>
      <c r="V72" s="253"/>
      <c r="W72" s="225"/>
      <c r="X72" s="179"/>
      <c r="Y72" s="179"/>
      <c r="Z72" s="253"/>
      <c r="AA72" s="262">
        <v>0</v>
      </c>
      <c r="AB72" s="262">
        <v>0</v>
      </c>
      <c r="AC72" s="262">
        <v>0</v>
      </c>
      <c r="AD72" s="263">
        <v>0</v>
      </c>
      <c r="AE72" s="266">
        <v>0</v>
      </c>
      <c r="AF72" s="263">
        <v>0</v>
      </c>
      <c r="AG72" s="263">
        <v>0</v>
      </c>
      <c r="AH72" s="263">
        <v>0</v>
      </c>
      <c r="AI72" s="202">
        <v>0</v>
      </c>
      <c r="AJ72" s="203">
        <v>0</v>
      </c>
      <c r="AK72" s="203">
        <v>0</v>
      </c>
      <c r="AL72" s="457">
        <v>0</v>
      </c>
      <c r="AM72" s="562"/>
      <c r="AN72" s="562"/>
      <c r="AO72" s="562">
        <v>0</v>
      </c>
      <c r="AP72" s="562"/>
      <c r="AQ72" s="562"/>
      <c r="AR72" s="203">
        <v>0</v>
      </c>
      <c r="AS72" s="203"/>
      <c r="AT72" s="203"/>
      <c r="AU72" s="203">
        <v>0</v>
      </c>
      <c r="AV72" s="457"/>
      <c r="AW72" s="129"/>
      <c r="AX72" s="217">
        <v>0</v>
      </c>
      <c r="AY72" s="440">
        <v>0.32632705</v>
      </c>
      <c r="AZ72" s="129">
        <v>1.90986693</v>
      </c>
      <c r="BA72" s="432">
        <v>2.20057051</v>
      </c>
    </row>
    <row r="73" spans="2:53" s="29" customFormat="1" ht="15.75" customHeight="1">
      <c r="B73" s="556" t="s">
        <v>143</v>
      </c>
      <c r="C73" s="225">
        <v>0</v>
      </c>
      <c r="D73" s="179">
        <v>0</v>
      </c>
      <c r="E73" s="179">
        <v>0</v>
      </c>
      <c r="F73" s="253">
        <v>0</v>
      </c>
      <c r="G73" s="225">
        <v>0</v>
      </c>
      <c r="H73" s="179">
        <v>0</v>
      </c>
      <c r="I73" s="179">
        <v>0</v>
      </c>
      <c r="J73" s="253">
        <v>0</v>
      </c>
      <c r="K73" s="225">
        <v>0</v>
      </c>
      <c r="L73" s="179">
        <v>0</v>
      </c>
      <c r="M73" s="179">
        <v>0</v>
      </c>
      <c r="N73" s="253">
        <v>0</v>
      </c>
      <c r="O73" s="225">
        <v>0</v>
      </c>
      <c r="P73" s="179">
        <v>0</v>
      </c>
      <c r="Q73" s="179">
        <v>0</v>
      </c>
      <c r="R73" s="253">
        <v>0</v>
      </c>
      <c r="S73" s="225">
        <v>0</v>
      </c>
      <c r="T73" s="179">
        <v>0</v>
      </c>
      <c r="U73" s="179">
        <v>0</v>
      </c>
      <c r="V73" s="253">
        <v>0</v>
      </c>
      <c r="W73" s="225">
        <v>0</v>
      </c>
      <c r="X73" s="179">
        <v>0</v>
      </c>
      <c r="Y73" s="179">
        <v>0</v>
      </c>
      <c r="Z73" s="253">
        <v>0</v>
      </c>
      <c r="AA73" s="262">
        <v>0</v>
      </c>
      <c r="AB73" s="262">
        <v>0</v>
      </c>
      <c r="AC73" s="262">
        <v>0</v>
      </c>
      <c r="AD73" s="263">
        <v>0</v>
      </c>
      <c r="AE73" s="266">
        <v>0</v>
      </c>
      <c r="AF73" s="263">
        <v>0</v>
      </c>
      <c r="AG73" s="263">
        <v>0</v>
      </c>
      <c r="AH73" s="263">
        <v>0</v>
      </c>
      <c r="AI73" s="202">
        <v>0</v>
      </c>
      <c r="AJ73" s="203">
        <v>0</v>
      </c>
      <c r="AK73" s="203">
        <v>0</v>
      </c>
      <c r="AL73" s="457">
        <v>0</v>
      </c>
      <c r="AM73" s="562">
        <v>0</v>
      </c>
      <c r="AN73" s="562">
        <v>0</v>
      </c>
      <c r="AO73" s="562">
        <v>0</v>
      </c>
      <c r="AP73" s="562">
        <v>0</v>
      </c>
      <c r="AQ73" s="562">
        <v>0</v>
      </c>
      <c r="AR73" s="203">
        <v>0</v>
      </c>
      <c r="AS73" s="203">
        <v>0</v>
      </c>
      <c r="AT73" s="203">
        <v>0</v>
      </c>
      <c r="AU73" s="203">
        <v>0</v>
      </c>
      <c r="AV73" s="129">
        <v>0.04239756</v>
      </c>
      <c r="AW73" s="129">
        <v>0.04127985</v>
      </c>
      <c r="AX73" s="432">
        <v>0.040832339999999995</v>
      </c>
      <c r="AY73" s="440">
        <v>0.51148971</v>
      </c>
      <c r="AZ73" s="129">
        <v>0.50336853</v>
      </c>
      <c r="BA73" s="432">
        <v>0.65387884</v>
      </c>
    </row>
    <row r="74" spans="2:53" ht="7.5" customHeight="1">
      <c r="B74" s="74"/>
      <c r="C74" s="95"/>
      <c r="D74" s="95"/>
      <c r="E74" s="95"/>
      <c r="F74" s="474"/>
      <c r="G74" s="150"/>
      <c r="H74" s="95"/>
      <c r="I74" s="95"/>
      <c r="J74" s="484"/>
      <c r="K74" s="95"/>
      <c r="L74" s="95"/>
      <c r="M74" s="95"/>
      <c r="N74" s="474"/>
      <c r="O74" s="150"/>
      <c r="P74" s="95"/>
      <c r="Q74" s="95"/>
      <c r="R74" s="484"/>
      <c r="S74" s="95"/>
      <c r="T74" s="95"/>
      <c r="U74" s="95"/>
      <c r="V74" s="474"/>
      <c r="W74" s="150"/>
      <c r="X74" s="95"/>
      <c r="Y74" s="95"/>
      <c r="Z74" s="484"/>
      <c r="AA74" s="94"/>
      <c r="AB74" s="94"/>
      <c r="AC74" s="76"/>
      <c r="AD74" s="115"/>
      <c r="AE74" s="430"/>
      <c r="AF74" s="77"/>
      <c r="AG74" s="77"/>
      <c r="AH74" s="431"/>
      <c r="AI74" s="439"/>
      <c r="AJ74" s="77"/>
      <c r="AK74" s="77"/>
      <c r="AL74" s="119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431"/>
      <c r="AY74" s="439"/>
      <c r="AZ74" s="77"/>
      <c r="BA74" s="431"/>
    </row>
    <row r="75" spans="2:53" s="29" customFormat="1" ht="15.75">
      <c r="B75" s="85" t="s">
        <v>101</v>
      </c>
      <c r="C75" s="375">
        <f aca="true" t="shared" si="17" ref="C75:AR75">+C76+C77</f>
        <v>0</v>
      </c>
      <c r="D75" s="375">
        <f t="shared" si="17"/>
        <v>0</v>
      </c>
      <c r="E75" s="375">
        <f t="shared" si="17"/>
        <v>0</v>
      </c>
      <c r="F75" s="189">
        <f t="shared" si="17"/>
        <v>0</v>
      </c>
      <c r="G75" s="424">
        <f t="shared" si="17"/>
        <v>0</v>
      </c>
      <c r="H75" s="375">
        <f t="shared" si="17"/>
        <v>0</v>
      </c>
      <c r="I75" s="375">
        <f t="shared" si="17"/>
        <v>0</v>
      </c>
      <c r="J75" s="485">
        <f t="shared" si="17"/>
        <v>0</v>
      </c>
      <c r="K75" s="375">
        <f t="shared" si="17"/>
        <v>0</v>
      </c>
      <c r="L75" s="375">
        <f t="shared" si="17"/>
        <v>0</v>
      </c>
      <c r="M75" s="375">
        <f t="shared" si="17"/>
        <v>0</v>
      </c>
      <c r="N75" s="189">
        <f t="shared" si="17"/>
        <v>0</v>
      </c>
      <c r="O75" s="424">
        <f t="shared" si="17"/>
        <v>0</v>
      </c>
      <c r="P75" s="375">
        <f t="shared" si="17"/>
        <v>0</v>
      </c>
      <c r="Q75" s="375">
        <f t="shared" si="17"/>
        <v>0</v>
      </c>
      <c r="R75" s="485">
        <f t="shared" si="17"/>
        <v>0</v>
      </c>
      <c r="S75" s="375">
        <f t="shared" si="17"/>
        <v>0</v>
      </c>
      <c r="T75" s="375">
        <f t="shared" si="17"/>
        <v>0</v>
      </c>
      <c r="U75" s="375">
        <f t="shared" si="17"/>
        <v>0</v>
      </c>
      <c r="V75" s="189">
        <f t="shared" si="17"/>
        <v>0</v>
      </c>
      <c r="W75" s="424">
        <f t="shared" si="17"/>
        <v>0</v>
      </c>
      <c r="X75" s="375">
        <f t="shared" si="17"/>
        <v>0</v>
      </c>
      <c r="Y75" s="155">
        <f t="shared" si="17"/>
        <v>11.01586565</v>
      </c>
      <c r="Z75" s="476">
        <f t="shared" si="17"/>
        <v>11.32628678</v>
      </c>
      <c r="AA75" s="92">
        <f t="shared" si="17"/>
        <v>16.928630700000003</v>
      </c>
      <c r="AB75" s="92">
        <f t="shared" si="17"/>
        <v>34.17418255</v>
      </c>
      <c r="AC75" s="92">
        <f t="shared" si="17"/>
        <v>44.592422729999996</v>
      </c>
      <c r="AD75" s="109">
        <f t="shared" si="17"/>
        <v>69.65601459999999</v>
      </c>
      <c r="AE75" s="246">
        <f t="shared" si="17"/>
        <v>70.06252638000001</v>
      </c>
      <c r="AF75" s="121">
        <f t="shared" si="17"/>
        <v>72.53467482</v>
      </c>
      <c r="AG75" s="121">
        <f t="shared" si="17"/>
        <v>72.15281723</v>
      </c>
      <c r="AH75" s="214">
        <f t="shared" si="17"/>
        <v>71.79153701</v>
      </c>
      <c r="AI75" s="438">
        <f t="shared" si="17"/>
        <v>70.76672873</v>
      </c>
      <c r="AJ75" s="121">
        <f t="shared" si="17"/>
        <v>71.09575858</v>
      </c>
      <c r="AK75" s="121">
        <f t="shared" si="17"/>
        <v>65.8686416</v>
      </c>
      <c r="AL75" s="214">
        <f t="shared" si="17"/>
        <v>60.957003</v>
      </c>
      <c r="AM75" s="121">
        <f t="shared" si="17"/>
        <v>59.581583390000006</v>
      </c>
      <c r="AN75" s="121">
        <f t="shared" si="17"/>
        <v>59.58158339</v>
      </c>
      <c r="AO75" s="121">
        <f t="shared" si="17"/>
        <v>58.831282529999996</v>
      </c>
      <c r="AP75" s="121">
        <f t="shared" si="17"/>
        <v>58.26686344</v>
      </c>
      <c r="AQ75" s="121">
        <f t="shared" si="17"/>
        <v>57.694896150000005</v>
      </c>
      <c r="AR75" s="121">
        <f t="shared" si="17"/>
        <v>57.31377226</v>
      </c>
      <c r="AS75" s="121">
        <f aca="true" t="shared" si="18" ref="AS75:AX75">+AS76+AS77</f>
        <v>54.48272322</v>
      </c>
      <c r="AT75" s="121">
        <f t="shared" si="18"/>
        <v>53.725317419999996</v>
      </c>
      <c r="AU75" s="121">
        <f t="shared" si="18"/>
        <v>53.95868833</v>
      </c>
      <c r="AV75" s="121">
        <f t="shared" si="18"/>
        <v>52.90807803</v>
      </c>
      <c r="AW75" s="121">
        <f t="shared" si="18"/>
        <v>67.50854636</v>
      </c>
      <c r="AX75" s="214">
        <f t="shared" si="18"/>
        <v>75.481167</v>
      </c>
      <c r="AY75" s="438">
        <f>+AY76+AY77</f>
        <v>74.21988561999999</v>
      </c>
      <c r="AZ75" s="121">
        <f>+AZ76+AZ77</f>
        <v>73.04145808</v>
      </c>
      <c r="BA75" s="214">
        <f>+BA76+BA77</f>
        <v>77.40902133</v>
      </c>
    </row>
    <row r="76" spans="2:53" s="29" customFormat="1" ht="14.25">
      <c r="B76" s="73" t="s">
        <v>64</v>
      </c>
      <c r="C76" s="376">
        <v>0</v>
      </c>
      <c r="D76" s="376">
        <v>0</v>
      </c>
      <c r="E76" s="376">
        <v>0</v>
      </c>
      <c r="F76" s="189">
        <v>0</v>
      </c>
      <c r="G76" s="427">
        <v>0</v>
      </c>
      <c r="H76" s="376">
        <v>0</v>
      </c>
      <c r="I76" s="376">
        <v>0</v>
      </c>
      <c r="J76" s="485">
        <v>0</v>
      </c>
      <c r="K76" s="376">
        <v>0</v>
      </c>
      <c r="L76" s="376">
        <v>0</v>
      </c>
      <c r="M76" s="376">
        <v>0</v>
      </c>
      <c r="N76" s="189">
        <v>0</v>
      </c>
      <c r="O76" s="427">
        <v>0</v>
      </c>
      <c r="P76" s="376">
        <v>0</v>
      </c>
      <c r="Q76" s="376">
        <v>0</v>
      </c>
      <c r="R76" s="485">
        <v>0</v>
      </c>
      <c r="S76" s="376">
        <v>0</v>
      </c>
      <c r="T76" s="376">
        <v>0</v>
      </c>
      <c r="U76" s="376">
        <v>0</v>
      </c>
      <c r="V76" s="189">
        <v>0</v>
      </c>
      <c r="W76" s="427">
        <v>0</v>
      </c>
      <c r="X76" s="376">
        <v>0</v>
      </c>
      <c r="Y76" s="396">
        <v>11.01586565</v>
      </c>
      <c r="Z76" s="488">
        <v>11.32628678</v>
      </c>
      <c r="AA76" s="93">
        <v>16.928630700000003</v>
      </c>
      <c r="AB76" s="93">
        <v>21.79207</v>
      </c>
      <c r="AC76" s="93">
        <v>27.368730369999998</v>
      </c>
      <c r="AD76" s="224">
        <v>36.33574804</v>
      </c>
      <c r="AE76" s="198">
        <v>37.23131742</v>
      </c>
      <c r="AF76" s="125">
        <v>41.99209487</v>
      </c>
      <c r="AG76" s="125">
        <v>42.77557064</v>
      </c>
      <c r="AH76" s="257">
        <v>42.5613868</v>
      </c>
      <c r="AI76" s="441">
        <v>42.836860449999996</v>
      </c>
      <c r="AJ76" s="237">
        <v>43.0360304</v>
      </c>
      <c r="AK76" s="237">
        <v>39.87192652</v>
      </c>
      <c r="AL76" s="265">
        <v>36.89878955</v>
      </c>
      <c r="AM76" s="237">
        <v>36.066213870000006</v>
      </c>
      <c r="AN76" s="237">
        <v>36.06621387</v>
      </c>
      <c r="AO76" s="237">
        <v>35.6120381</v>
      </c>
      <c r="AP76" s="237">
        <v>35.27038119</v>
      </c>
      <c r="AQ76" s="237">
        <v>34.924155170000006</v>
      </c>
      <c r="AR76" s="237">
        <v>34.6934514</v>
      </c>
      <c r="AS76" s="237">
        <v>32.97974703</v>
      </c>
      <c r="AT76" s="237">
        <v>32.52127046</v>
      </c>
      <c r="AU76" s="237">
        <v>32.66253568</v>
      </c>
      <c r="AV76" s="237">
        <v>32.02657514</v>
      </c>
      <c r="AW76" s="237">
        <v>31.18227266</v>
      </c>
      <c r="AX76" s="584">
        <v>29.37363697</v>
      </c>
      <c r="AY76" s="441">
        <v>28.882806969999997</v>
      </c>
      <c r="AZ76" s="237">
        <v>28.42421973</v>
      </c>
      <c r="BA76" s="584">
        <v>30.123865079999998</v>
      </c>
    </row>
    <row r="77" spans="2:53" s="29" customFormat="1" ht="14.25">
      <c r="B77" s="73" t="s">
        <v>65</v>
      </c>
      <c r="C77" s="376">
        <v>0</v>
      </c>
      <c r="D77" s="376">
        <v>0</v>
      </c>
      <c r="E77" s="376">
        <v>0</v>
      </c>
      <c r="F77" s="189">
        <v>0</v>
      </c>
      <c r="G77" s="427">
        <v>0</v>
      </c>
      <c r="H77" s="376">
        <v>0</v>
      </c>
      <c r="I77" s="376">
        <v>0</v>
      </c>
      <c r="J77" s="485">
        <v>0</v>
      </c>
      <c r="K77" s="376">
        <v>0</v>
      </c>
      <c r="L77" s="376">
        <v>0</v>
      </c>
      <c r="M77" s="376">
        <v>0</v>
      </c>
      <c r="N77" s="189">
        <v>0</v>
      </c>
      <c r="O77" s="427">
        <v>0</v>
      </c>
      <c r="P77" s="376">
        <v>0</v>
      </c>
      <c r="Q77" s="376">
        <v>0</v>
      </c>
      <c r="R77" s="485">
        <v>0</v>
      </c>
      <c r="S77" s="376">
        <v>0</v>
      </c>
      <c r="T77" s="376">
        <v>0</v>
      </c>
      <c r="U77" s="376">
        <v>0</v>
      </c>
      <c r="V77" s="189">
        <v>0</v>
      </c>
      <c r="W77" s="427">
        <v>0</v>
      </c>
      <c r="X77" s="376">
        <v>0</v>
      </c>
      <c r="Y77" s="376">
        <v>0</v>
      </c>
      <c r="Z77" s="485">
        <v>0</v>
      </c>
      <c r="AA77" s="179">
        <v>0</v>
      </c>
      <c r="AB77" s="93">
        <v>12.38211255</v>
      </c>
      <c r="AC77" s="93">
        <v>17.22369236</v>
      </c>
      <c r="AD77" s="224">
        <v>33.32026656</v>
      </c>
      <c r="AE77" s="198">
        <v>32.83120896</v>
      </c>
      <c r="AF77" s="125">
        <v>30.54257995</v>
      </c>
      <c r="AG77" s="125">
        <v>29.37724659</v>
      </c>
      <c r="AH77" s="257">
        <v>29.23015021</v>
      </c>
      <c r="AI77" s="441">
        <v>27.92986828</v>
      </c>
      <c r="AJ77" s="237">
        <v>28.05972818</v>
      </c>
      <c r="AK77" s="237">
        <v>25.99671508</v>
      </c>
      <c r="AL77" s="265">
        <v>24.05821345</v>
      </c>
      <c r="AM77" s="237">
        <v>23.51536952</v>
      </c>
      <c r="AN77" s="237">
        <v>23.51536952</v>
      </c>
      <c r="AO77" s="237">
        <v>23.21924443</v>
      </c>
      <c r="AP77" s="237">
        <v>22.99648225</v>
      </c>
      <c r="AQ77" s="237">
        <v>22.77074098</v>
      </c>
      <c r="AR77" s="237">
        <v>22.62032086</v>
      </c>
      <c r="AS77" s="237">
        <v>21.502976190000002</v>
      </c>
      <c r="AT77" s="237">
        <v>21.20404696</v>
      </c>
      <c r="AU77" s="237">
        <v>21.29615265</v>
      </c>
      <c r="AV77" s="237">
        <v>20.88150289</v>
      </c>
      <c r="AW77" s="237">
        <v>36.3262737</v>
      </c>
      <c r="AX77" s="584">
        <v>46.10753003</v>
      </c>
      <c r="AY77" s="441">
        <v>45.337078649999995</v>
      </c>
      <c r="AZ77" s="237">
        <v>44.617238349999994</v>
      </c>
      <c r="BA77" s="584">
        <v>47.28515625</v>
      </c>
    </row>
    <row r="78" spans="1:53" ht="7.5" customHeight="1">
      <c r="A78" s="64"/>
      <c r="B78" s="267"/>
      <c r="C78" s="398"/>
      <c r="D78" s="398"/>
      <c r="E78" s="398"/>
      <c r="F78" s="270"/>
      <c r="G78" s="413"/>
      <c r="H78" s="401"/>
      <c r="I78" s="401"/>
      <c r="J78" s="487"/>
      <c r="K78" s="398"/>
      <c r="L78" s="398"/>
      <c r="M78" s="398"/>
      <c r="N78" s="270"/>
      <c r="O78" s="413"/>
      <c r="P78" s="401"/>
      <c r="Q78" s="401"/>
      <c r="R78" s="487"/>
      <c r="S78" s="398"/>
      <c r="T78" s="398"/>
      <c r="U78" s="398"/>
      <c r="V78" s="270"/>
      <c r="W78" s="412"/>
      <c r="X78" s="402"/>
      <c r="Y78" s="402"/>
      <c r="Z78" s="489"/>
      <c r="AA78" s="268"/>
      <c r="AB78" s="268"/>
      <c r="AC78" s="269"/>
      <c r="AD78" s="270"/>
      <c r="AE78" s="272"/>
      <c r="AF78" s="239"/>
      <c r="AG78" s="239"/>
      <c r="AH78" s="504"/>
      <c r="AI78" s="239"/>
      <c r="AJ78" s="239"/>
      <c r="AK78" s="239"/>
      <c r="AL78" s="259"/>
      <c r="AM78" s="239"/>
      <c r="AN78" s="239"/>
      <c r="AO78" s="239"/>
      <c r="AP78" s="239"/>
      <c r="AQ78" s="239"/>
      <c r="AR78" s="239"/>
      <c r="AS78" s="239"/>
      <c r="AT78" s="239"/>
      <c r="AU78" s="239"/>
      <c r="AV78" s="239"/>
      <c r="AW78" s="239"/>
      <c r="AX78" s="259"/>
      <c r="AY78" s="608"/>
      <c r="AZ78" s="239"/>
      <c r="BA78" s="259"/>
    </row>
    <row r="79" spans="1:55" ht="15" customHeight="1">
      <c r="A79" s="64"/>
      <c r="B79" s="658" t="s">
        <v>38</v>
      </c>
      <c r="C79" s="700">
        <f aca="true" t="shared" si="19" ref="C79:AD79">+C59+C14</f>
        <v>802.86782153</v>
      </c>
      <c r="D79" s="654">
        <f t="shared" si="19"/>
        <v>810.0039333000001</v>
      </c>
      <c r="E79" s="654">
        <f t="shared" si="19"/>
        <v>792.8422169099999</v>
      </c>
      <c r="F79" s="679">
        <f t="shared" si="19"/>
        <v>799.6521314799999</v>
      </c>
      <c r="G79" s="700">
        <f t="shared" si="19"/>
        <v>796.90295694</v>
      </c>
      <c r="H79" s="654">
        <f t="shared" si="19"/>
        <v>779.55914272</v>
      </c>
      <c r="I79" s="654">
        <f t="shared" si="19"/>
        <v>851.20916274</v>
      </c>
      <c r="J79" s="679">
        <f t="shared" si="19"/>
        <v>835.92632592</v>
      </c>
      <c r="K79" s="700">
        <f t="shared" si="19"/>
        <v>877.0189841299998</v>
      </c>
      <c r="L79" s="654">
        <f t="shared" si="19"/>
        <v>839.39059834</v>
      </c>
      <c r="M79" s="654">
        <f t="shared" si="19"/>
        <v>846.7581844499999</v>
      </c>
      <c r="N79" s="679">
        <f t="shared" si="19"/>
        <v>936.3425380300002</v>
      </c>
      <c r="O79" s="700">
        <f t="shared" si="19"/>
        <v>897.9956143300001</v>
      </c>
      <c r="P79" s="654">
        <f t="shared" si="19"/>
        <v>922.3444531700001</v>
      </c>
      <c r="Q79" s="654">
        <f t="shared" si="19"/>
        <v>953.3543929700002</v>
      </c>
      <c r="R79" s="679">
        <f t="shared" si="19"/>
        <v>955.48702339</v>
      </c>
      <c r="S79" s="700">
        <f t="shared" si="19"/>
        <v>1022.29001389</v>
      </c>
      <c r="T79" s="654">
        <f t="shared" si="19"/>
        <v>1162.6213926700002</v>
      </c>
      <c r="U79" s="654">
        <f t="shared" si="19"/>
        <v>1216.61928387</v>
      </c>
      <c r="V79" s="679">
        <f t="shared" si="19"/>
        <v>1302.04219434</v>
      </c>
      <c r="W79" s="700">
        <f t="shared" si="19"/>
        <v>1260.9571044200002</v>
      </c>
      <c r="X79" s="654">
        <f t="shared" si="19"/>
        <v>1250.96245804</v>
      </c>
      <c r="Y79" s="654">
        <f t="shared" si="19"/>
        <v>1292.7024876900002</v>
      </c>
      <c r="Z79" s="702">
        <f t="shared" si="19"/>
        <v>1312.47365665</v>
      </c>
      <c r="AA79" s="654">
        <f t="shared" si="19"/>
        <v>1263.83214488</v>
      </c>
      <c r="AB79" s="654">
        <f t="shared" si="19"/>
        <v>2041.8267532800865</v>
      </c>
      <c r="AC79" s="665">
        <f t="shared" si="19"/>
        <v>2078.357315266297</v>
      </c>
      <c r="AD79" s="679">
        <f t="shared" si="19"/>
        <v>2067.4719554954763</v>
      </c>
      <c r="AE79" s="675">
        <f aca="true" t="shared" si="20" ref="AE79:AW79">+AE14+AE59</f>
        <v>1942.0341114625248</v>
      </c>
      <c r="AF79" s="633">
        <f t="shared" si="20"/>
        <v>1861.2457206686527</v>
      </c>
      <c r="AG79" s="633">
        <f t="shared" si="20"/>
        <v>1837.72411325289</v>
      </c>
      <c r="AH79" s="621">
        <f t="shared" si="20"/>
        <v>1762.792548828712</v>
      </c>
      <c r="AI79" s="633">
        <f t="shared" si="20"/>
        <v>1774.7518461781842</v>
      </c>
      <c r="AJ79" s="633">
        <f t="shared" si="20"/>
        <v>1772.9511832008873</v>
      </c>
      <c r="AK79" s="633">
        <f t="shared" si="20"/>
        <v>1666.7724519569715</v>
      </c>
      <c r="AL79" s="621">
        <f t="shared" si="20"/>
        <v>1587.3599364913048</v>
      </c>
      <c r="AM79" s="633">
        <f t="shared" si="20"/>
        <v>1508.091471006233</v>
      </c>
      <c r="AN79" s="633">
        <f t="shared" si="20"/>
        <v>1494.9111342699998</v>
      </c>
      <c r="AO79" s="633">
        <f t="shared" si="20"/>
        <v>1490.37252278</v>
      </c>
      <c r="AP79" s="633">
        <f t="shared" si="20"/>
        <v>1500.4373858999998</v>
      </c>
      <c r="AQ79" s="633">
        <f t="shared" si="20"/>
        <v>1485.6564505299998</v>
      </c>
      <c r="AR79" s="633">
        <f t="shared" si="20"/>
        <v>1460.0954124</v>
      </c>
      <c r="AS79" s="633">
        <f t="shared" si="20"/>
        <v>1446.22789767</v>
      </c>
      <c r="AT79" s="633">
        <f t="shared" si="20"/>
        <v>1480.1755488099998</v>
      </c>
      <c r="AU79" s="633">
        <f t="shared" si="20"/>
        <v>1457.0702352199999</v>
      </c>
      <c r="AV79" s="633">
        <f t="shared" si="20"/>
        <v>1487.7791396500002</v>
      </c>
      <c r="AW79" s="633">
        <f t="shared" si="20"/>
        <v>1534.8676539100002</v>
      </c>
      <c r="AX79" s="705">
        <f>+AX14+AX59</f>
        <v>1533.3572191600003</v>
      </c>
      <c r="AY79" s="715">
        <f>+AY14+AY59</f>
        <v>1468.6396277500003</v>
      </c>
      <c r="AZ79" s="633">
        <f>+AZ14+AZ59</f>
        <v>1490.83195677</v>
      </c>
      <c r="BA79" s="705">
        <f>+BA14+BA59</f>
        <v>1549.1388711499999</v>
      </c>
      <c r="BB79" s="64"/>
      <c r="BC79" s="64"/>
    </row>
    <row r="80" spans="1:55" ht="15" customHeight="1">
      <c r="A80" s="64"/>
      <c r="B80" s="659"/>
      <c r="C80" s="701"/>
      <c r="D80" s="655"/>
      <c r="E80" s="655"/>
      <c r="F80" s="680"/>
      <c r="G80" s="701"/>
      <c r="H80" s="655"/>
      <c r="I80" s="655"/>
      <c r="J80" s="680"/>
      <c r="K80" s="701"/>
      <c r="L80" s="655"/>
      <c r="M80" s="655"/>
      <c r="N80" s="680"/>
      <c r="O80" s="701"/>
      <c r="P80" s="655"/>
      <c r="Q80" s="655"/>
      <c r="R80" s="680"/>
      <c r="S80" s="701"/>
      <c r="T80" s="655"/>
      <c r="U80" s="655"/>
      <c r="V80" s="680"/>
      <c r="W80" s="701"/>
      <c r="X80" s="655"/>
      <c r="Y80" s="655"/>
      <c r="Z80" s="703"/>
      <c r="AA80" s="655"/>
      <c r="AB80" s="655"/>
      <c r="AC80" s="666"/>
      <c r="AD80" s="680"/>
      <c r="AE80" s="676"/>
      <c r="AF80" s="634"/>
      <c r="AG80" s="634"/>
      <c r="AH80" s="622"/>
      <c r="AI80" s="634"/>
      <c r="AJ80" s="634"/>
      <c r="AK80" s="634"/>
      <c r="AL80" s="622"/>
      <c r="AM80" s="634"/>
      <c r="AN80" s="704"/>
      <c r="AO80" s="704"/>
      <c r="AP80" s="704"/>
      <c r="AQ80" s="704"/>
      <c r="AR80" s="704"/>
      <c r="AS80" s="704"/>
      <c r="AT80" s="704"/>
      <c r="AU80" s="704"/>
      <c r="AV80" s="704"/>
      <c r="AW80" s="704"/>
      <c r="AX80" s="706"/>
      <c r="AY80" s="716"/>
      <c r="AZ80" s="704"/>
      <c r="BA80" s="706"/>
      <c r="BB80" s="64"/>
      <c r="BC80" s="64"/>
    </row>
    <row r="81" spans="1:55" ht="6.75" customHeight="1">
      <c r="A81" s="64"/>
      <c r="B81" s="274"/>
      <c r="C81" s="399"/>
      <c r="D81" s="399"/>
      <c r="E81" s="399"/>
      <c r="F81" s="274"/>
      <c r="G81" s="399"/>
      <c r="H81" s="399"/>
      <c r="I81" s="399"/>
      <c r="J81" s="274"/>
      <c r="K81" s="399"/>
      <c r="L81" s="399"/>
      <c r="M81" s="399"/>
      <c r="N81" s="274"/>
      <c r="O81" s="399"/>
      <c r="P81" s="399"/>
      <c r="Q81" s="399"/>
      <c r="R81" s="274"/>
      <c r="S81" s="399"/>
      <c r="T81" s="399"/>
      <c r="U81" s="399"/>
      <c r="V81" s="274"/>
      <c r="W81" s="399"/>
      <c r="X81" s="399"/>
      <c r="Y81" s="399"/>
      <c r="Z81" s="274"/>
      <c r="AA81" s="274"/>
      <c r="AB81" s="274"/>
      <c r="AC81" s="275"/>
      <c r="AD81" s="275"/>
      <c r="AE81" s="64"/>
      <c r="AF81" s="116"/>
      <c r="AG81" s="116"/>
      <c r="AH81" s="116"/>
      <c r="AI81" s="231"/>
      <c r="AJ81" s="231"/>
      <c r="AK81" s="231"/>
      <c r="AL81" s="231"/>
      <c r="AM81" s="231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</row>
    <row r="82" spans="1:55" ht="15">
      <c r="A82" s="64"/>
      <c r="B82" s="28" t="s">
        <v>82</v>
      </c>
      <c r="C82" s="377"/>
      <c r="D82" s="377"/>
      <c r="E82" s="377"/>
      <c r="F82" s="28"/>
      <c r="G82" s="377"/>
      <c r="H82" s="377"/>
      <c r="I82" s="377"/>
      <c r="J82" s="28"/>
      <c r="K82" s="377"/>
      <c r="L82" s="377"/>
      <c r="M82" s="377"/>
      <c r="N82" s="28"/>
      <c r="O82" s="377"/>
      <c r="P82" s="377"/>
      <c r="Q82" s="377"/>
      <c r="R82" s="28"/>
      <c r="S82" s="377"/>
      <c r="T82" s="377"/>
      <c r="U82" s="377"/>
      <c r="V82" s="28"/>
      <c r="W82" s="377"/>
      <c r="X82" s="377"/>
      <c r="Y82" s="377"/>
      <c r="Z82" s="28"/>
      <c r="AA82" s="28"/>
      <c r="AB82" s="28"/>
      <c r="AC82" s="63"/>
      <c r="AD82" s="63"/>
      <c r="AE82" s="63"/>
      <c r="AF82" s="116"/>
      <c r="AG82" s="116"/>
      <c r="AH82" s="116"/>
      <c r="AI82" s="231"/>
      <c r="AJ82" s="231"/>
      <c r="AK82" s="231"/>
      <c r="AL82" s="231"/>
      <c r="AM82" s="231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</row>
    <row r="83" spans="1:58" ht="15">
      <c r="A83" s="64"/>
      <c r="B83" s="63" t="s">
        <v>137</v>
      </c>
      <c r="C83" s="378"/>
      <c r="D83" s="378"/>
      <c r="E83" s="378"/>
      <c r="F83" s="63"/>
      <c r="G83" s="378"/>
      <c r="H83" s="378"/>
      <c r="I83" s="378"/>
      <c r="J83" s="63"/>
      <c r="K83" s="378"/>
      <c r="L83" s="378"/>
      <c r="M83" s="378"/>
      <c r="N83" s="63"/>
      <c r="O83" s="378"/>
      <c r="P83" s="378"/>
      <c r="Q83" s="378"/>
      <c r="R83" s="63"/>
      <c r="S83" s="378"/>
      <c r="T83" s="378"/>
      <c r="U83" s="378"/>
      <c r="V83" s="63"/>
      <c r="W83" s="378"/>
      <c r="X83" s="378"/>
      <c r="Y83" s="378"/>
      <c r="Z83" s="63"/>
      <c r="AA83" s="518"/>
      <c r="AB83" s="518"/>
      <c r="AC83" s="519"/>
      <c r="AD83" s="519"/>
      <c r="AE83" s="64"/>
      <c r="AF83" s="116"/>
      <c r="AG83" s="116"/>
      <c r="AH83" s="116"/>
      <c r="AI83" s="231"/>
      <c r="AJ83" s="231"/>
      <c r="AK83" s="231"/>
      <c r="AL83" s="231"/>
      <c r="AM83" s="231"/>
      <c r="AN83" s="64"/>
      <c r="AO83" s="516"/>
      <c r="AP83" s="516"/>
      <c r="AQ83" s="516"/>
      <c r="AR83" s="516"/>
      <c r="AS83" s="516"/>
      <c r="AT83" s="605"/>
      <c r="AU83" s="581"/>
      <c r="AV83" s="581"/>
      <c r="AW83" s="581"/>
      <c r="AX83" s="581"/>
      <c r="AY83" s="581"/>
      <c r="AZ83" s="581"/>
      <c r="BA83" s="581"/>
      <c r="BB83" s="64"/>
      <c r="BC83" s="64"/>
      <c r="BD83" s="64"/>
      <c r="BE83" s="64"/>
      <c r="BF83" s="64"/>
    </row>
    <row r="84" spans="1:58" s="133" customFormat="1" ht="15">
      <c r="A84" s="498"/>
      <c r="B84" s="63" t="s">
        <v>138</v>
      </c>
      <c r="C84" s="499"/>
      <c r="D84" s="499"/>
      <c r="E84" s="499"/>
      <c r="F84" s="498"/>
      <c r="G84" s="499"/>
      <c r="H84" s="499"/>
      <c r="I84" s="499"/>
      <c r="J84" s="498"/>
      <c r="K84" s="499"/>
      <c r="L84" s="499"/>
      <c r="M84" s="499"/>
      <c r="N84" s="498"/>
      <c r="O84" s="499"/>
      <c r="P84" s="499"/>
      <c r="Q84" s="499"/>
      <c r="R84" s="498"/>
      <c r="S84" s="499"/>
      <c r="T84" s="499"/>
      <c r="U84" s="499"/>
      <c r="V84" s="498"/>
      <c r="W84" s="499"/>
      <c r="X84" s="499"/>
      <c r="Y84" s="499"/>
      <c r="Z84" s="498"/>
      <c r="AA84" s="520"/>
      <c r="AB84" s="520"/>
      <c r="AC84" s="520"/>
      <c r="AD84" s="520"/>
      <c r="AE84" s="498"/>
      <c r="AF84" s="501"/>
      <c r="AG84" s="501"/>
      <c r="AH84" s="501"/>
      <c r="AI84" s="502"/>
      <c r="AJ84" s="502"/>
      <c r="AK84" s="502"/>
      <c r="AL84" s="502"/>
      <c r="AM84" s="502"/>
      <c r="AN84" s="498"/>
      <c r="AO84" s="589"/>
      <c r="AP84" s="589"/>
      <c r="AQ84" s="589"/>
      <c r="AR84" s="589"/>
      <c r="AS84" s="589"/>
      <c r="AT84" s="589"/>
      <c r="AU84" s="498"/>
      <c r="AV84" s="498"/>
      <c r="AW84" s="498"/>
      <c r="AX84" s="498"/>
      <c r="AY84" s="498"/>
      <c r="AZ84" s="498"/>
      <c r="BA84" s="498"/>
      <c r="BB84" s="498"/>
      <c r="BC84" s="498"/>
      <c r="BD84" s="498"/>
      <c r="BE84" s="498"/>
      <c r="BF84" s="498"/>
    </row>
    <row r="85" spans="1:58" s="133" customFormat="1" ht="15">
      <c r="A85" s="498"/>
      <c r="B85" s="63" t="s">
        <v>139</v>
      </c>
      <c r="C85" s="499"/>
      <c r="D85" s="499"/>
      <c r="E85" s="499"/>
      <c r="F85" s="498"/>
      <c r="G85" s="499"/>
      <c r="H85" s="499"/>
      <c r="I85" s="499"/>
      <c r="J85" s="498"/>
      <c r="K85" s="499"/>
      <c r="L85" s="499"/>
      <c r="M85" s="499"/>
      <c r="N85" s="498"/>
      <c r="O85" s="499"/>
      <c r="P85" s="499"/>
      <c r="Q85" s="499"/>
      <c r="R85" s="498"/>
      <c r="S85" s="499"/>
      <c r="T85" s="499"/>
      <c r="U85" s="499"/>
      <c r="V85" s="498"/>
      <c r="W85" s="499"/>
      <c r="X85" s="499"/>
      <c r="Y85" s="499"/>
      <c r="Z85" s="498"/>
      <c r="AA85" s="520"/>
      <c r="AB85" s="520"/>
      <c r="AC85" s="520"/>
      <c r="AD85" s="520"/>
      <c r="AE85" s="498"/>
      <c r="AF85" s="501"/>
      <c r="AG85" s="501"/>
      <c r="AH85" s="501"/>
      <c r="AI85" s="588"/>
      <c r="AJ85" s="588"/>
      <c r="AK85" s="588"/>
      <c r="AL85" s="588"/>
      <c r="AM85" s="502"/>
      <c r="AN85" s="498"/>
      <c r="AO85" s="589"/>
      <c r="AP85" s="589"/>
      <c r="AQ85" s="589"/>
      <c r="AR85" s="589"/>
      <c r="AS85" s="589"/>
      <c r="AT85" s="589"/>
      <c r="AU85" s="589"/>
      <c r="AV85" s="589"/>
      <c r="AW85" s="589"/>
      <c r="AX85" s="589"/>
      <c r="AY85" s="589"/>
      <c r="AZ85" s="589"/>
      <c r="BA85" s="589"/>
      <c r="BB85" s="589"/>
      <c r="BC85" s="498"/>
      <c r="BD85" s="498"/>
      <c r="BE85" s="498"/>
      <c r="BF85" s="498"/>
    </row>
    <row r="86" spans="1:58" ht="14.25">
      <c r="A86" s="64"/>
      <c r="B86" s="63"/>
      <c r="C86" s="493">
        <v>38777</v>
      </c>
      <c r="D86" s="493">
        <v>38869</v>
      </c>
      <c r="E86" s="493">
        <v>38961</v>
      </c>
      <c r="F86" s="494">
        <v>39052</v>
      </c>
      <c r="G86" s="493">
        <v>39142</v>
      </c>
      <c r="H86" s="493">
        <v>39234</v>
      </c>
      <c r="I86" s="493">
        <v>39326</v>
      </c>
      <c r="J86" s="494">
        <v>39417</v>
      </c>
      <c r="K86" s="493">
        <v>39508</v>
      </c>
      <c r="L86" s="493">
        <v>39600</v>
      </c>
      <c r="M86" s="493">
        <v>39692</v>
      </c>
      <c r="N86" s="494">
        <v>39783</v>
      </c>
      <c r="O86" s="493">
        <v>39873</v>
      </c>
      <c r="P86" s="493">
        <v>39965</v>
      </c>
      <c r="Q86" s="493">
        <v>40057</v>
      </c>
      <c r="R86" s="494">
        <v>40148</v>
      </c>
      <c r="S86" s="493">
        <v>40238</v>
      </c>
      <c r="T86" s="493">
        <v>40330</v>
      </c>
      <c r="U86" s="493">
        <v>40422</v>
      </c>
      <c r="V86" s="494">
        <v>40513</v>
      </c>
      <c r="W86" s="493">
        <v>40603</v>
      </c>
      <c r="X86" s="494">
        <v>40695</v>
      </c>
      <c r="Y86" s="494">
        <v>40787</v>
      </c>
      <c r="Z86" s="494">
        <v>40878</v>
      </c>
      <c r="AA86" s="570">
        <v>40969</v>
      </c>
      <c r="AB86" s="570">
        <v>41061</v>
      </c>
      <c r="AC86" s="570">
        <v>41153</v>
      </c>
      <c r="AD86" s="570">
        <v>41244</v>
      </c>
      <c r="AE86" s="571">
        <v>41334</v>
      </c>
      <c r="AF86" s="571">
        <v>41426</v>
      </c>
      <c r="AG86" s="571">
        <v>41518</v>
      </c>
      <c r="AH86" s="571">
        <v>41609</v>
      </c>
      <c r="AI86" s="571">
        <v>41699</v>
      </c>
      <c r="AJ86" s="571">
        <v>41791</v>
      </c>
      <c r="AK86" s="571">
        <v>41883</v>
      </c>
      <c r="AL86" s="571">
        <v>41974</v>
      </c>
      <c r="AM86" s="595">
        <v>42005</v>
      </c>
      <c r="AN86" s="595">
        <v>42036</v>
      </c>
      <c r="AO86" s="571">
        <v>42064</v>
      </c>
      <c r="AP86" s="571">
        <v>42095</v>
      </c>
      <c r="AQ86" s="571">
        <v>42125</v>
      </c>
      <c r="AR86" s="571">
        <v>42156</v>
      </c>
      <c r="AS86" s="571">
        <v>42186</v>
      </c>
      <c r="AT86" s="571">
        <v>42217</v>
      </c>
      <c r="AU86" s="571">
        <v>42248</v>
      </c>
      <c r="AV86" s="571">
        <v>42278</v>
      </c>
      <c r="AW86" s="571">
        <v>42309</v>
      </c>
      <c r="AX86" s="571">
        <v>42339</v>
      </c>
      <c r="AY86" s="571">
        <v>42370</v>
      </c>
      <c r="AZ86" s="571">
        <v>42401</v>
      </c>
      <c r="BA86" s="571">
        <v>42430</v>
      </c>
      <c r="BB86" s="516"/>
      <c r="BC86" s="64"/>
      <c r="BD86" s="64"/>
      <c r="BE86" s="64"/>
      <c r="BF86" s="64"/>
    </row>
    <row r="87" spans="1:58" ht="14.25">
      <c r="A87" s="64"/>
      <c r="B87" s="63"/>
      <c r="C87" s="495">
        <v>3.358</v>
      </c>
      <c r="D87" s="495">
        <v>3.26</v>
      </c>
      <c r="E87" s="495">
        <v>3.25</v>
      </c>
      <c r="F87" s="495">
        <v>3.197</v>
      </c>
      <c r="G87" s="495">
        <v>3.184</v>
      </c>
      <c r="H87" s="495">
        <v>3.169</v>
      </c>
      <c r="I87" s="495">
        <v>3.087</v>
      </c>
      <c r="J87" s="495">
        <v>2.997</v>
      </c>
      <c r="K87" s="495">
        <v>2.746</v>
      </c>
      <c r="L87" s="495">
        <v>2.967</v>
      </c>
      <c r="M87" s="495">
        <v>2.977</v>
      </c>
      <c r="N87" s="495">
        <v>3.142</v>
      </c>
      <c r="O87" s="495">
        <v>3.161</v>
      </c>
      <c r="P87" s="495">
        <v>3.011</v>
      </c>
      <c r="Q87" s="495">
        <v>2.885</v>
      </c>
      <c r="R87" s="495">
        <v>2.891</v>
      </c>
      <c r="S87" s="495">
        <v>2.842</v>
      </c>
      <c r="T87" s="495">
        <v>2.827</v>
      </c>
      <c r="U87" s="495">
        <v>2.788</v>
      </c>
      <c r="V87" s="495">
        <v>2.809</v>
      </c>
      <c r="W87" s="495">
        <v>2.805</v>
      </c>
      <c r="X87" s="495">
        <v>2.75</v>
      </c>
      <c r="Y87" s="495">
        <v>2.773</v>
      </c>
      <c r="Z87" s="495">
        <v>2.697</v>
      </c>
      <c r="AA87" s="572">
        <v>2.668</v>
      </c>
      <c r="AB87" s="572">
        <v>2.671</v>
      </c>
      <c r="AC87" s="572">
        <v>2.598</v>
      </c>
      <c r="AD87" s="572">
        <v>2.551</v>
      </c>
      <c r="AE87" s="573">
        <v>0.386249517188</v>
      </c>
      <c r="AF87" s="563">
        <v>2.783</v>
      </c>
      <c r="AG87" s="563">
        <v>2.782</v>
      </c>
      <c r="AH87" s="563">
        <v>2.796</v>
      </c>
      <c r="AI87" s="563">
        <v>2.809</v>
      </c>
      <c r="AJ87" s="563">
        <v>2.796</v>
      </c>
      <c r="AK87" s="563">
        <v>2.892</v>
      </c>
      <c r="AL87" s="563">
        <v>2.989</v>
      </c>
      <c r="AM87" s="293">
        <v>3.058</v>
      </c>
      <c r="AN87" s="293">
        <v>3.095</v>
      </c>
      <c r="AO87" s="563">
        <v>3.097</v>
      </c>
      <c r="AP87" s="563">
        <v>3.127</v>
      </c>
      <c r="AQ87" s="563">
        <v>3.158</v>
      </c>
      <c r="AR87" s="563">
        <v>3.179</v>
      </c>
      <c r="AS87" s="563">
        <v>3.192</v>
      </c>
      <c r="AT87" s="563">
        <v>3.237</v>
      </c>
      <c r="AU87" s="563">
        <v>3.223</v>
      </c>
      <c r="AV87" s="563">
        <v>3.287</v>
      </c>
      <c r="AW87" s="563">
        <v>3.376</v>
      </c>
      <c r="AX87" s="563">
        <v>3.413</v>
      </c>
      <c r="AY87" s="563">
        <v>3.471</v>
      </c>
      <c r="AZ87" s="563">
        <v>3.527</v>
      </c>
      <c r="BA87" s="563">
        <v>3.328</v>
      </c>
      <c r="BB87" s="609"/>
      <c r="BC87" s="64"/>
      <c r="BD87" s="64"/>
      <c r="BE87" s="64"/>
      <c r="BF87" s="64"/>
    </row>
    <row r="88" spans="1:58" ht="15">
      <c r="A88" s="516"/>
      <c r="B88" s="517"/>
      <c r="C88" s="496">
        <f aca="true" t="shared" si="21" ref="C88:AD88">+C79*C87</f>
        <v>2696.03014469774</v>
      </c>
      <c r="D88" s="496">
        <f t="shared" si="21"/>
        <v>2640.612822558</v>
      </c>
      <c r="E88" s="496">
        <f t="shared" si="21"/>
        <v>2576.7372049574997</v>
      </c>
      <c r="F88" s="496">
        <f t="shared" si="21"/>
        <v>2556.4878643415595</v>
      </c>
      <c r="G88" s="496">
        <f t="shared" si="21"/>
        <v>2537.33901489696</v>
      </c>
      <c r="H88" s="496">
        <f t="shared" si="21"/>
        <v>2470.4229232796797</v>
      </c>
      <c r="I88" s="496">
        <f t="shared" si="21"/>
        <v>2627.68268537838</v>
      </c>
      <c r="J88" s="496">
        <f t="shared" si="21"/>
        <v>2505.27119878224</v>
      </c>
      <c r="K88" s="496">
        <f t="shared" si="21"/>
        <v>2408.2941304209794</v>
      </c>
      <c r="L88" s="496">
        <f t="shared" si="21"/>
        <v>2490.47190527478</v>
      </c>
      <c r="M88" s="496">
        <f t="shared" si="21"/>
        <v>2520.79911510765</v>
      </c>
      <c r="N88" s="496">
        <f t="shared" si="21"/>
        <v>2941.9882544902607</v>
      </c>
      <c r="O88" s="496">
        <f t="shared" si="21"/>
        <v>2838.56413689713</v>
      </c>
      <c r="P88" s="496">
        <f t="shared" si="21"/>
        <v>2777.1791484948703</v>
      </c>
      <c r="Q88" s="496">
        <f t="shared" si="21"/>
        <v>2750.4274237184504</v>
      </c>
      <c r="R88" s="496">
        <f t="shared" si="21"/>
        <v>2762.31298462049</v>
      </c>
      <c r="S88" s="496">
        <f t="shared" si="21"/>
        <v>2905.34821947538</v>
      </c>
      <c r="T88" s="496">
        <f t="shared" si="21"/>
        <v>3286.7306770780906</v>
      </c>
      <c r="U88" s="496">
        <f t="shared" si="21"/>
        <v>3391.9345634295596</v>
      </c>
      <c r="V88" s="496">
        <f t="shared" si="21"/>
        <v>3657.43652390106</v>
      </c>
      <c r="W88" s="496">
        <f t="shared" si="21"/>
        <v>3536.984677898101</v>
      </c>
      <c r="X88" s="496">
        <f t="shared" si="21"/>
        <v>3440.14675961</v>
      </c>
      <c r="Y88" s="496">
        <f t="shared" si="21"/>
        <v>3584.663998364371</v>
      </c>
      <c r="Z88" s="496">
        <f t="shared" si="21"/>
        <v>3539.7414519850504</v>
      </c>
      <c r="AA88" s="574">
        <f t="shared" si="21"/>
        <v>3371.90416253984</v>
      </c>
      <c r="AB88" s="574">
        <f t="shared" si="21"/>
        <v>5453.7192580111105</v>
      </c>
      <c r="AC88" s="574">
        <f t="shared" si="21"/>
        <v>5399.57230506184</v>
      </c>
      <c r="AD88" s="574">
        <f t="shared" si="21"/>
        <v>5274.12095846896</v>
      </c>
      <c r="AE88" s="575">
        <f>+AE79/AE87</f>
        <v>5027.926314577824</v>
      </c>
      <c r="AF88" s="575">
        <f aca="true" t="shared" si="22" ref="AF88:AR88">+AF79*AF87</f>
        <v>5179.84684062086</v>
      </c>
      <c r="AG88" s="575">
        <f t="shared" si="22"/>
        <v>5112.54848306954</v>
      </c>
      <c r="AH88" s="575">
        <f t="shared" si="22"/>
        <v>4928.767966525078</v>
      </c>
      <c r="AI88" s="575">
        <f t="shared" si="22"/>
        <v>4985.27793591452</v>
      </c>
      <c r="AJ88" s="575">
        <f t="shared" si="22"/>
        <v>4957.1715082296805</v>
      </c>
      <c r="AK88" s="575">
        <f t="shared" si="22"/>
        <v>4820.305931059562</v>
      </c>
      <c r="AL88" s="575">
        <f t="shared" si="22"/>
        <v>4744.61885017251</v>
      </c>
      <c r="AM88" s="596">
        <f t="shared" si="22"/>
        <v>4611.74371833706</v>
      </c>
      <c r="AN88" s="596">
        <f t="shared" si="22"/>
        <v>4626.749960565649</v>
      </c>
      <c r="AO88" s="575">
        <f t="shared" si="22"/>
        <v>4615.68370304966</v>
      </c>
      <c r="AP88" s="575">
        <f t="shared" si="22"/>
        <v>4691.867705709299</v>
      </c>
      <c r="AQ88" s="575">
        <f t="shared" si="22"/>
        <v>4691.7030707737395</v>
      </c>
      <c r="AR88" s="575">
        <f t="shared" si="22"/>
        <v>4641.643316019599</v>
      </c>
      <c r="AS88" s="577">
        <f aca="true" t="shared" si="23" ref="AS88:AX88">+AS79*AS87</f>
        <v>4616.35944936264</v>
      </c>
      <c r="AT88" s="577">
        <f t="shared" si="23"/>
        <v>4791.328251497969</v>
      </c>
      <c r="AU88" s="577">
        <f t="shared" si="23"/>
        <v>4696.137368114059</v>
      </c>
      <c r="AV88" s="577">
        <f t="shared" si="23"/>
        <v>4890.33003202955</v>
      </c>
      <c r="AW88" s="577">
        <f t="shared" si="23"/>
        <v>5181.713199600161</v>
      </c>
      <c r="AX88" s="577">
        <f t="shared" si="23"/>
        <v>5233.348188993081</v>
      </c>
      <c r="AY88" s="577">
        <f>+AY79*AY87</f>
        <v>5097.648147920251</v>
      </c>
      <c r="AZ88" s="577">
        <f>+AZ79*AZ87</f>
        <v>5258.16431152779</v>
      </c>
      <c r="BA88" s="577">
        <f>+BA79*BA87</f>
        <v>5155.5341631872</v>
      </c>
      <c r="BB88" s="516"/>
      <c r="BC88" s="64"/>
      <c r="BD88" s="64"/>
      <c r="BE88" s="64"/>
      <c r="BF88" s="64"/>
    </row>
    <row r="89" spans="1:58" ht="15" customHeight="1">
      <c r="A89" s="516"/>
      <c r="B89" s="517"/>
      <c r="C89" s="497">
        <f aca="true" t="shared" si="24" ref="C89:AW89">+C88-C164</f>
        <v>0</v>
      </c>
      <c r="D89" s="497">
        <f t="shared" si="24"/>
        <v>0</v>
      </c>
      <c r="E89" s="497">
        <f t="shared" si="24"/>
        <v>0</v>
      </c>
      <c r="F89" s="497">
        <f t="shared" si="24"/>
        <v>0</v>
      </c>
      <c r="G89" s="497">
        <f t="shared" si="24"/>
        <v>0</v>
      </c>
      <c r="H89" s="497">
        <f t="shared" si="24"/>
        <v>0</v>
      </c>
      <c r="I89" s="497">
        <f t="shared" si="24"/>
        <v>0</v>
      </c>
      <c r="J89" s="497">
        <f t="shared" si="24"/>
        <v>0</v>
      </c>
      <c r="K89" s="497">
        <f t="shared" si="24"/>
        <v>0</v>
      </c>
      <c r="L89" s="497">
        <f t="shared" si="24"/>
        <v>0</v>
      </c>
      <c r="M89" s="497">
        <f t="shared" si="24"/>
        <v>0</v>
      </c>
      <c r="N89" s="497">
        <f t="shared" si="24"/>
        <v>0</v>
      </c>
      <c r="O89" s="497">
        <f t="shared" si="24"/>
        <v>0</v>
      </c>
      <c r="P89" s="497">
        <f t="shared" si="24"/>
        <v>0</v>
      </c>
      <c r="Q89" s="497">
        <f t="shared" si="24"/>
        <v>0</v>
      </c>
      <c r="R89" s="497">
        <f t="shared" si="24"/>
        <v>0</v>
      </c>
      <c r="S89" s="497">
        <f t="shared" si="24"/>
        <v>0</v>
      </c>
      <c r="T89" s="497">
        <f t="shared" si="24"/>
        <v>0</v>
      </c>
      <c r="U89" s="497">
        <f t="shared" si="24"/>
        <v>0</v>
      </c>
      <c r="V89" s="497">
        <f t="shared" si="24"/>
        <v>0</v>
      </c>
      <c r="W89" s="497">
        <f t="shared" si="24"/>
        <v>0</v>
      </c>
      <c r="X89" s="497">
        <f t="shared" si="24"/>
        <v>0</v>
      </c>
      <c r="Y89" s="497">
        <f t="shared" si="24"/>
        <v>0</v>
      </c>
      <c r="Z89" s="497">
        <f t="shared" si="24"/>
        <v>0</v>
      </c>
      <c r="AA89" s="576">
        <f t="shared" si="24"/>
        <v>0</v>
      </c>
      <c r="AB89" s="576">
        <f t="shared" si="24"/>
        <v>0</v>
      </c>
      <c r="AC89" s="576">
        <f t="shared" si="24"/>
        <v>0</v>
      </c>
      <c r="AD89" s="576">
        <f t="shared" si="24"/>
        <v>0</v>
      </c>
      <c r="AE89" s="577">
        <f t="shared" si="24"/>
        <v>0</v>
      </c>
      <c r="AF89" s="578">
        <f t="shared" si="24"/>
        <v>0</v>
      </c>
      <c r="AG89" s="579">
        <f t="shared" si="24"/>
        <v>0</v>
      </c>
      <c r="AH89" s="579">
        <f t="shared" si="24"/>
        <v>0</v>
      </c>
      <c r="AI89" s="579">
        <f t="shared" si="24"/>
        <v>0</v>
      </c>
      <c r="AJ89" s="579">
        <f t="shared" si="24"/>
        <v>0</v>
      </c>
      <c r="AK89" s="579">
        <f t="shared" si="24"/>
        <v>0</v>
      </c>
      <c r="AL89" s="579">
        <f t="shared" si="24"/>
        <v>0</v>
      </c>
      <c r="AM89" s="603">
        <f t="shared" si="24"/>
        <v>0</v>
      </c>
      <c r="AN89" s="603">
        <f t="shared" si="24"/>
        <v>0</v>
      </c>
      <c r="AO89" s="606">
        <f t="shared" si="24"/>
        <v>0</v>
      </c>
      <c r="AP89" s="606">
        <f t="shared" si="24"/>
        <v>0</v>
      </c>
      <c r="AQ89" s="606">
        <f t="shared" si="24"/>
        <v>0</v>
      </c>
      <c r="AR89" s="606">
        <f t="shared" si="24"/>
        <v>0</v>
      </c>
      <c r="AS89" s="606">
        <f t="shared" si="24"/>
        <v>0</v>
      </c>
      <c r="AT89" s="606">
        <f t="shared" si="24"/>
        <v>0</v>
      </c>
      <c r="AU89" s="606">
        <f t="shared" si="24"/>
        <v>0</v>
      </c>
      <c r="AV89" s="606">
        <f t="shared" si="24"/>
        <v>0</v>
      </c>
      <c r="AW89" s="606">
        <f t="shared" si="24"/>
        <v>0</v>
      </c>
      <c r="AX89" s="606">
        <f>+AX88-AX164</f>
        <v>0</v>
      </c>
      <c r="AY89" s="606">
        <f>+AY88-AY164</f>
        <v>0</v>
      </c>
      <c r="AZ89" s="606">
        <f>+AZ88-AZ164</f>
        <v>0</v>
      </c>
      <c r="BA89" s="606">
        <f>+BA88-BA164</f>
        <v>0</v>
      </c>
      <c r="BB89" s="516"/>
      <c r="BC89" s="64"/>
      <c r="BD89" s="64"/>
      <c r="BE89" s="64"/>
      <c r="BF89" s="64"/>
    </row>
    <row r="90" spans="1:58" ht="18">
      <c r="A90" s="64"/>
      <c r="B90" s="44" t="s">
        <v>84</v>
      </c>
      <c r="C90" s="379"/>
      <c r="D90" s="379"/>
      <c r="E90" s="379"/>
      <c r="F90" s="44"/>
      <c r="G90" s="379"/>
      <c r="H90" s="379"/>
      <c r="I90" s="379"/>
      <c r="J90" s="44"/>
      <c r="K90" s="379"/>
      <c r="L90" s="379"/>
      <c r="M90" s="379"/>
      <c r="N90" s="44"/>
      <c r="O90" s="379"/>
      <c r="P90" s="379"/>
      <c r="Q90" s="379"/>
      <c r="R90" s="44"/>
      <c r="S90" s="379"/>
      <c r="T90" s="379"/>
      <c r="U90" s="379"/>
      <c r="V90" s="44"/>
      <c r="W90" s="379"/>
      <c r="X90" s="379"/>
      <c r="Y90" s="379"/>
      <c r="Z90" s="44"/>
      <c r="AA90" s="44"/>
      <c r="AB90" s="44"/>
      <c r="AC90" s="11"/>
      <c r="AD90" s="11"/>
      <c r="AE90" s="65"/>
      <c r="AF90" s="64"/>
      <c r="AG90" s="213"/>
      <c r="AH90" s="228"/>
      <c r="AI90" s="590"/>
      <c r="AJ90" s="590"/>
      <c r="AK90" s="590"/>
      <c r="AL90" s="591"/>
      <c r="AM90" s="604"/>
      <c r="AN90" s="64"/>
      <c r="AO90" s="516"/>
      <c r="AP90" s="516"/>
      <c r="AQ90" s="516"/>
      <c r="AR90" s="516"/>
      <c r="AS90" s="516"/>
      <c r="AT90" s="516"/>
      <c r="AU90" s="516"/>
      <c r="AV90" s="516"/>
      <c r="AW90" s="516"/>
      <c r="AX90" s="516"/>
      <c r="AY90" s="516"/>
      <c r="AZ90" s="516"/>
      <c r="BA90" s="516"/>
      <c r="BB90" s="516"/>
      <c r="BC90" s="64"/>
      <c r="BD90" s="64"/>
      <c r="BE90" s="64"/>
      <c r="BF90" s="64"/>
    </row>
    <row r="91" spans="1:58" ht="15.75">
      <c r="A91" s="64"/>
      <c r="B91" s="45" t="str">
        <f>+B6</f>
        <v>POR OPERACIONES DE ENDEUDAMIENTO, SECTOR INSTITUCIONAL Y DEUDOR</v>
      </c>
      <c r="C91" s="380"/>
      <c r="D91" s="380"/>
      <c r="E91" s="380"/>
      <c r="F91" s="211"/>
      <c r="G91" s="380"/>
      <c r="H91" s="380"/>
      <c r="I91" s="380"/>
      <c r="J91" s="211"/>
      <c r="K91" s="380"/>
      <c r="L91" s="380"/>
      <c r="M91" s="380"/>
      <c r="N91" s="211"/>
      <c r="O91" s="380"/>
      <c r="P91" s="380"/>
      <c r="Q91" s="380"/>
      <c r="R91" s="211"/>
      <c r="S91" s="380"/>
      <c r="T91" s="380"/>
      <c r="U91" s="380"/>
      <c r="V91" s="211"/>
      <c r="W91" s="380"/>
      <c r="X91" s="380"/>
      <c r="Y91" s="380"/>
      <c r="Z91" s="211"/>
      <c r="AA91" s="211"/>
      <c r="AB91" s="211"/>
      <c r="AC91" s="211"/>
      <c r="AD91" s="211"/>
      <c r="AE91" s="211"/>
      <c r="AF91" s="211"/>
      <c r="AG91" s="64"/>
      <c r="AH91" s="64"/>
      <c r="AI91" s="232"/>
      <c r="AJ91" s="232"/>
      <c r="AK91" s="232"/>
      <c r="AL91" s="232"/>
      <c r="AM91" s="232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</row>
    <row r="92" spans="1:58" ht="16.5">
      <c r="A92" s="64"/>
      <c r="B92" s="54" t="str">
        <f>+B7</f>
        <v>Período: De 2006 al 31 de marzo de 2016</v>
      </c>
      <c r="C92" s="372"/>
      <c r="D92" s="372"/>
      <c r="E92" s="372"/>
      <c r="F92" s="54"/>
      <c r="G92" s="372"/>
      <c r="H92" s="372"/>
      <c r="I92" s="372"/>
      <c r="J92" s="54"/>
      <c r="K92" s="372"/>
      <c r="L92" s="372"/>
      <c r="M92" s="372"/>
      <c r="N92" s="54"/>
      <c r="O92" s="372"/>
      <c r="P92" s="372"/>
      <c r="Q92" s="372"/>
      <c r="R92" s="54"/>
      <c r="S92" s="372"/>
      <c r="T92" s="372"/>
      <c r="U92" s="372"/>
      <c r="V92" s="54"/>
      <c r="W92" s="372"/>
      <c r="X92" s="372"/>
      <c r="Y92" s="372"/>
      <c r="Z92" s="54"/>
      <c r="AA92" s="54"/>
      <c r="AB92" s="54"/>
      <c r="AC92" s="2"/>
      <c r="AD92" s="2"/>
      <c r="AE92" s="65"/>
      <c r="AF92" s="64"/>
      <c r="AG92" s="64"/>
      <c r="AH92" s="64"/>
      <c r="AI92" s="503"/>
      <c r="AJ92" s="503"/>
      <c r="AK92" s="503"/>
      <c r="AL92" s="503"/>
      <c r="AM92" s="503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</row>
    <row r="93" spans="1:55" ht="15">
      <c r="A93" s="64"/>
      <c r="B93" s="55" t="s">
        <v>40</v>
      </c>
      <c r="C93" s="373"/>
      <c r="D93" s="373"/>
      <c r="E93" s="373"/>
      <c r="F93" s="55"/>
      <c r="G93" s="373"/>
      <c r="H93" s="373"/>
      <c r="I93" s="373"/>
      <c r="J93" s="55"/>
      <c r="K93" s="373"/>
      <c r="L93" s="373"/>
      <c r="M93" s="373"/>
      <c r="N93" s="55"/>
      <c r="O93" s="373"/>
      <c r="P93" s="373"/>
      <c r="Q93" s="373"/>
      <c r="R93" s="55"/>
      <c r="S93" s="373"/>
      <c r="T93" s="373"/>
      <c r="U93" s="373"/>
      <c r="V93" s="55"/>
      <c r="W93" s="373"/>
      <c r="X93" s="373"/>
      <c r="Y93" s="373"/>
      <c r="Z93" s="55"/>
      <c r="AA93" s="55"/>
      <c r="AB93" s="55"/>
      <c r="AC93" s="12"/>
      <c r="AD93" s="12"/>
      <c r="AE93" s="66"/>
      <c r="AF93" s="64"/>
      <c r="AG93" s="64"/>
      <c r="AH93" s="64"/>
      <c r="AI93" s="67"/>
      <c r="AJ93" s="67"/>
      <c r="AK93" s="67"/>
      <c r="AL93" s="67"/>
      <c r="AM93" s="67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</row>
    <row r="94" spans="1:53" ht="7.5" customHeight="1">
      <c r="A94" s="64"/>
      <c r="B94" s="1"/>
      <c r="C94" s="381"/>
      <c r="D94" s="381"/>
      <c r="E94" s="381"/>
      <c r="F94" s="1"/>
      <c r="G94" s="381"/>
      <c r="H94" s="381"/>
      <c r="I94" s="381"/>
      <c r="J94" s="1"/>
      <c r="K94" s="381"/>
      <c r="L94" s="381"/>
      <c r="M94" s="381"/>
      <c r="N94" s="1"/>
      <c r="O94" s="381"/>
      <c r="P94" s="381"/>
      <c r="Q94" s="381"/>
      <c r="R94" s="1"/>
      <c r="S94" s="381"/>
      <c r="T94" s="381"/>
      <c r="U94" s="381"/>
      <c r="V94" s="1"/>
      <c r="W94" s="381"/>
      <c r="X94" s="381"/>
      <c r="Y94" s="381"/>
      <c r="Z94" s="1"/>
      <c r="AA94" s="1"/>
      <c r="AB94" s="1"/>
      <c r="AC94" s="1"/>
      <c r="AD94" s="1"/>
      <c r="AE94" s="66"/>
      <c r="AF94" s="64"/>
      <c r="AG94" s="64"/>
      <c r="AH94" s="64"/>
      <c r="AI94" s="67"/>
      <c r="AJ94" s="67"/>
      <c r="AK94" s="67"/>
      <c r="AL94" s="67"/>
      <c r="AM94" s="67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</row>
    <row r="95" spans="2:53" ht="19.5" customHeight="1">
      <c r="B95" s="649" t="s">
        <v>87</v>
      </c>
      <c r="C95" s="691">
        <v>2006</v>
      </c>
      <c r="D95" s="692"/>
      <c r="E95" s="692"/>
      <c r="F95" s="693"/>
      <c r="G95" s="691">
        <v>2007</v>
      </c>
      <c r="H95" s="692"/>
      <c r="I95" s="692"/>
      <c r="J95" s="693"/>
      <c r="K95" s="691">
        <v>2008</v>
      </c>
      <c r="L95" s="692"/>
      <c r="M95" s="692"/>
      <c r="N95" s="693"/>
      <c r="O95" s="691">
        <v>2009</v>
      </c>
      <c r="P95" s="692"/>
      <c r="Q95" s="692"/>
      <c r="R95" s="693"/>
      <c r="S95" s="691">
        <v>2010</v>
      </c>
      <c r="T95" s="692"/>
      <c r="U95" s="692"/>
      <c r="V95" s="693"/>
      <c r="W95" s="667">
        <v>2011</v>
      </c>
      <c r="X95" s="668"/>
      <c r="Y95" s="668"/>
      <c r="Z95" s="669"/>
      <c r="AA95" s="667">
        <v>2012</v>
      </c>
      <c r="AB95" s="668"/>
      <c r="AC95" s="668"/>
      <c r="AD95" s="669"/>
      <c r="AE95" s="629">
        <v>2013</v>
      </c>
      <c r="AF95" s="629"/>
      <c r="AG95" s="629"/>
      <c r="AH95" s="630"/>
      <c r="AI95" s="629">
        <v>2014</v>
      </c>
      <c r="AJ95" s="629"/>
      <c r="AK95" s="629"/>
      <c r="AL95" s="630"/>
      <c r="AM95" s="628">
        <v>2015</v>
      </c>
      <c r="AN95" s="629"/>
      <c r="AO95" s="629"/>
      <c r="AP95" s="629"/>
      <c r="AQ95" s="629"/>
      <c r="AR95" s="629"/>
      <c r="AS95" s="629"/>
      <c r="AT95" s="629"/>
      <c r="AU95" s="629"/>
      <c r="AV95" s="629"/>
      <c r="AW95" s="629"/>
      <c r="AX95" s="630"/>
      <c r="AY95" s="625">
        <v>2016</v>
      </c>
      <c r="AZ95" s="626"/>
      <c r="BA95" s="627"/>
    </row>
    <row r="96" spans="2:53" ht="13.5" customHeight="1">
      <c r="B96" s="650"/>
      <c r="C96" s="689" t="s">
        <v>35</v>
      </c>
      <c r="D96" s="689" t="s">
        <v>74</v>
      </c>
      <c r="E96" s="639" t="s">
        <v>77</v>
      </c>
      <c r="F96" s="690" t="s">
        <v>80</v>
      </c>
      <c r="G96" s="689" t="s">
        <v>35</v>
      </c>
      <c r="H96" s="689" t="s">
        <v>74</v>
      </c>
      <c r="I96" s="639" t="s">
        <v>77</v>
      </c>
      <c r="J96" s="690" t="s">
        <v>80</v>
      </c>
      <c r="K96" s="689" t="s">
        <v>35</v>
      </c>
      <c r="L96" s="689" t="s">
        <v>74</v>
      </c>
      <c r="M96" s="639" t="s">
        <v>77</v>
      </c>
      <c r="N96" s="690" t="s">
        <v>80</v>
      </c>
      <c r="O96" s="697" t="s">
        <v>35</v>
      </c>
      <c r="P96" s="689" t="s">
        <v>74</v>
      </c>
      <c r="Q96" s="639" t="s">
        <v>77</v>
      </c>
      <c r="R96" s="690" t="s">
        <v>80</v>
      </c>
      <c r="S96" s="699" t="s">
        <v>35</v>
      </c>
      <c r="T96" s="663" t="s">
        <v>74</v>
      </c>
      <c r="U96" s="639" t="s">
        <v>77</v>
      </c>
      <c r="V96" s="690" t="s">
        <v>80</v>
      </c>
      <c r="W96" s="663" t="s">
        <v>35</v>
      </c>
      <c r="X96" s="663" t="s">
        <v>74</v>
      </c>
      <c r="Y96" s="641" t="s">
        <v>77</v>
      </c>
      <c r="Z96" s="638" t="s">
        <v>80</v>
      </c>
      <c r="AA96" s="663" t="s">
        <v>35</v>
      </c>
      <c r="AB96" s="663" t="s">
        <v>74</v>
      </c>
      <c r="AC96" s="641" t="s">
        <v>77</v>
      </c>
      <c r="AD96" s="646" t="s">
        <v>80</v>
      </c>
      <c r="AE96" s="641" t="s">
        <v>35</v>
      </c>
      <c r="AF96" s="631" t="s">
        <v>74</v>
      </c>
      <c r="AG96" s="631" t="s">
        <v>77</v>
      </c>
      <c r="AH96" s="638" t="s">
        <v>80</v>
      </c>
      <c r="AI96" s="637" t="s">
        <v>35</v>
      </c>
      <c r="AJ96" s="637" t="s">
        <v>74</v>
      </c>
      <c r="AK96" s="637" t="s">
        <v>77</v>
      </c>
      <c r="AL96" s="619" t="s">
        <v>80</v>
      </c>
      <c r="AM96" s="637" t="s">
        <v>33</v>
      </c>
      <c r="AN96" s="637" t="s">
        <v>34</v>
      </c>
      <c r="AO96" s="637" t="s">
        <v>35</v>
      </c>
      <c r="AP96" s="637" t="s">
        <v>36</v>
      </c>
      <c r="AQ96" s="637" t="s">
        <v>37</v>
      </c>
      <c r="AR96" s="637" t="s">
        <v>74</v>
      </c>
      <c r="AS96" s="637" t="s">
        <v>75</v>
      </c>
      <c r="AT96" s="637" t="s">
        <v>76</v>
      </c>
      <c r="AU96" s="637" t="s">
        <v>77</v>
      </c>
      <c r="AV96" s="637" t="s">
        <v>78</v>
      </c>
      <c r="AW96" s="631" t="s">
        <v>79</v>
      </c>
      <c r="AX96" s="619" t="s">
        <v>80</v>
      </c>
      <c r="AY96" s="637" t="s">
        <v>33</v>
      </c>
      <c r="AZ96" s="637" t="s">
        <v>34</v>
      </c>
      <c r="BA96" s="619" t="s">
        <v>35</v>
      </c>
    </row>
    <row r="97" spans="2:53" ht="11.25" customHeight="1">
      <c r="B97" s="651"/>
      <c r="C97" s="664"/>
      <c r="D97" s="664"/>
      <c r="E97" s="640"/>
      <c r="F97" s="660"/>
      <c r="G97" s="664"/>
      <c r="H97" s="664"/>
      <c r="I97" s="640"/>
      <c r="J97" s="660"/>
      <c r="K97" s="664"/>
      <c r="L97" s="664"/>
      <c r="M97" s="640"/>
      <c r="N97" s="660"/>
      <c r="O97" s="698"/>
      <c r="P97" s="664"/>
      <c r="Q97" s="640"/>
      <c r="R97" s="660"/>
      <c r="S97" s="698"/>
      <c r="T97" s="664"/>
      <c r="U97" s="640"/>
      <c r="V97" s="660"/>
      <c r="W97" s="664"/>
      <c r="X97" s="664"/>
      <c r="Y97" s="640"/>
      <c r="Z97" s="660"/>
      <c r="AA97" s="664"/>
      <c r="AB97" s="664"/>
      <c r="AC97" s="640"/>
      <c r="AD97" s="620"/>
      <c r="AE97" s="640"/>
      <c r="AF97" s="632"/>
      <c r="AG97" s="632"/>
      <c r="AH97" s="620"/>
      <c r="AI97" s="632"/>
      <c r="AJ97" s="632"/>
      <c r="AK97" s="632"/>
      <c r="AL97" s="620"/>
      <c r="AM97" s="632"/>
      <c r="AN97" s="632"/>
      <c r="AO97" s="632"/>
      <c r="AP97" s="632"/>
      <c r="AQ97" s="632"/>
      <c r="AR97" s="632"/>
      <c r="AS97" s="632"/>
      <c r="AT97" s="632"/>
      <c r="AU97" s="632"/>
      <c r="AV97" s="632"/>
      <c r="AW97" s="632"/>
      <c r="AX97" s="620"/>
      <c r="AY97" s="632"/>
      <c r="AZ97" s="632"/>
      <c r="BA97" s="620"/>
    </row>
    <row r="98" spans="2:53" ht="11.25" customHeight="1">
      <c r="B98" s="103"/>
      <c r="C98" s="132"/>
      <c r="D98" s="568"/>
      <c r="E98" s="568"/>
      <c r="F98" s="171"/>
      <c r="G98" s="132"/>
      <c r="H98" s="568"/>
      <c r="I98" s="130"/>
      <c r="J98" s="569"/>
      <c r="K98" s="132"/>
      <c r="L98" s="568"/>
      <c r="M98" s="568"/>
      <c r="N98" s="171"/>
      <c r="O98" s="132"/>
      <c r="P98" s="568"/>
      <c r="Q98" s="130"/>
      <c r="R98" s="569"/>
      <c r="S98" s="132"/>
      <c r="T98" s="568"/>
      <c r="U98" s="568"/>
      <c r="V98" s="171"/>
      <c r="W98" s="132"/>
      <c r="X98" s="568"/>
      <c r="Y98" s="568"/>
      <c r="Z98" s="171"/>
      <c r="AA98" s="130"/>
      <c r="AB98" s="130"/>
      <c r="AC98" s="130"/>
      <c r="AD98" s="171"/>
      <c r="AE98" s="130"/>
      <c r="AF98" s="131"/>
      <c r="AG98" s="131"/>
      <c r="AH98" s="171"/>
      <c r="AI98" s="567"/>
      <c r="AJ98" s="567"/>
      <c r="AK98" s="567"/>
      <c r="AL98" s="569"/>
      <c r="AM98" s="602"/>
      <c r="AN98" s="560"/>
      <c r="AO98" s="560"/>
      <c r="AP98" s="560"/>
      <c r="AQ98" s="560"/>
      <c r="AR98" s="560"/>
      <c r="AS98" s="560"/>
      <c r="AT98" s="560"/>
      <c r="AU98" s="560"/>
      <c r="AV98" s="560"/>
      <c r="AW98" s="560"/>
      <c r="AX98" s="558"/>
      <c r="AY98" s="560"/>
      <c r="AZ98" s="560"/>
      <c r="BA98" s="558"/>
    </row>
    <row r="99" spans="2:53" s="29" customFormat="1" ht="16.5">
      <c r="B99" s="221" t="s">
        <v>89</v>
      </c>
      <c r="C99" s="446">
        <f aca="true" t="shared" si="25" ref="C99:AT99">+C101+C109+C112+C141</f>
        <v>2696.0301446977405</v>
      </c>
      <c r="D99" s="298">
        <f t="shared" si="25"/>
        <v>2640.6128225580005</v>
      </c>
      <c r="E99" s="298">
        <f t="shared" si="25"/>
        <v>2576.7372049574997</v>
      </c>
      <c r="F99" s="241">
        <f t="shared" si="25"/>
        <v>2556.4878643415595</v>
      </c>
      <c r="G99" s="446">
        <f t="shared" si="25"/>
        <v>2537.33901489696</v>
      </c>
      <c r="H99" s="298">
        <f t="shared" si="25"/>
        <v>2470.4229232796797</v>
      </c>
      <c r="I99" s="298">
        <f t="shared" si="25"/>
        <v>2627.6826853783805</v>
      </c>
      <c r="J99" s="241">
        <f t="shared" si="25"/>
        <v>2505.27119878224</v>
      </c>
      <c r="K99" s="446">
        <f t="shared" si="25"/>
        <v>2408.2941304209794</v>
      </c>
      <c r="L99" s="298">
        <f t="shared" si="25"/>
        <v>2490.47190527478</v>
      </c>
      <c r="M99" s="298">
        <f t="shared" si="25"/>
        <v>2520.79911510765</v>
      </c>
      <c r="N99" s="241">
        <f t="shared" si="25"/>
        <v>2941.9882544902594</v>
      </c>
      <c r="O99" s="446">
        <f t="shared" si="25"/>
        <v>2838.5641368971305</v>
      </c>
      <c r="P99" s="298">
        <f t="shared" si="25"/>
        <v>2777.1791484948703</v>
      </c>
      <c r="Q99" s="298">
        <f t="shared" si="25"/>
        <v>2750.42742371845</v>
      </c>
      <c r="R99" s="241">
        <f t="shared" si="25"/>
        <v>2762.31298462049</v>
      </c>
      <c r="S99" s="446">
        <f t="shared" si="25"/>
        <v>2905.34821947538</v>
      </c>
      <c r="T99" s="298">
        <f t="shared" si="25"/>
        <v>3286.7306770780897</v>
      </c>
      <c r="U99" s="298">
        <f t="shared" si="25"/>
        <v>3391.934563429559</v>
      </c>
      <c r="V99" s="241">
        <f t="shared" si="25"/>
        <v>3657.4365239010613</v>
      </c>
      <c r="W99" s="446">
        <f t="shared" si="25"/>
        <v>3536.9846778981</v>
      </c>
      <c r="X99" s="298">
        <f t="shared" si="25"/>
        <v>3440.1467596099988</v>
      </c>
      <c r="Y99" s="298">
        <f t="shared" si="25"/>
        <v>3554.1170029169202</v>
      </c>
      <c r="Z99" s="241">
        <f t="shared" si="25"/>
        <v>3509.194456539391</v>
      </c>
      <c r="AA99" s="298">
        <f t="shared" si="25"/>
        <v>3326.73857583224</v>
      </c>
      <c r="AB99" s="298">
        <f t="shared" si="25"/>
        <v>3789.5913589300585</v>
      </c>
      <c r="AC99" s="298">
        <f t="shared" si="25"/>
        <v>3702.3127006592995</v>
      </c>
      <c r="AD99" s="241">
        <f t="shared" si="25"/>
        <v>3485.5954475643593</v>
      </c>
      <c r="AE99" s="300">
        <f t="shared" si="25"/>
        <v>3267.835788919955</v>
      </c>
      <c r="AF99" s="240">
        <f t="shared" si="25"/>
        <v>3432.945214146799</v>
      </c>
      <c r="AG99" s="240">
        <f t="shared" si="25"/>
        <v>3360.2437000886002</v>
      </c>
      <c r="AH99" s="241">
        <f t="shared" si="25"/>
        <v>3196.2768942211187</v>
      </c>
      <c r="AI99" s="240">
        <f t="shared" si="25"/>
        <v>3258.22052827942</v>
      </c>
      <c r="AJ99" s="240">
        <f t="shared" si="25"/>
        <v>3237.1110130035604</v>
      </c>
      <c r="AK99" s="240">
        <f t="shared" si="25"/>
        <v>3108.227110059961</v>
      </c>
      <c r="AL99" s="241">
        <f t="shared" si="25"/>
        <v>3016.0819916018395</v>
      </c>
      <c r="AM99" s="240">
        <f t="shared" si="25"/>
        <v>2802.0350402605004</v>
      </c>
      <c r="AN99" s="240">
        <f t="shared" si="25"/>
        <v>2812.5135249314494</v>
      </c>
      <c r="AO99" s="240">
        <f t="shared" si="25"/>
        <v>2837.2386771428296</v>
      </c>
      <c r="AP99" s="240">
        <f t="shared" si="25"/>
        <v>2811.93682394091</v>
      </c>
      <c r="AQ99" s="240">
        <f t="shared" si="25"/>
        <v>2797.6174643755403</v>
      </c>
      <c r="AR99" s="240">
        <f t="shared" si="25"/>
        <v>2853.9988608424696</v>
      </c>
      <c r="AS99" s="240">
        <f t="shared" si="25"/>
        <v>2860.5018973524006</v>
      </c>
      <c r="AT99" s="240">
        <f t="shared" si="25"/>
        <v>2998.79771703954</v>
      </c>
      <c r="AU99" s="240">
        <f aca="true" t="shared" si="26" ref="AU99:AZ99">+AU101+AU109+AU112+AU141</f>
        <v>2927.0139676234594</v>
      </c>
      <c r="AV99" s="240">
        <f t="shared" si="26"/>
        <v>3112.797359728491</v>
      </c>
      <c r="AW99" s="240">
        <f t="shared" si="26"/>
        <v>3336.2613952812803</v>
      </c>
      <c r="AX99" s="582">
        <f t="shared" si="26"/>
        <v>3327.366439850971</v>
      </c>
      <c r="AY99" s="240">
        <f t="shared" si="26"/>
        <v>3487.97382706734</v>
      </c>
      <c r="AZ99" s="240">
        <f t="shared" si="26"/>
        <v>3639.0276919738094</v>
      </c>
      <c r="BA99" s="582">
        <f>+BA101+BA109+BA112+BA141</f>
        <v>3556.0573255833606</v>
      </c>
    </row>
    <row r="100" spans="2:53" s="29" customFormat="1" ht="10.5" customHeight="1">
      <c r="B100" s="50"/>
      <c r="C100" s="447"/>
      <c r="D100" s="302"/>
      <c r="E100" s="302"/>
      <c r="F100" s="455"/>
      <c r="G100" s="447"/>
      <c r="H100" s="302"/>
      <c r="I100" s="302"/>
      <c r="J100" s="455"/>
      <c r="K100" s="447"/>
      <c r="L100" s="302"/>
      <c r="M100" s="302"/>
      <c r="N100" s="455"/>
      <c r="O100" s="447"/>
      <c r="P100" s="302"/>
      <c r="Q100" s="302"/>
      <c r="R100" s="455"/>
      <c r="S100" s="447"/>
      <c r="T100" s="302"/>
      <c r="U100" s="302"/>
      <c r="V100" s="455"/>
      <c r="W100" s="447"/>
      <c r="X100" s="302"/>
      <c r="Y100" s="302"/>
      <c r="Z100" s="455"/>
      <c r="AA100" s="302"/>
      <c r="AB100" s="302"/>
      <c r="AC100" s="298"/>
      <c r="AD100" s="241"/>
      <c r="AE100" s="300"/>
      <c r="AF100" s="240"/>
      <c r="AG100" s="240"/>
      <c r="AH100" s="241"/>
      <c r="AI100" s="240"/>
      <c r="AJ100" s="240"/>
      <c r="AK100" s="240"/>
      <c r="AL100" s="241"/>
      <c r="AM100" s="240"/>
      <c r="AN100" s="240"/>
      <c r="AO100" s="240"/>
      <c r="AP100" s="240"/>
      <c r="AQ100" s="240"/>
      <c r="AR100" s="240"/>
      <c r="AS100" s="240"/>
      <c r="AT100" s="240"/>
      <c r="AU100" s="240"/>
      <c r="AV100" s="240"/>
      <c r="AW100" s="240"/>
      <c r="AX100" s="582"/>
      <c r="AY100" s="240"/>
      <c r="AZ100" s="240"/>
      <c r="BA100" s="582"/>
    </row>
    <row r="101" spans="2:53" s="29" customFormat="1" ht="15.75">
      <c r="B101" s="85" t="s">
        <v>101</v>
      </c>
      <c r="C101" s="452">
        <f aca="true" t="shared" si="27" ref="C101:Y101">SUM(C102:C107)</f>
        <v>0</v>
      </c>
      <c r="D101" s="453">
        <f t="shared" si="27"/>
        <v>0</v>
      </c>
      <c r="E101" s="453">
        <f t="shared" si="27"/>
        <v>0</v>
      </c>
      <c r="F101" s="456">
        <f t="shared" si="27"/>
        <v>0</v>
      </c>
      <c r="G101" s="452">
        <f t="shared" si="27"/>
        <v>0</v>
      </c>
      <c r="H101" s="453">
        <f t="shared" si="27"/>
        <v>0</v>
      </c>
      <c r="I101" s="453">
        <f t="shared" si="27"/>
        <v>0</v>
      </c>
      <c r="J101" s="490">
        <f t="shared" si="27"/>
        <v>0.6285489718499999</v>
      </c>
      <c r="K101" s="491">
        <f t="shared" si="27"/>
        <v>0.8483528372600001</v>
      </c>
      <c r="L101" s="304">
        <f t="shared" si="27"/>
        <v>1.12992895938</v>
      </c>
      <c r="M101" s="304">
        <f t="shared" si="27"/>
        <v>2.19968484801</v>
      </c>
      <c r="N101" s="243">
        <f t="shared" si="27"/>
        <v>2.29899832084</v>
      </c>
      <c r="O101" s="448">
        <f t="shared" si="27"/>
        <v>2.20318140714</v>
      </c>
      <c r="P101" s="304">
        <f t="shared" si="27"/>
        <v>10.32874645338</v>
      </c>
      <c r="Q101" s="304">
        <f t="shared" si="27"/>
        <v>20.447647008699995</v>
      </c>
      <c r="R101" s="243">
        <f t="shared" si="27"/>
        <v>25.61794004063</v>
      </c>
      <c r="S101" s="448">
        <f t="shared" si="27"/>
        <v>31.432355419780002</v>
      </c>
      <c r="T101" s="304">
        <f t="shared" si="27"/>
        <v>40.28399343826</v>
      </c>
      <c r="U101" s="304">
        <f t="shared" si="27"/>
        <v>173.25233050979998</v>
      </c>
      <c r="V101" s="243">
        <f t="shared" si="27"/>
        <v>229.4932252726</v>
      </c>
      <c r="W101" s="448">
        <f t="shared" si="27"/>
        <v>306.0707894739</v>
      </c>
      <c r="X101" s="304">
        <f t="shared" si="27"/>
        <v>341.183464875</v>
      </c>
      <c r="Y101" s="304">
        <f t="shared" si="27"/>
        <v>416.78076864372997</v>
      </c>
      <c r="Z101" s="243">
        <f aca="true" t="shared" si="28" ref="Z101:AN101">+Z102+Z103+Z107+Z106</f>
        <v>458.6817310785001</v>
      </c>
      <c r="AA101" s="304">
        <f t="shared" si="28"/>
        <v>460.75266776328</v>
      </c>
      <c r="AB101" s="304">
        <f t="shared" si="28"/>
        <v>500.25430504479</v>
      </c>
      <c r="AC101" s="304">
        <f t="shared" si="28"/>
        <v>516.77406231366</v>
      </c>
      <c r="AD101" s="243">
        <f t="shared" si="28"/>
        <v>510.01402350313</v>
      </c>
      <c r="AE101" s="306">
        <f t="shared" si="28"/>
        <v>473.0835208295167</v>
      </c>
      <c r="AF101" s="242">
        <f t="shared" si="28"/>
        <v>494.43696941033994</v>
      </c>
      <c r="AG101" s="242">
        <f t="shared" si="28"/>
        <v>501.79506282437995</v>
      </c>
      <c r="AH101" s="243">
        <f t="shared" si="28"/>
        <v>462.00484473504</v>
      </c>
      <c r="AI101" s="242">
        <f t="shared" si="28"/>
        <v>465.93435468502</v>
      </c>
      <c r="AJ101" s="242">
        <f t="shared" si="28"/>
        <v>460.0200414207599</v>
      </c>
      <c r="AK101" s="242">
        <f t="shared" si="28"/>
        <v>434.36424805584</v>
      </c>
      <c r="AL101" s="243">
        <f t="shared" si="28"/>
        <v>401.09134956281997</v>
      </c>
      <c r="AM101" s="242">
        <f t="shared" si="28"/>
        <v>441.96681081322004</v>
      </c>
      <c r="AN101" s="242">
        <f t="shared" si="28"/>
        <v>441.89988009129996</v>
      </c>
      <c r="AO101" s="242">
        <f aca="true" t="shared" si="29" ref="AO101:AT101">SUM(AO102:AO107)</f>
        <v>500.31076332940995</v>
      </c>
      <c r="AP101" s="242">
        <f t="shared" si="29"/>
        <v>490.94278035538</v>
      </c>
      <c r="AQ101" s="242">
        <f t="shared" si="29"/>
        <v>518.7799687208</v>
      </c>
      <c r="AR101" s="242">
        <f t="shared" si="29"/>
        <v>524.85772937785</v>
      </c>
      <c r="AS101" s="242">
        <f t="shared" si="29"/>
        <v>525.1266315540001</v>
      </c>
      <c r="AT101" s="242">
        <f t="shared" si="29"/>
        <v>601.6101099457801</v>
      </c>
      <c r="AU101" s="242">
        <f aca="true" t="shared" si="30" ref="AU101:AZ101">SUM(AU102:AU107)</f>
        <v>587.4660607127399</v>
      </c>
      <c r="AV101" s="242">
        <f t="shared" si="30"/>
        <v>700.60283698393</v>
      </c>
      <c r="AW101" s="242">
        <f t="shared" si="30"/>
        <v>850.9249297932802</v>
      </c>
      <c r="AX101" s="583">
        <f t="shared" si="30"/>
        <v>834.6723500381502</v>
      </c>
      <c r="AY101" s="242">
        <f t="shared" si="30"/>
        <v>868.417483713</v>
      </c>
      <c r="AZ101" s="242">
        <f t="shared" si="30"/>
        <v>904.2582461302102</v>
      </c>
      <c r="BA101" s="583">
        <f>SUM(BA102:BA107)</f>
        <v>979.1705381785599</v>
      </c>
    </row>
    <row r="102" spans="2:53" s="29" customFormat="1" ht="14.25">
      <c r="B102" s="74" t="s">
        <v>61</v>
      </c>
      <c r="C102" s="454">
        <f aca="true" t="shared" si="31" ref="C102:Y102">+C17*C87</f>
        <v>0</v>
      </c>
      <c r="D102" s="311">
        <f t="shared" si="31"/>
        <v>0</v>
      </c>
      <c r="E102" s="311">
        <f t="shared" si="31"/>
        <v>0</v>
      </c>
      <c r="F102" s="457">
        <f t="shared" si="31"/>
        <v>0</v>
      </c>
      <c r="G102" s="454">
        <f t="shared" si="31"/>
        <v>0</v>
      </c>
      <c r="H102" s="311">
        <f t="shared" si="31"/>
        <v>0</v>
      </c>
      <c r="I102" s="311">
        <f t="shared" si="31"/>
        <v>0</v>
      </c>
      <c r="J102" s="457">
        <f t="shared" si="31"/>
        <v>0</v>
      </c>
      <c r="K102" s="454">
        <f t="shared" si="31"/>
        <v>0</v>
      </c>
      <c r="L102" s="311">
        <f t="shared" si="31"/>
        <v>0</v>
      </c>
      <c r="M102" s="311">
        <f t="shared" si="31"/>
        <v>0</v>
      </c>
      <c r="N102" s="457">
        <f t="shared" si="31"/>
        <v>0</v>
      </c>
      <c r="O102" s="454">
        <f t="shared" si="31"/>
        <v>0</v>
      </c>
      <c r="P102" s="311">
        <f t="shared" si="31"/>
        <v>0</v>
      </c>
      <c r="Q102" s="308">
        <f t="shared" si="31"/>
        <v>5.6340018501</v>
      </c>
      <c r="R102" s="279">
        <f t="shared" si="31"/>
        <v>9.50911591049</v>
      </c>
      <c r="S102" s="449">
        <f t="shared" si="31"/>
        <v>13.508255576760002</v>
      </c>
      <c r="T102" s="308">
        <f t="shared" si="31"/>
        <v>20.435252765399998</v>
      </c>
      <c r="U102" s="308">
        <f t="shared" si="31"/>
        <v>63.352995913479994</v>
      </c>
      <c r="V102" s="279">
        <f t="shared" si="31"/>
        <v>94.91521847958</v>
      </c>
      <c r="W102" s="449">
        <f t="shared" si="31"/>
        <v>128.4633648672</v>
      </c>
      <c r="X102" s="308">
        <f t="shared" si="31"/>
        <v>151.160069555</v>
      </c>
      <c r="Y102" s="308">
        <f t="shared" si="31"/>
        <v>194.58938548076</v>
      </c>
      <c r="Z102" s="279">
        <f>+Z17*$Z$87</f>
        <v>226.21110920748004</v>
      </c>
      <c r="AA102" s="308">
        <f>+AA17*$AA$87</f>
        <v>230.12598927856</v>
      </c>
      <c r="AB102" s="308">
        <f>+AB17*$AB$87</f>
        <v>254.63051422610002</v>
      </c>
      <c r="AC102" s="308">
        <f>+AC17*$AC$87</f>
        <v>267.28561565934</v>
      </c>
      <c r="AD102" s="279">
        <f>+AD17*$AD$87</f>
        <v>264.21303773287</v>
      </c>
      <c r="AE102" s="269">
        <f>+AE17/$AE$87</f>
        <v>243.34987138443523</v>
      </c>
      <c r="AF102" s="237">
        <f>+AF17*$AF$87</f>
        <v>254.41593393546</v>
      </c>
      <c r="AG102" s="237">
        <f>+AG17*$AG$87</f>
        <v>254.4159339202</v>
      </c>
      <c r="AH102" s="265">
        <f>+AH17*$AH$87</f>
        <v>236.90301540564005</v>
      </c>
      <c r="AI102" s="237">
        <f>+AI17*$AI$87</f>
        <v>233.45578817335002</v>
      </c>
      <c r="AJ102" s="237">
        <f>+AJ17*$AJ$87</f>
        <v>234.88123236312</v>
      </c>
      <c r="AK102" s="237">
        <f>+AK17*$AK$87</f>
        <v>214.70865594528</v>
      </c>
      <c r="AL102" s="265">
        <f>+AL17*$AL$87</f>
        <v>198.80431102966</v>
      </c>
      <c r="AM102" s="237">
        <f>+AM17*$AM$87</f>
        <v>222.66082838758</v>
      </c>
      <c r="AN102" s="237">
        <f>+AN17*$AN$87</f>
        <v>222.66082837635</v>
      </c>
      <c r="AO102" s="237">
        <f>+AO17*$AO$87</f>
        <v>210.44042440386997</v>
      </c>
      <c r="AP102" s="237">
        <f>+AP17*$AP$87</f>
        <v>204.60792544348</v>
      </c>
      <c r="AQ102" s="237">
        <f>+AQ17*$AQ$87</f>
        <v>197.02985406393998</v>
      </c>
      <c r="AR102" s="237">
        <f>+AR17*$AR$87</f>
        <v>204.60792540056002</v>
      </c>
      <c r="AS102" s="237">
        <f>+AS17*$AS$87</f>
        <v>204.60792544584004</v>
      </c>
      <c r="AT102" s="237">
        <f>+AT17*$AT$87</f>
        <v>212.1859967526</v>
      </c>
      <c r="AU102" s="237">
        <f>+AU17*$AU$87</f>
        <v>200.39695200051997</v>
      </c>
      <c r="AV102" s="237">
        <f aca="true" t="shared" si="32" ref="AV102:AV107">+AV17*$AV$87</f>
        <v>207.55398598765</v>
      </c>
      <c r="AW102" s="237">
        <f aca="true" t="shared" si="33" ref="AW102:AW107">+AW17*$AW$87</f>
        <v>207.55398601376</v>
      </c>
      <c r="AX102" s="584">
        <f aca="true" t="shared" si="34" ref="AX102:AX107">+AX17*$AX$87</f>
        <v>200.39695198637</v>
      </c>
      <c r="AY102" s="237">
        <f aca="true" t="shared" si="35" ref="AY102:AY107">+AY17*$AY$87</f>
        <v>214.71102000387</v>
      </c>
      <c r="AZ102" s="237">
        <f aca="true" t="shared" si="36" ref="AZ102:AZ107">+AZ17*$AZ$87</f>
        <v>229.02508802571</v>
      </c>
      <c r="BA102" s="584">
        <f aca="true" t="shared" si="37" ref="BA102:BA107">+BA17*$BA$87</f>
        <v>208.81699201791997</v>
      </c>
    </row>
    <row r="103" spans="2:53" s="29" customFormat="1" ht="14.25">
      <c r="B103" s="74" t="s">
        <v>62</v>
      </c>
      <c r="C103" s="454">
        <f aca="true" t="shared" si="38" ref="C103:Y103">+C18*C87</f>
        <v>0</v>
      </c>
      <c r="D103" s="311">
        <f t="shared" si="38"/>
        <v>0</v>
      </c>
      <c r="E103" s="311">
        <f t="shared" si="38"/>
        <v>0</v>
      </c>
      <c r="F103" s="457">
        <f t="shared" si="38"/>
        <v>0</v>
      </c>
      <c r="G103" s="454">
        <f t="shared" si="38"/>
        <v>0</v>
      </c>
      <c r="H103" s="311">
        <f t="shared" si="38"/>
        <v>0</v>
      </c>
      <c r="I103" s="311">
        <f t="shared" si="38"/>
        <v>0</v>
      </c>
      <c r="J103" s="457">
        <f t="shared" si="38"/>
        <v>0</v>
      </c>
      <c r="K103" s="454">
        <f t="shared" si="38"/>
        <v>0</v>
      </c>
      <c r="L103" s="311">
        <f t="shared" si="38"/>
        <v>0</v>
      </c>
      <c r="M103" s="311">
        <f t="shared" si="38"/>
        <v>0</v>
      </c>
      <c r="N103" s="457">
        <f t="shared" si="38"/>
        <v>0</v>
      </c>
      <c r="O103" s="454">
        <f t="shared" si="38"/>
        <v>0</v>
      </c>
      <c r="P103" s="308">
        <f t="shared" si="38"/>
        <v>8.19197678399</v>
      </c>
      <c r="Q103" s="308">
        <f t="shared" si="38"/>
        <v>11.962082452849998</v>
      </c>
      <c r="R103" s="279">
        <f t="shared" si="38"/>
        <v>13.29479295774</v>
      </c>
      <c r="S103" s="449">
        <f t="shared" si="38"/>
        <v>15.2766209309</v>
      </c>
      <c r="T103" s="308">
        <f t="shared" si="38"/>
        <v>16.97416268691</v>
      </c>
      <c r="U103" s="308">
        <f t="shared" si="38"/>
        <v>106.63102420144</v>
      </c>
      <c r="V103" s="279">
        <f t="shared" si="38"/>
        <v>131.33765256761</v>
      </c>
      <c r="W103" s="449">
        <f t="shared" si="38"/>
        <v>173.17409329935</v>
      </c>
      <c r="X103" s="308">
        <f t="shared" si="38"/>
        <v>183.083140515</v>
      </c>
      <c r="Y103" s="308">
        <f t="shared" si="38"/>
        <v>214.40574603155</v>
      </c>
      <c r="Z103" s="279">
        <f>+Z18*$Z$87</f>
        <v>224.55561495663005</v>
      </c>
      <c r="AA103" s="308">
        <f>+AA18*$AA$87</f>
        <v>222.73025056388</v>
      </c>
      <c r="AB103" s="308">
        <f>+AB18*$AB$87</f>
        <v>237.10489380309</v>
      </c>
      <c r="AC103" s="308">
        <f>+AC18*$AC$87</f>
        <v>240.78540445385997</v>
      </c>
      <c r="AD103" s="279">
        <f>+AD18*$AD$87</f>
        <v>228.54255878776</v>
      </c>
      <c r="AE103" s="269">
        <f>+AE18/$AE$87</f>
        <v>207.59509258097557</v>
      </c>
      <c r="AF103" s="237">
        <f>+AF18*$AF$87</f>
        <v>215.00920304918998</v>
      </c>
      <c r="AG103" s="237">
        <f>+AG18*$AG$87</f>
        <v>215.00920304084</v>
      </c>
      <c r="AH103" s="265">
        <f>+AH18*$AH$87</f>
        <v>191.64167999844</v>
      </c>
      <c r="AI103" s="237">
        <f>+AI18*$AI$87</f>
        <v>197.73207999819</v>
      </c>
      <c r="AJ103" s="237">
        <f>+AJ18*$AJ$87</f>
        <v>188.85210403211997</v>
      </c>
      <c r="AK103" s="237">
        <f>+AK18*$AK$87</f>
        <v>181.1367089856</v>
      </c>
      <c r="AL103" s="265">
        <f>+AL18*$AL$87</f>
        <v>159.79062498944998</v>
      </c>
      <c r="AM103" s="237">
        <f>+AM18*$AM$87</f>
        <v>178.96550001198</v>
      </c>
      <c r="AN103" s="237">
        <f>+AN18*$AN$87</f>
        <v>178.96550002355002</v>
      </c>
      <c r="AO103" s="237">
        <f>+AO18*$AO$87</f>
        <v>177.95887201648</v>
      </c>
      <c r="AP103" s="237">
        <f>+AP18*$AP$87</f>
        <v>171.60319802177003</v>
      </c>
      <c r="AQ103" s="237">
        <f>+AQ18*$AQ$87</f>
        <v>165.24752400404</v>
      </c>
      <c r="AR103" s="237">
        <f>+AR18*$AR$87</f>
        <v>163.04036401719</v>
      </c>
      <c r="AS103" s="237">
        <f>+AS18*$AS$87</f>
        <v>163.04036402976</v>
      </c>
      <c r="AT103" s="237">
        <f>+AT18*$AT$87</f>
        <v>169.07889604398002</v>
      </c>
      <c r="AU103" s="237">
        <f>+AU18*$AU$87</f>
        <v>168.07226796348996</v>
      </c>
      <c r="AV103" s="237">
        <f t="shared" si="32"/>
        <v>174.07484897578001</v>
      </c>
      <c r="AW103" s="237">
        <f t="shared" si="33"/>
        <v>174.07484902528</v>
      </c>
      <c r="AX103" s="584">
        <f t="shared" si="34"/>
        <v>159.19229200101003</v>
      </c>
      <c r="AY103" s="237">
        <f t="shared" si="35"/>
        <v>170.56316999825998</v>
      </c>
      <c r="AZ103" s="237">
        <f t="shared" si="36"/>
        <v>181.93404797760002</v>
      </c>
      <c r="BA103" s="584">
        <f t="shared" si="37"/>
        <v>175.13412799999998</v>
      </c>
    </row>
    <row r="104" spans="2:53" s="29" customFormat="1" ht="14.25">
      <c r="B104" s="74" t="s">
        <v>127</v>
      </c>
      <c r="C104" s="454">
        <v>0</v>
      </c>
      <c r="D104" s="311">
        <v>0</v>
      </c>
      <c r="E104" s="311">
        <v>0</v>
      </c>
      <c r="F104" s="457">
        <v>0</v>
      </c>
      <c r="G104" s="454">
        <v>0</v>
      </c>
      <c r="H104" s="311">
        <v>0</v>
      </c>
      <c r="I104" s="311">
        <v>0</v>
      </c>
      <c r="J104" s="457">
        <v>0</v>
      </c>
      <c r="K104" s="454">
        <v>0</v>
      </c>
      <c r="L104" s="311">
        <v>0</v>
      </c>
      <c r="M104" s="311">
        <v>0</v>
      </c>
      <c r="N104" s="457">
        <v>0</v>
      </c>
      <c r="O104" s="454">
        <v>0</v>
      </c>
      <c r="P104" s="311">
        <v>0</v>
      </c>
      <c r="Q104" s="311">
        <v>0</v>
      </c>
      <c r="R104" s="457">
        <v>0</v>
      </c>
      <c r="S104" s="454">
        <v>0</v>
      </c>
      <c r="T104" s="311">
        <v>0</v>
      </c>
      <c r="U104" s="311">
        <v>0</v>
      </c>
      <c r="V104" s="457">
        <v>0</v>
      </c>
      <c r="W104" s="454">
        <v>0</v>
      </c>
      <c r="X104" s="311">
        <v>0</v>
      </c>
      <c r="Y104" s="311">
        <v>0</v>
      </c>
      <c r="Z104" s="457">
        <v>0</v>
      </c>
      <c r="AA104" s="311">
        <v>0</v>
      </c>
      <c r="AB104" s="311">
        <v>0</v>
      </c>
      <c r="AC104" s="311">
        <v>0</v>
      </c>
      <c r="AD104" s="457">
        <v>0</v>
      </c>
      <c r="AE104" s="561">
        <v>0</v>
      </c>
      <c r="AF104" s="562">
        <v>0</v>
      </c>
      <c r="AG104" s="562">
        <v>0</v>
      </c>
      <c r="AH104" s="457">
        <v>0</v>
      </c>
      <c r="AI104" s="562">
        <v>0</v>
      </c>
      <c r="AJ104" s="562">
        <v>0</v>
      </c>
      <c r="AK104" s="562">
        <v>0</v>
      </c>
      <c r="AL104" s="457">
        <v>0</v>
      </c>
      <c r="AM104" s="562">
        <v>0</v>
      </c>
      <c r="AN104" s="562">
        <v>0</v>
      </c>
      <c r="AO104" s="237">
        <f>+AO19*AO87</f>
        <v>73.57984999847</v>
      </c>
      <c r="AP104" s="237">
        <f>+AP19*AP87</f>
        <v>74.29260282377</v>
      </c>
      <c r="AQ104" s="237">
        <f>+AQ19*AQ87</f>
        <v>114.93009331751999</v>
      </c>
      <c r="AR104" s="237">
        <f>+AR19*AR87</f>
        <v>115.69435296276</v>
      </c>
      <c r="AS104" s="237">
        <f>+AS19*AS87</f>
        <v>116.16746607648001</v>
      </c>
      <c r="AT104" s="237">
        <f>+AT19*$AT$87</f>
        <v>177.39266172927</v>
      </c>
      <c r="AU104" s="237">
        <f>+AU19*$AU$87</f>
        <v>176.62543983733</v>
      </c>
      <c r="AV104" s="237">
        <f t="shared" si="32"/>
        <v>180.13273991477</v>
      </c>
      <c r="AW104" s="237">
        <f t="shared" si="33"/>
        <v>328.40645245904</v>
      </c>
      <c r="AX104" s="584">
        <f t="shared" si="34"/>
        <v>332.00569379227</v>
      </c>
      <c r="AY104" s="237">
        <f t="shared" si="35"/>
        <v>337.64774777409</v>
      </c>
      <c r="AZ104" s="237">
        <f t="shared" si="36"/>
        <v>343.09524817033</v>
      </c>
      <c r="BA104" s="584">
        <f t="shared" si="37"/>
        <v>452.28228351487996</v>
      </c>
    </row>
    <row r="105" spans="2:53" s="29" customFormat="1" ht="14.25">
      <c r="B105" s="117" t="s">
        <v>142</v>
      </c>
      <c r="C105" s="407">
        <v>0</v>
      </c>
      <c r="D105" s="204">
        <v>0</v>
      </c>
      <c r="E105" s="204">
        <v>0</v>
      </c>
      <c r="F105" s="196">
        <v>0</v>
      </c>
      <c r="G105" s="407">
        <v>0</v>
      </c>
      <c r="H105" s="204">
        <v>0</v>
      </c>
      <c r="I105" s="204">
        <v>0</v>
      </c>
      <c r="J105" s="196">
        <v>0</v>
      </c>
      <c r="K105" s="407">
        <v>0</v>
      </c>
      <c r="L105" s="204">
        <v>0</v>
      </c>
      <c r="M105" s="204">
        <v>0</v>
      </c>
      <c r="N105" s="196">
        <v>0</v>
      </c>
      <c r="O105" s="407">
        <v>0</v>
      </c>
      <c r="P105" s="204">
        <v>0</v>
      </c>
      <c r="Q105" s="204">
        <v>0</v>
      </c>
      <c r="R105" s="196">
        <v>0</v>
      </c>
      <c r="S105" s="407">
        <v>0</v>
      </c>
      <c r="T105" s="204">
        <v>0</v>
      </c>
      <c r="U105" s="204">
        <v>0</v>
      </c>
      <c r="V105" s="196">
        <v>0</v>
      </c>
      <c r="W105" s="407">
        <v>0</v>
      </c>
      <c r="X105" s="204">
        <v>0</v>
      </c>
      <c r="Y105" s="204">
        <v>0</v>
      </c>
      <c r="Z105" s="196">
        <v>0</v>
      </c>
      <c r="AA105" s="194">
        <v>0</v>
      </c>
      <c r="AB105" s="177">
        <v>0</v>
      </c>
      <c r="AC105" s="177">
        <v>0</v>
      </c>
      <c r="AD105" s="203">
        <v>0</v>
      </c>
      <c r="AE105" s="587">
        <v>0</v>
      </c>
      <c r="AF105" s="203">
        <v>0</v>
      </c>
      <c r="AG105" s="203">
        <v>0</v>
      </c>
      <c r="AH105" s="466">
        <v>0</v>
      </c>
      <c r="AI105" s="203">
        <v>0</v>
      </c>
      <c r="AJ105" s="203">
        <v>0</v>
      </c>
      <c r="AK105" s="203">
        <v>0</v>
      </c>
      <c r="AL105" s="466">
        <v>0</v>
      </c>
      <c r="AM105" s="203">
        <v>0</v>
      </c>
      <c r="AN105" s="203">
        <v>0</v>
      </c>
      <c r="AO105" s="203">
        <v>0</v>
      </c>
      <c r="AP105" s="203">
        <v>0</v>
      </c>
      <c r="AQ105" s="203">
        <v>0</v>
      </c>
      <c r="AR105" s="203">
        <v>0</v>
      </c>
      <c r="AS105" s="125"/>
      <c r="AT105" s="125"/>
      <c r="AU105" s="203">
        <v>0</v>
      </c>
      <c r="AV105" s="237">
        <f t="shared" si="32"/>
        <v>95.85750383615</v>
      </c>
      <c r="AW105" s="237">
        <f t="shared" si="33"/>
        <v>98.4529762552</v>
      </c>
      <c r="AX105" s="584">
        <f t="shared" si="34"/>
        <v>99.53199287884999</v>
      </c>
      <c r="AY105" s="237">
        <f t="shared" si="35"/>
        <v>101.22342434295</v>
      </c>
      <c r="AZ105" s="237">
        <f t="shared" si="36"/>
        <v>102.85653058415001</v>
      </c>
      <c r="BA105" s="584">
        <f t="shared" si="37"/>
        <v>97.0531709056</v>
      </c>
    </row>
    <row r="106" spans="2:53" s="29" customFormat="1" ht="14.25">
      <c r="B106" s="74" t="s">
        <v>64</v>
      </c>
      <c r="C106" s="454">
        <f aca="true" t="shared" si="39" ref="C106:Y106">+C21*C87</f>
        <v>0</v>
      </c>
      <c r="D106" s="311">
        <f t="shared" si="39"/>
        <v>0</v>
      </c>
      <c r="E106" s="311">
        <f t="shared" si="39"/>
        <v>0</v>
      </c>
      <c r="F106" s="457">
        <f t="shared" si="39"/>
        <v>0</v>
      </c>
      <c r="G106" s="454">
        <f t="shared" si="39"/>
        <v>0</v>
      </c>
      <c r="H106" s="311">
        <f t="shared" si="39"/>
        <v>0</v>
      </c>
      <c r="I106" s="311">
        <f t="shared" si="39"/>
        <v>0</v>
      </c>
      <c r="J106" s="457">
        <f t="shared" si="39"/>
        <v>0</v>
      </c>
      <c r="K106" s="454">
        <f t="shared" si="39"/>
        <v>0</v>
      </c>
      <c r="L106" s="311">
        <f t="shared" si="39"/>
        <v>0</v>
      </c>
      <c r="M106" s="311">
        <f t="shared" si="39"/>
        <v>0</v>
      </c>
      <c r="N106" s="457">
        <f t="shared" si="39"/>
        <v>0</v>
      </c>
      <c r="O106" s="454">
        <f t="shared" si="39"/>
        <v>0</v>
      </c>
      <c r="P106" s="311">
        <f t="shared" si="39"/>
        <v>0</v>
      </c>
      <c r="Q106" s="311">
        <f t="shared" si="39"/>
        <v>0</v>
      </c>
      <c r="R106" s="457">
        <f t="shared" si="39"/>
        <v>0</v>
      </c>
      <c r="S106" s="454">
        <f t="shared" si="39"/>
        <v>0</v>
      </c>
      <c r="T106" s="311">
        <f t="shared" si="39"/>
        <v>0</v>
      </c>
      <c r="U106" s="311">
        <f t="shared" si="39"/>
        <v>0</v>
      </c>
      <c r="V106" s="457">
        <f t="shared" si="39"/>
        <v>0</v>
      </c>
      <c r="W106" s="454">
        <f t="shared" si="39"/>
        <v>0</v>
      </c>
      <c r="X106" s="311">
        <f t="shared" si="39"/>
        <v>0</v>
      </c>
      <c r="Y106" s="311">
        <f t="shared" si="39"/>
        <v>0</v>
      </c>
      <c r="Z106" s="457">
        <f>+Z21*$Z$87</f>
        <v>0</v>
      </c>
      <c r="AA106" s="311">
        <f>+AA21*$AA$87</f>
        <v>0</v>
      </c>
      <c r="AB106" s="311">
        <f>+AB21*$AB$87</f>
        <v>0</v>
      </c>
      <c r="AC106" s="311">
        <f>+AC21*$AC$87</f>
        <v>0</v>
      </c>
      <c r="AD106" s="279">
        <f>+AD21*$AD$87</f>
        <v>8.183827130900001</v>
      </c>
      <c r="AE106" s="269">
        <f>+AE21/$AE$87</f>
        <v>8.001026881532145</v>
      </c>
      <c r="AF106" s="237">
        <f>+AF21*$AF$87</f>
        <v>9.60459898552</v>
      </c>
      <c r="AG106" s="237">
        <f>+AG21*$AG$87</f>
        <v>16.50731097652</v>
      </c>
      <c r="AH106" s="265">
        <f>+AH21*$AH$87</f>
        <v>17.00309075652</v>
      </c>
      <c r="AI106" s="237">
        <f>+AI21*$AI$87</f>
        <v>17.06344656812</v>
      </c>
      <c r="AJ106" s="237">
        <f>+AJ21*$AJ$87</f>
        <v>18.298694777759998</v>
      </c>
      <c r="AK106" s="237">
        <f>+AK21*$AK$87</f>
        <v>17.97765342912</v>
      </c>
      <c r="AL106" s="265">
        <f>+AL21*$AL$87</f>
        <v>18.46481866208</v>
      </c>
      <c r="AM106" s="237">
        <f>+AM21*$AM$87</f>
        <v>17.636206250740003</v>
      </c>
      <c r="AN106" s="237">
        <f>+AN21*$AN$87</f>
        <v>17.5822729039</v>
      </c>
      <c r="AO106" s="237">
        <f>+AO21*$AO$87</f>
        <v>16.64579378601</v>
      </c>
      <c r="AP106" s="237">
        <f>+AP21*$AP$87</f>
        <v>17.48421227015</v>
      </c>
      <c r="AQ106" s="237">
        <f>+AQ21*$AQ$87</f>
        <v>18.4188272036</v>
      </c>
      <c r="AR106" s="237">
        <f>+AR21*$AR$87</f>
        <v>18.377850944859997</v>
      </c>
      <c r="AS106" s="237">
        <f>+AS21*$AS$87</f>
        <v>18.5417559936</v>
      </c>
      <c r="AT106" s="237">
        <f>+AT21*$AT$87</f>
        <v>19.32030485424</v>
      </c>
      <c r="AU106" s="237">
        <f>+AU21*$AU$87</f>
        <v>19.043715121749997</v>
      </c>
      <c r="AV106" s="237">
        <f t="shared" si="32"/>
        <v>19.310060800880002</v>
      </c>
      <c r="AW106" s="237">
        <f t="shared" si="33"/>
        <v>18.99761682992</v>
      </c>
      <c r="AX106" s="584">
        <f t="shared" si="34"/>
        <v>19.52006410903</v>
      </c>
      <c r="AY106" s="237">
        <f t="shared" si="35"/>
        <v>20.13982998495</v>
      </c>
      <c r="AZ106" s="237">
        <f t="shared" si="36"/>
        <v>20.928622924560003</v>
      </c>
      <c r="BA106" s="584">
        <f t="shared" si="37"/>
        <v>19.94519275008</v>
      </c>
    </row>
    <row r="107" spans="2:53" s="29" customFormat="1" ht="14.25">
      <c r="B107" s="74" t="s">
        <v>63</v>
      </c>
      <c r="C107" s="454">
        <f aca="true" t="shared" si="40" ref="C107:Y107">+C22*C87</f>
        <v>0</v>
      </c>
      <c r="D107" s="311">
        <f t="shared" si="40"/>
        <v>0</v>
      </c>
      <c r="E107" s="311">
        <f t="shared" si="40"/>
        <v>0</v>
      </c>
      <c r="F107" s="457">
        <f t="shared" si="40"/>
        <v>0</v>
      </c>
      <c r="G107" s="454">
        <f t="shared" si="40"/>
        <v>0</v>
      </c>
      <c r="H107" s="311">
        <f t="shared" si="40"/>
        <v>0</v>
      </c>
      <c r="I107" s="311">
        <f t="shared" si="40"/>
        <v>0</v>
      </c>
      <c r="J107" s="279">
        <f t="shared" si="40"/>
        <v>0.6285489718499999</v>
      </c>
      <c r="K107" s="449">
        <f t="shared" si="40"/>
        <v>0.8483528372600001</v>
      </c>
      <c r="L107" s="308">
        <f t="shared" si="40"/>
        <v>1.12992895938</v>
      </c>
      <c r="M107" s="308">
        <f t="shared" si="40"/>
        <v>2.19968484801</v>
      </c>
      <c r="N107" s="279">
        <f t="shared" si="40"/>
        <v>2.29899832084</v>
      </c>
      <c r="O107" s="449">
        <f t="shared" si="40"/>
        <v>2.20318140714</v>
      </c>
      <c r="P107" s="308">
        <f t="shared" si="40"/>
        <v>2.13676966939</v>
      </c>
      <c r="Q107" s="308">
        <f t="shared" si="40"/>
        <v>2.8515627057499997</v>
      </c>
      <c r="R107" s="279">
        <f t="shared" si="40"/>
        <v>2.8140311724</v>
      </c>
      <c r="S107" s="449">
        <f t="shared" si="40"/>
        <v>2.64747891212</v>
      </c>
      <c r="T107" s="308">
        <f t="shared" si="40"/>
        <v>2.87457798595</v>
      </c>
      <c r="U107" s="308">
        <f t="shared" si="40"/>
        <v>3.26831039488</v>
      </c>
      <c r="V107" s="279">
        <f t="shared" si="40"/>
        <v>3.24035422541</v>
      </c>
      <c r="W107" s="449">
        <f t="shared" si="40"/>
        <v>4.4333313073500005</v>
      </c>
      <c r="X107" s="308">
        <f t="shared" si="40"/>
        <v>6.940254805</v>
      </c>
      <c r="Y107" s="308">
        <f t="shared" si="40"/>
        <v>7.78563713142</v>
      </c>
      <c r="Z107" s="107">
        <f>+Z22*$Z$87</f>
        <v>7.915006914390001</v>
      </c>
      <c r="AA107" s="96">
        <f>+AA22*$AA$87</f>
        <v>7.89642792084</v>
      </c>
      <c r="AB107" s="96">
        <f>+AB22*$AB$87</f>
        <v>8.518897015599999</v>
      </c>
      <c r="AC107" s="96">
        <f>+AC22*$AC$87</f>
        <v>8.70304220046</v>
      </c>
      <c r="AD107" s="107">
        <f>+AD22*$AD$87</f>
        <v>9.074599851599999</v>
      </c>
      <c r="AE107" s="71">
        <f>+AE22/$AE$87</f>
        <v>14.137529982573788</v>
      </c>
      <c r="AF107" s="125">
        <f>+AF22*$AF$87</f>
        <v>15.407233440170002</v>
      </c>
      <c r="AG107" s="125">
        <f>+AG22*$AG$87</f>
        <v>15.86261488682</v>
      </c>
      <c r="AH107" s="126">
        <f>+AH22*$AH$87</f>
        <v>16.45705857444</v>
      </c>
      <c r="AI107" s="125">
        <f>+AI22*$AI$87</f>
        <v>17.68303994536</v>
      </c>
      <c r="AJ107" s="125">
        <f>+AJ22*$AJ$87</f>
        <v>17.98801024776</v>
      </c>
      <c r="AK107" s="237">
        <f>+AK22*$AK$87</f>
        <v>20.541229695840002</v>
      </c>
      <c r="AL107" s="265">
        <f>+AL22*$AL$87</f>
        <v>24.03159488163</v>
      </c>
      <c r="AM107" s="237">
        <f>+AM22*$AM$87</f>
        <v>22.704276162920003</v>
      </c>
      <c r="AN107" s="237">
        <f>+AN22*$AN$87</f>
        <v>22.691278787500003</v>
      </c>
      <c r="AO107" s="237">
        <f>+AO22*$AO$87</f>
        <v>21.68582312458</v>
      </c>
      <c r="AP107" s="237">
        <f>+AP22*$AP$87</f>
        <v>22.954841796209998</v>
      </c>
      <c r="AQ107" s="237">
        <f>+AQ22*$AQ$87</f>
        <v>23.1536701317</v>
      </c>
      <c r="AR107" s="237">
        <f>+AR22*$AR$87</f>
        <v>23.13723605248</v>
      </c>
      <c r="AS107" s="237">
        <f>+AS22*$AS$87</f>
        <v>22.76912000832</v>
      </c>
      <c r="AT107" s="237">
        <f>+AT22*$AT$87</f>
        <v>23.63225056569</v>
      </c>
      <c r="AU107" s="237">
        <f>+AU22*$AU$87</f>
        <v>23.32768578965</v>
      </c>
      <c r="AV107" s="237">
        <f t="shared" si="32"/>
        <v>23.6736974687</v>
      </c>
      <c r="AW107" s="237">
        <f t="shared" si="33"/>
        <v>23.43904921008</v>
      </c>
      <c r="AX107" s="584">
        <f t="shared" si="34"/>
        <v>24.02535527062</v>
      </c>
      <c r="AY107" s="237">
        <f t="shared" si="35"/>
        <v>24.132291608880003</v>
      </c>
      <c r="AZ107" s="237">
        <f t="shared" si="36"/>
        <v>26.418708447860002</v>
      </c>
      <c r="BA107" s="584">
        <f t="shared" si="37"/>
        <v>25.938770990080002</v>
      </c>
    </row>
    <row r="108" spans="2:53" s="29" customFormat="1" ht="13.5" customHeight="1">
      <c r="B108" s="49"/>
      <c r="C108" s="147"/>
      <c r="D108" s="145"/>
      <c r="E108" s="145"/>
      <c r="F108" s="458"/>
      <c r="G108" s="147"/>
      <c r="H108" s="145"/>
      <c r="I108" s="145"/>
      <c r="J108" s="458"/>
      <c r="K108" s="147"/>
      <c r="L108" s="145"/>
      <c r="M108" s="145"/>
      <c r="N108" s="458"/>
      <c r="O108" s="147"/>
      <c r="P108" s="145"/>
      <c r="Q108" s="145"/>
      <c r="R108" s="458"/>
      <c r="S108" s="147"/>
      <c r="T108" s="145"/>
      <c r="U108" s="145"/>
      <c r="V108" s="458"/>
      <c r="W108" s="147"/>
      <c r="X108" s="145"/>
      <c r="Y108" s="145"/>
      <c r="Z108" s="458"/>
      <c r="AA108" s="145"/>
      <c r="AB108" s="145"/>
      <c r="AC108" s="157"/>
      <c r="AD108" s="123"/>
      <c r="AE108" s="69"/>
      <c r="AF108" s="170"/>
      <c r="AG108" s="170"/>
      <c r="AH108" s="123"/>
      <c r="AI108" s="170"/>
      <c r="AJ108" s="170"/>
      <c r="AK108" s="170"/>
      <c r="AL108" s="123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258"/>
      <c r="AY108" s="170"/>
      <c r="AZ108" s="170"/>
      <c r="BA108" s="258"/>
    </row>
    <row r="109" spans="2:53" s="29" customFormat="1" ht="15.75">
      <c r="B109" s="85" t="s">
        <v>104</v>
      </c>
      <c r="C109" s="148">
        <f>+C110</f>
        <v>6.517042529600001</v>
      </c>
      <c r="D109" s="144">
        <f aca="true" t="shared" si="41" ref="D109:Y109">+D110</f>
        <v>6.0514308437999995</v>
      </c>
      <c r="E109" s="144">
        <f t="shared" si="41"/>
        <v>6.0328681725</v>
      </c>
      <c r="F109" s="185">
        <f t="shared" si="41"/>
        <v>5.654521591549999</v>
      </c>
      <c r="G109" s="148">
        <f t="shared" si="41"/>
        <v>5.6315285416</v>
      </c>
      <c r="H109" s="144">
        <f t="shared" si="41"/>
        <v>5.31742393028</v>
      </c>
      <c r="I109" s="144">
        <f t="shared" si="41"/>
        <v>5.179832020440001</v>
      </c>
      <c r="J109" s="185">
        <f t="shared" si="41"/>
        <v>4.74704663157</v>
      </c>
      <c r="K109" s="148">
        <f t="shared" si="41"/>
        <v>4.34947949626</v>
      </c>
      <c r="L109" s="144">
        <f t="shared" si="41"/>
        <v>4.41032628594</v>
      </c>
      <c r="M109" s="144">
        <f t="shared" si="41"/>
        <v>4.425190884139999</v>
      </c>
      <c r="N109" s="185">
        <f t="shared" si="41"/>
        <v>4.35303655006</v>
      </c>
      <c r="O109" s="148">
        <f t="shared" si="41"/>
        <v>4.37935981373</v>
      </c>
      <c r="P109" s="144">
        <f t="shared" si="41"/>
        <v>3.85637399057</v>
      </c>
      <c r="Q109" s="144">
        <f t="shared" si="41"/>
        <v>3.694997994949999</v>
      </c>
      <c r="R109" s="185">
        <f t="shared" si="41"/>
        <v>3.3889929054800003</v>
      </c>
      <c r="S109" s="148">
        <f t="shared" si="41"/>
        <v>3.33155234776</v>
      </c>
      <c r="T109" s="144">
        <f t="shared" si="41"/>
        <v>2.9961393817299995</v>
      </c>
      <c r="U109" s="144">
        <f t="shared" si="41"/>
        <v>2.95480601212</v>
      </c>
      <c r="V109" s="185">
        <f t="shared" si="41"/>
        <v>2.64970315495</v>
      </c>
      <c r="W109" s="148">
        <f t="shared" si="41"/>
        <v>2.6459312550000003</v>
      </c>
      <c r="X109" s="144">
        <f t="shared" si="41"/>
        <v>2.26198962</v>
      </c>
      <c r="Y109" s="144">
        <f t="shared" si="41"/>
        <v>2.2809080786400004</v>
      </c>
      <c r="Z109" s="185">
        <f>+Z110</f>
        <v>1.8808852108800003</v>
      </c>
      <c r="AA109" s="144">
        <f>+AA110</f>
        <v>1.860660532</v>
      </c>
      <c r="AB109" s="144">
        <f>+AB110</f>
        <v>1.5162684989099997</v>
      </c>
      <c r="AC109" s="144">
        <f>+AC110</f>
        <v>1.4748279895799998</v>
      </c>
      <c r="AD109" s="185">
        <f aca="true" t="shared" si="42" ref="AD109:AO109">+AD110</f>
        <v>1.10530483096</v>
      </c>
      <c r="AE109" s="87">
        <f t="shared" si="42"/>
        <v>1.1217695834403005</v>
      </c>
      <c r="AF109" s="159">
        <f t="shared" si="42"/>
        <v>0.8182824008699999</v>
      </c>
      <c r="AG109" s="159">
        <f t="shared" si="42"/>
        <v>0.81798837198</v>
      </c>
      <c r="AH109" s="109">
        <f t="shared" si="42"/>
        <v>0.4183805784</v>
      </c>
      <c r="AI109" s="159">
        <f t="shared" si="42"/>
        <v>0.42032583860000006</v>
      </c>
      <c r="AJ109" s="203">
        <f t="shared" si="42"/>
        <v>0</v>
      </c>
      <c r="AK109" s="203">
        <f t="shared" si="42"/>
        <v>0</v>
      </c>
      <c r="AL109" s="196">
        <f t="shared" si="42"/>
        <v>0</v>
      </c>
      <c r="AM109" s="203">
        <f t="shared" si="42"/>
        <v>0</v>
      </c>
      <c r="AN109" s="203">
        <f t="shared" si="42"/>
        <v>0</v>
      </c>
      <c r="AO109" s="203">
        <f t="shared" si="42"/>
        <v>0</v>
      </c>
      <c r="AP109" s="203">
        <f aca="true" t="shared" si="43" ref="AP109:BA109">+AP110</f>
        <v>0</v>
      </c>
      <c r="AQ109" s="203">
        <f t="shared" si="43"/>
        <v>0</v>
      </c>
      <c r="AR109" s="203">
        <f t="shared" si="43"/>
        <v>0</v>
      </c>
      <c r="AS109" s="203">
        <f t="shared" si="43"/>
        <v>0</v>
      </c>
      <c r="AT109" s="203">
        <f t="shared" si="43"/>
        <v>0</v>
      </c>
      <c r="AU109" s="203">
        <f t="shared" si="43"/>
        <v>0</v>
      </c>
      <c r="AV109" s="203">
        <f t="shared" si="43"/>
        <v>0</v>
      </c>
      <c r="AW109" s="203">
        <f t="shared" si="43"/>
        <v>0</v>
      </c>
      <c r="AX109" s="217">
        <f t="shared" si="43"/>
        <v>0</v>
      </c>
      <c r="AY109" s="203">
        <f t="shared" si="43"/>
        <v>0</v>
      </c>
      <c r="AZ109" s="203">
        <f t="shared" si="43"/>
        <v>0</v>
      </c>
      <c r="BA109" s="217">
        <f t="shared" si="43"/>
        <v>0</v>
      </c>
    </row>
    <row r="110" spans="2:53" s="29" customFormat="1" ht="14.25">
      <c r="B110" s="74" t="s">
        <v>83</v>
      </c>
      <c r="C110" s="146">
        <f aca="true" t="shared" si="44" ref="C110:Y110">+C25*C87</f>
        <v>6.517042529600001</v>
      </c>
      <c r="D110" s="96">
        <f t="shared" si="44"/>
        <v>6.0514308437999995</v>
      </c>
      <c r="E110" s="96">
        <f t="shared" si="44"/>
        <v>6.0328681725</v>
      </c>
      <c r="F110" s="107">
        <f t="shared" si="44"/>
        <v>5.654521591549999</v>
      </c>
      <c r="G110" s="146">
        <f t="shared" si="44"/>
        <v>5.6315285416</v>
      </c>
      <c r="H110" s="96">
        <f t="shared" si="44"/>
        <v>5.31742393028</v>
      </c>
      <c r="I110" s="96">
        <f t="shared" si="44"/>
        <v>5.179832020440001</v>
      </c>
      <c r="J110" s="107">
        <f t="shared" si="44"/>
        <v>4.74704663157</v>
      </c>
      <c r="K110" s="146">
        <f t="shared" si="44"/>
        <v>4.34947949626</v>
      </c>
      <c r="L110" s="96">
        <f t="shared" si="44"/>
        <v>4.41032628594</v>
      </c>
      <c r="M110" s="96">
        <f t="shared" si="44"/>
        <v>4.425190884139999</v>
      </c>
      <c r="N110" s="107">
        <f t="shared" si="44"/>
        <v>4.35303655006</v>
      </c>
      <c r="O110" s="146">
        <f t="shared" si="44"/>
        <v>4.37935981373</v>
      </c>
      <c r="P110" s="96">
        <f t="shared" si="44"/>
        <v>3.85637399057</v>
      </c>
      <c r="Q110" s="96">
        <f t="shared" si="44"/>
        <v>3.694997994949999</v>
      </c>
      <c r="R110" s="107">
        <f t="shared" si="44"/>
        <v>3.3889929054800003</v>
      </c>
      <c r="S110" s="146">
        <f t="shared" si="44"/>
        <v>3.33155234776</v>
      </c>
      <c r="T110" s="96">
        <f t="shared" si="44"/>
        <v>2.9961393817299995</v>
      </c>
      <c r="U110" s="96">
        <f t="shared" si="44"/>
        <v>2.95480601212</v>
      </c>
      <c r="V110" s="107">
        <f t="shared" si="44"/>
        <v>2.64970315495</v>
      </c>
      <c r="W110" s="146">
        <f t="shared" si="44"/>
        <v>2.6459312550000003</v>
      </c>
      <c r="X110" s="96">
        <f t="shared" si="44"/>
        <v>2.26198962</v>
      </c>
      <c r="Y110" s="96">
        <f t="shared" si="44"/>
        <v>2.2809080786400004</v>
      </c>
      <c r="Z110" s="107">
        <f>+Z25*$Z$87</f>
        <v>1.8808852108800003</v>
      </c>
      <c r="AA110" s="96">
        <f>+AA25*$AA$87</f>
        <v>1.860660532</v>
      </c>
      <c r="AB110" s="96">
        <f>+AB25*$AB$87</f>
        <v>1.5162684989099997</v>
      </c>
      <c r="AC110" s="96">
        <f>+AC25*$AC$87</f>
        <v>1.4748279895799998</v>
      </c>
      <c r="AD110" s="107">
        <f>+AD25*$AD$87</f>
        <v>1.10530483096</v>
      </c>
      <c r="AE110" s="71">
        <f>+AE25/$AE$87</f>
        <v>1.1217695834403005</v>
      </c>
      <c r="AF110" s="129">
        <f>+AF25*$AF$87</f>
        <v>0.8182824008699999</v>
      </c>
      <c r="AG110" s="129">
        <f>+AG25*$AG$87</f>
        <v>0.81798837198</v>
      </c>
      <c r="AH110" s="107">
        <f>+AH25*$AH$87</f>
        <v>0.4183805784</v>
      </c>
      <c r="AI110" s="129">
        <f>+AI25*$AI$87</f>
        <v>0.42032583860000006</v>
      </c>
      <c r="AJ110" s="203">
        <f>+AJ25*$AJ$87</f>
        <v>0</v>
      </c>
      <c r="AK110" s="203">
        <f>+AK25*$AK$87</f>
        <v>0</v>
      </c>
      <c r="AL110" s="196">
        <f>+AL25*$AL$87</f>
        <v>0</v>
      </c>
      <c r="AM110" s="203">
        <f>+AM25*$AM$87</f>
        <v>0</v>
      </c>
      <c r="AN110" s="203">
        <f>+AN25*$AN$87</f>
        <v>0</v>
      </c>
      <c r="AO110" s="203">
        <f>+AO25*$AO$87</f>
        <v>0</v>
      </c>
      <c r="AP110" s="203">
        <f>+AP25*$AP$87</f>
        <v>0</v>
      </c>
      <c r="AQ110" s="203">
        <f>+AQ25*$AQ$87</f>
        <v>0</v>
      </c>
      <c r="AR110" s="203">
        <f>+AR25*$AR$87</f>
        <v>0</v>
      </c>
      <c r="AS110" s="203">
        <f>+AS25*$AS$87</f>
        <v>0</v>
      </c>
      <c r="AT110" s="203">
        <f>+AT25*$AT$87</f>
        <v>0</v>
      </c>
      <c r="AU110" s="203">
        <f>+AU25*$AU$87</f>
        <v>0</v>
      </c>
      <c r="AV110" s="203">
        <f>+AV25*$AV$87</f>
        <v>0</v>
      </c>
      <c r="AW110" s="203">
        <f>+AW25*$AW$87</f>
        <v>0</v>
      </c>
      <c r="AX110" s="217">
        <f>+AX25*$AX$87</f>
        <v>0</v>
      </c>
      <c r="AY110" s="203">
        <f>+AY25*$AY$87</f>
        <v>0</v>
      </c>
      <c r="AZ110" s="203">
        <f>+AZ25*$AZ$87</f>
        <v>0</v>
      </c>
      <c r="BA110" s="217">
        <f>+BA25*$BA$87</f>
        <v>0</v>
      </c>
    </row>
    <row r="111" spans="2:53" s="29" customFormat="1" ht="12" customHeight="1">
      <c r="B111" s="49"/>
      <c r="C111" s="147"/>
      <c r="D111" s="145"/>
      <c r="E111" s="145"/>
      <c r="F111" s="458"/>
      <c r="G111" s="147"/>
      <c r="H111" s="145"/>
      <c r="I111" s="145"/>
      <c r="J111" s="458"/>
      <c r="K111" s="147"/>
      <c r="L111" s="145"/>
      <c r="M111" s="145"/>
      <c r="N111" s="458"/>
      <c r="O111" s="147"/>
      <c r="P111" s="145"/>
      <c r="Q111" s="145"/>
      <c r="R111" s="458"/>
      <c r="S111" s="147"/>
      <c r="T111" s="145"/>
      <c r="U111" s="145"/>
      <c r="V111" s="458"/>
      <c r="W111" s="147"/>
      <c r="X111" s="145"/>
      <c r="Y111" s="145"/>
      <c r="Z111" s="458"/>
      <c r="AA111" s="145"/>
      <c r="AB111" s="145"/>
      <c r="AC111" s="157"/>
      <c r="AD111" s="251"/>
      <c r="AE111" s="69"/>
      <c r="AF111" s="170"/>
      <c r="AG111" s="170"/>
      <c r="AH111" s="123"/>
      <c r="AI111" s="170"/>
      <c r="AJ111" s="170"/>
      <c r="AK111" s="170"/>
      <c r="AL111" s="123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258"/>
      <c r="AY111" s="170"/>
      <c r="AZ111" s="170"/>
      <c r="BA111" s="258"/>
    </row>
    <row r="112" spans="2:53" s="29" customFormat="1" ht="15.75">
      <c r="B112" s="85" t="s">
        <v>105</v>
      </c>
      <c r="C112" s="148">
        <f>SUM(C113:C139)</f>
        <v>1441.7818218285802</v>
      </c>
      <c r="D112" s="144">
        <f aca="true" t="shared" si="45" ref="D112:AQ112">SUM(D113:D139)</f>
        <v>1413.4235173186003</v>
      </c>
      <c r="E112" s="144">
        <f t="shared" si="45"/>
        <v>1405.3716169675</v>
      </c>
      <c r="F112" s="185">
        <f t="shared" si="45"/>
        <v>1413.3264959589098</v>
      </c>
      <c r="G112" s="148">
        <f t="shared" si="45"/>
        <v>1431.8760753176002</v>
      </c>
      <c r="H112" s="144">
        <f t="shared" si="45"/>
        <v>1393.74364423585</v>
      </c>
      <c r="I112" s="144">
        <f t="shared" si="45"/>
        <v>1588.2634888306202</v>
      </c>
      <c r="J112" s="185">
        <f t="shared" si="45"/>
        <v>1487.61581059449</v>
      </c>
      <c r="K112" s="148">
        <f t="shared" si="45"/>
        <v>1465.6230978681397</v>
      </c>
      <c r="L112" s="144">
        <f t="shared" si="45"/>
        <v>1499.8974407734202</v>
      </c>
      <c r="M112" s="144">
        <f t="shared" si="45"/>
        <v>1566.89985393175</v>
      </c>
      <c r="N112" s="185">
        <f t="shared" si="45"/>
        <v>1873.8873852516595</v>
      </c>
      <c r="O112" s="148">
        <f t="shared" si="45"/>
        <v>1831.6550042731703</v>
      </c>
      <c r="P112" s="144">
        <f t="shared" si="45"/>
        <v>1797.6109005907704</v>
      </c>
      <c r="Q112" s="144">
        <f t="shared" si="45"/>
        <v>1815.0264342136497</v>
      </c>
      <c r="R112" s="185">
        <f t="shared" si="45"/>
        <v>1836.9956728586403</v>
      </c>
      <c r="S112" s="148">
        <f t="shared" si="45"/>
        <v>2034.0033218965598</v>
      </c>
      <c r="T112" s="144">
        <f t="shared" si="45"/>
        <v>2399.8855515911096</v>
      </c>
      <c r="U112" s="144">
        <f t="shared" si="45"/>
        <v>2398.0064054624395</v>
      </c>
      <c r="V112" s="185">
        <f t="shared" si="45"/>
        <v>2598.295351566801</v>
      </c>
      <c r="W112" s="148">
        <f t="shared" si="45"/>
        <v>2447.8573817742</v>
      </c>
      <c r="X112" s="144">
        <f t="shared" si="45"/>
        <v>2323.860350817499</v>
      </c>
      <c r="Y112" s="144">
        <f t="shared" si="45"/>
        <v>2384.7767180713104</v>
      </c>
      <c r="Z112" s="185">
        <f t="shared" si="45"/>
        <v>2327.297962540591</v>
      </c>
      <c r="AA112" s="144">
        <f t="shared" si="45"/>
        <v>2208.1357473689595</v>
      </c>
      <c r="AB112" s="144">
        <f t="shared" si="45"/>
        <v>2621.1060549166887</v>
      </c>
      <c r="AC112" s="144">
        <f t="shared" si="45"/>
        <v>2565.3378396643193</v>
      </c>
      <c r="AD112" s="185">
        <f t="shared" si="45"/>
        <v>2390.451725620959</v>
      </c>
      <c r="AE112" s="87">
        <f t="shared" si="45"/>
        <v>2188.509517252186</v>
      </c>
      <c r="AF112" s="121">
        <f t="shared" si="45"/>
        <v>2303.2880439739492</v>
      </c>
      <c r="AG112" s="121">
        <f t="shared" si="45"/>
        <v>2258.89322481446</v>
      </c>
      <c r="AH112" s="185">
        <f t="shared" si="45"/>
        <v>2157.614615915279</v>
      </c>
      <c r="AI112" s="121">
        <f t="shared" si="45"/>
        <v>2189.5517623574096</v>
      </c>
      <c r="AJ112" s="121">
        <f t="shared" si="45"/>
        <v>2181.4999897372804</v>
      </c>
      <c r="AK112" s="121">
        <f t="shared" si="45"/>
        <v>2117.7820977247206</v>
      </c>
      <c r="AL112" s="185">
        <f t="shared" si="45"/>
        <v>2044.5625074885493</v>
      </c>
      <c r="AM112" s="121">
        <f t="shared" si="45"/>
        <v>2198.5539059528005</v>
      </c>
      <c r="AN112" s="121">
        <f t="shared" si="45"/>
        <v>2208.6890754177994</v>
      </c>
      <c r="AO112" s="121">
        <f t="shared" si="45"/>
        <v>2174.9811689117796</v>
      </c>
      <c r="AP112" s="121">
        <f t="shared" si="45"/>
        <v>2144.51009722645</v>
      </c>
      <c r="AQ112" s="121">
        <f t="shared" si="45"/>
        <v>2106.3812600946403</v>
      </c>
      <c r="AR112" s="121">
        <f aca="true" t="shared" si="46" ref="AR112:AW112">SUM(AR113:AR139)</f>
        <v>2151.76862323115</v>
      </c>
      <c r="AS112" s="121">
        <f t="shared" si="46"/>
        <v>2157.7806170726403</v>
      </c>
      <c r="AT112" s="121">
        <f t="shared" si="46"/>
        <v>2214.2665802739302</v>
      </c>
      <c r="AU112" s="121">
        <f t="shared" si="46"/>
        <v>2156.8661082742397</v>
      </c>
      <c r="AV112" s="121">
        <f t="shared" si="46"/>
        <v>2223.8616791129407</v>
      </c>
      <c r="AW112" s="121">
        <f t="shared" si="46"/>
        <v>2242.3115843875203</v>
      </c>
      <c r="AX112" s="214">
        <f>SUM(AX113:AX139)</f>
        <v>2207.069066275591</v>
      </c>
      <c r="AY112" s="121">
        <f>SUM(AY113:AY139)</f>
        <v>2319.63027082644</v>
      </c>
      <c r="AZ112" s="121">
        <f>SUM(AZ113:AZ139)</f>
        <v>2420.607999310669</v>
      </c>
      <c r="BA112" s="214">
        <f>SUM(BA113:BA139)</f>
        <v>2275.4582403737604</v>
      </c>
    </row>
    <row r="113" spans="2:53" s="29" customFormat="1" ht="14.25">
      <c r="B113" s="117" t="s">
        <v>42</v>
      </c>
      <c r="C113" s="450">
        <f aca="true" t="shared" si="47" ref="C113:Y113">+C28*C87</f>
        <v>767.5371733201</v>
      </c>
      <c r="D113" s="158">
        <f t="shared" si="47"/>
        <v>741.4229070959999</v>
      </c>
      <c r="E113" s="158">
        <f t="shared" si="47"/>
        <v>751.814199045</v>
      </c>
      <c r="F113" s="126">
        <f t="shared" si="47"/>
        <v>750.6063426061401</v>
      </c>
      <c r="G113" s="450">
        <f t="shared" si="47"/>
        <v>779.4125723716801</v>
      </c>
      <c r="H113" s="158">
        <f t="shared" si="47"/>
        <v>748.87586001777</v>
      </c>
      <c r="I113" s="158">
        <f t="shared" si="47"/>
        <v>783.01195064505</v>
      </c>
      <c r="J113" s="126">
        <f t="shared" si="47"/>
        <v>792.12431929347</v>
      </c>
      <c r="K113" s="450">
        <f t="shared" si="47"/>
        <v>776.6276657274</v>
      </c>
      <c r="L113" s="158">
        <f t="shared" si="47"/>
        <v>800.3297768646</v>
      </c>
      <c r="M113" s="158">
        <f t="shared" si="47"/>
        <v>892.3665445722299</v>
      </c>
      <c r="N113" s="126">
        <f t="shared" si="47"/>
        <v>1095.31444758318</v>
      </c>
      <c r="O113" s="450">
        <f t="shared" si="47"/>
        <v>1111.80201687278</v>
      </c>
      <c r="P113" s="158">
        <f t="shared" si="47"/>
        <v>1097.7557252777501</v>
      </c>
      <c r="Q113" s="158">
        <f t="shared" si="47"/>
        <v>1118.57708196815</v>
      </c>
      <c r="R113" s="126">
        <f t="shared" si="47"/>
        <v>1171.8952512129101</v>
      </c>
      <c r="S113" s="450">
        <f t="shared" si="47"/>
        <v>1402.95893003042</v>
      </c>
      <c r="T113" s="158">
        <f t="shared" si="47"/>
        <v>1482.7887935541999</v>
      </c>
      <c r="U113" s="158">
        <f t="shared" si="47"/>
        <v>1579.41675314808</v>
      </c>
      <c r="V113" s="126">
        <f t="shared" si="47"/>
        <v>1782.6291870331702</v>
      </c>
      <c r="W113" s="450">
        <f t="shared" si="47"/>
        <v>1812.42301076595</v>
      </c>
      <c r="X113" s="158">
        <f t="shared" si="47"/>
        <v>1833.8466638525001</v>
      </c>
      <c r="Y113" s="158">
        <f t="shared" si="47"/>
        <v>1892.2943870673203</v>
      </c>
      <c r="Z113" s="126">
        <f>+Z28*$Z$87</f>
        <v>1843.66045125564</v>
      </c>
      <c r="AA113" s="158">
        <f>+AA28*$AA$87</f>
        <v>1719.6964741278</v>
      </c>
      <c r="AB113" s="158">
        <f>+AB28*$AB$87</f>
        <v>1765.75502248594</v>
      </c>
      <c r="AC113" s="158">
        <f>+AC28*$AC$87</f>
        <v>1739.55793377786</v>
      </c>
      <c r="AD113" s="126">
        <f>+AD28*$AD$87</f>
        <v>1616.20625884343</v>
      </c>
      <c r="AE113" s="71">
        <f>+AE28/$AE$87</f>
        <v>1504.6179221944033</v>
      </c>
      <c r="AF113" s="125">
        <f>+AF28*$AF$87</f>
        <v>1586.94373691194</v>
      </c>
      <c r="AG113" s="125">
        <f>+AG28*$AG$87</f>
        <v>1567.3032773798402</v>
      </c>
      <c r="AH113" s="126">
        <f aca="true" t="shared" si="48" ref="AH113:AH120">+AH28*$AH$87</f>
        <v>1496.2615455827997</v>
      </c>
      <c r="AI113" s="125">
        <f aca="true" t="shared" si="49" ref="AI113:AI120">+AI28*$AI$87</f>
        <v>1537.4755431359997</v>
      </c>
      <c r="AJ113" s="125">
        <f aca="true" t="shared" si="50" ref="AJ113:AJ120">+AJ28*$AJ$87</f>
        <v>1538.9537215884006</v>
      </c>
      <c r="AK113" s="125">
        <f aca="true" t="shared" si="51" ref="AK113:AK139">+AK28*$AK$87</f>
        <v>1526.1625240981202</v>
      </c>
      <c r="AL113" s="126">
        <f aca="true" t="shared" si="52" ref="AL113:AL139">+AL28*$AL$87</f>
        <v>1490.0761707819397</v>
      </c>
      <c r="AM113" s="125">
        <f aca="true" t="shared" si="53" ref="AM113:AM133">+AM28*$AM$87</f>
        <v>1603.9196174782</v>
      </c>
      <c r="AN113" s="125">
        <f aca="true" t="shared" si="54" ref="AN113:AN133">+AN28*$AN$87</f>
        <v>1614.49329934665</v>
      </c>
      <c r="AO113" s="125">
        <f aca="true" t="shared" si="55" ref="AO113:AO139">+AO28*$AO$87</f>
        <v>1616.68124247419</v>
      </c>
      <c r="AP113" s="125">
        <f aca="true" t="shared" si="56" ref="AP113:AP139">+AP28*$AP$87</f>
        <v>1593.80092093608</v>
      </c>
      <c r="AQ113" s="125">
        <f aca="true" t="shared" si="57" ref="AQ113:AQ139">+AQ28*$AQ$87</f>
        <v>1569.22055227138</v>
      </c>
      <c r="AR113" s="125">
        <f aca="true" t="shared" si="58" ref="AR113:AR139">+AR28*$AR$87</f>
        <v>1605.62741872456</v>
      </c>
      <c r="AS113" s="125">
        <f aca="true" t="shared" si="59" ref="AS113:AS139">+AS28*$AS$87</f>
        <v>1609.38039426528</v>
      </c>
      <c r="AT113" s="125">
        <f aca="true" t="shared" si="60" ref="AT113:AT139">+AT28*$AT$87</f>
        <v>1644.3703313345102</v>
      </c>
      <c r="AU113" s="125">
        <f aca="true" t="shared" si="61" ref="AU113:AU139">+AU28*$AU$87</f>
        <v>1616.1147387458702</v>
      </c>
      <c r="AV113" s="125">
        <f aca="true" t="shared" si="62" ref="AV113:AV139">+AV28*$AV$87</f>
        <v>1667.07909156062</v>
      </c>
      <c r="AW113" s="125">
        <f aca="true" t="shared" si="63" ref="AW113:AW139">+AW28*$AW$87</f>
        <v>1688.1113175232</v>
      </c>
      <c r="AX113" s="257">
        <f aca="true" t="shared" si="64" ref="AX113:AX139">+AX28*$AX$87</f>
        <v>1664.8396283706102</v>
      </c>
      <c r="AY113" s="125">
        <f aca="true" t="shared" si="65" ref="AY113:AY139">+AY28*$AY$87</f>
        <v>1744.77368617968</v>
      </c>
      <c r="AZ113" s="125">
        <f aca="true" t="shared" si="66" ref="AZ113:AZ139">+AZ28*$AZ$87</f>
        <v>1811.8353934761399</v>
      </c>
      <c r="BA113" s="257">
        <f>+BA28*$BA$87</f>
        <v>1713.30582648576</v>
      </c>
    </row>
    <row r="114" spans="2:53" s="29" customFormat="1" ht="14.25">
      <c r="B114" s="117" t="s">
        <v>43</v>
      </c>
      <c r="C114" s="450">
        <f aca="true" t="shared" si="67" ref="C114:Y114">+C29*C87</f>
        <v>181.45063814000002</v>
      </c>
      <c r="D114" s="158">
        <f t="shared" si="67"/>
        <v>187.8727799786</v>
      </c>
      <c r="E114" s="158">
        <f t="shared" si="67"/>
        <v>173.31445553499998</v>
      </c>
      <c r="F114" s="126">
        <f t="shared" si="67"/>
        <v>169.67804399472</v>
      </c>
      <c r="G114" s="450">
        <f t="shared" si="67"/>
        <v>162.24274304992</v>
      </c>
      <c r="H114" s="158">
        <f t="shared" si="67"/>
        <v>156.66200253824</v>
      </c>
      <c r="I114" s="158">
        <f t="shared" si="67"/>
        <v>290.029864131</v>
      </c>
      <c r="J114" s="126">
        <f t="shared" si="67"/>
        <v>216.15462886013998</v>
      </c>
      <c r="K114" s="450">
        <f t="shared" si="67"/>
        <v>212.39248102578</v>
      </c>
      <c r="L114" s="158">
        <f t="shared" si="67"/>
        <v>215.56973100689999</v>
      </c>
      <c r="M114" s="158">
        <f t="shared" si="67"/>
        <v>207.97516302836</v>
      </c>
      <c r="N114" s="126">
        <f t="shared" si="67"/>
        <v>256.7783259002</v>
      </c>
      <c r="O114" s="450">
        <f t="shared" si="67"/>
        <v>228.164194737</v>
      </c>
      <c r="P114" s="158">
        <f t="shared" si="67"/>
        <v>225.89717442275003</v>
      </c>
      <c r="Q114" s="158">
        <f t="shared" si="67"/>
        <v>220.40827916039999</v>
      </c>
      <c r="R114" s="126">
        <f t="shared" si="67"/>
        <v>214.72101901151999</v>
      </c>
      <c r="S114" s="450">
        <f t="shared" si="67"/>
        <v>199.83997079704002</v>
      </c>
      <c r="T114" s="158">
        <f t="shared" si="67"/>
        <v>511.95839977425</v>
      </c>
      <c r="U114" s="158">
        <f t="shared" si="67"/>
        <v>382.2420908988</v>
      </c>
      <c r="V114" s="126">
        <f t="shared" si="67"/>
        <v>394.47446581290006</v>
      </c>
      <c r="W114" s="450">
        <f t="shared" si="67"/>
        <v>202.079740401</v>
      </c>
      <c r="X114" s="158">
        <f t="shared" si="67"/>
        <v>204.74383371750002</v>
      </c>
      <c r="Y114" s="158">
        <f t="shared" si="67"/>
        <v>205.26819151</v>
      </c>
      <c r="Z114" s="107">
        <f>+Z29*$Z$87</f>
        <v>198.4106823024</v>
      </c>
      <c r="AA114" s="96">
        <f>+AA29*$AA$87</f>
        <v>174.64211256424</v>
      </c>
      <c r="AB114" s="96">
        <f>+AB29*$AB$87</f>
        <v>520.3788399855999</v>
      </c>
      <c r="AC114" s="96">
        <f>+AC29*$AC$87</f>
        <v>492.9904799969399</v>
      </c>
      <c r="AD114" s="107">
        <f>+AD29*$AD$87</f>
        <v>449.49132001006</v>
      </c>
      <c r="AE114" s="71">
        <f>+AE29/$AE$87</f>
        <v>383.4370399948328</v>
      </c>
      <c r="AF114" s="125">
        <f>+AF29*$AF$87</f>
        <v>397.13122001244994</v>
      </c>
      <c r="AG114" s="125">
        <f>+AG29*$AG$87</f>
        <v>373.77056000231994</v>
      </c>
      <c r="AH114" s="126">
        <f t="shared" si="48"/>
        <v>347.9932800284399</v>
      </c>
      <c r="AI114" s="125">
        <f t="shared" si="49"/>
        <v>338.32679998718</v>
      </c>
      <c r="AJ114" s="125">
        <f t="shared" si="50"/>
        <v>338.32679999736</v>
      </c>
      <c r="AK114" s="125">
        <f t="shared" si="51"/>
        <v>304.49412001007994</v>
      </c>
      <c r="AL114" s="126">
        <f t="shared" si="52"/>
        <v>281.93899999377004</v>
      </c>
      <c r="AM114" s="125">
        <f t="shared" si="53"/>
        <v>315.77168003391995</v>
      </c>
      <c r="AN114" s="125">
        <f t="shared" si="54"/>
        <v>315.77167999025</v>
      </c>
      <c r="AO114" s="125">
        <f t="shared" si="55"/>
        <v>293.21655999723</v>
      </c>
      <c r="AP114" s="125">
        <f t="shared" si="56"/>
        <v>282.74454001751997</v>
      </c>
      <c r="AQ114" s="125">
        <f t="shared" si="57"/>
        <v>272.27251999552</v>
      </c>
      <c r="AR114" s="125">
        <f t="shared" si="58"/>
        <v>282.74454001486004</v>
      </c>
      <c r="AS114" s="125">
        <f t="shared" si="59"/>
        <v>282.74453999568004</v>
      </c>
      <c r="AT114" s="125">
        <f t="shared" si="60"/>
        <v>293.21656001624996</v>
      </c>
      <c r="AU114" s="125">
        <f t="shared" si="61"/>
        <v>270.66144002128004</v>
      </c>
      <c r="AV114" s="125">
        <f t="shared" si="62"/>
        <v>280.32791998857</v>
      </c>
      <c r="AW114" s="125">
        <f t="shared" si="63"/>
        <v>280.32792001008</v>
      </c>
      <c r="AX114" s="257">
        <f t="shared" si="64"/>
        <v>270.6614400266</v>
      </c>
      <c r="AY114" s="125">
        <f t="shared" si="65"/>
        <v>289.99439998542</v>
      </c>
      <c r="AZ114" s="125">
        <f t="shared" si="66"/>
        <v>309.32736001359</v>
      </c>
      <c r="BA114" s="257">
        <f>+BA29*$BA$87</f>
        <v>274.68913997824</v>
      </c>
    </row>
    <row r="115" spans="2:53" s="29" customFormat="1" ht="14.25">
      <c r="B115" s="117" t="s">
        <v>44</v>
      </c>
      <c r="C115" s="450">
        <f aca="true" t="shared" si="68" ref="C115:Y115">+C30*C87</f>
        <v>3.1153845</v>
      </c>
      <c r="D115" s="158">
        <f t="shared" si="68"/>
        <v>3.6268794219999996</v>
      </c>
      <c r="E115" s="158">
        <f t="shared" si="68"/>
        <v>4.47912647</v>
      </c>
      <c r="F115" s="126">
        <f t="shared" si="68"/>
        <v>23.702337407</v>
      </c>
      <c r="G115" s="450">
        <f t="shared" si="68"/>
        <v>24.1023611672</v>
      </c>
      <c r="H115" s="158">
        <f t="shared" si="68"/>
        <v>44.54683166461</v>
      </c>
      <c r="I115" s="158">
        <f t="shared" si="68"/>
        <v>59.14445879664</v>
      </c>
      <c r="J115" s="126">
        <f t="shared" si="68"/>
        <v>61.0873481034</v>
      </c>
      <c r="K115" s="450">
        <f t="shared" si="68"/>
        <v>60.21536297662</v>
      </c>
      <c r="L115" s="158">
        <f t="shared" si="68"/>
        <v>62.93785208496001</v>
      </c>
      <c r="M115" s="158">
        <f t="shared" si="68"/>
        <v>67.14079078148</v>
      </c>
      <c r="N115" s="126">
        <f t="shared" si="68"/>
        <v>91.39416159694</v>
      </c>
      <c r="O115" s="450">
        <f t="shared" si="68"/>
        <v>82.38884076941</v>
      </c>
      <c r="P115" s="158">
        <f t="shared" si="68"/>
        <v>82.89299699006</v>
      </c>
      <c r="Q115" s="158">
        <f t="shared" si="68"/>
        <v>81.9184112487</v>
      </c>
      <c r="R115" s="126">
        <f t="shared" si="68"/>
        <v>79.80502077365999</v>
      </c>
      <c r="S115" s="450">
        <f t="shared" si="68"/>
        <v>75.67622658456</v>
      </c>
      <c r="T115" s="158">
        <f t="shared" si="68"/>
        <v>79.86906729901</v>
      </c>
      <c r="U115" s="158">
        <f t="shared" si="68"/>
        <v>92.86920661967999</v>
      </c>
      <c r="V115" s="126">
        <f t="shared" si="68"/>
        <v>97.06960970947001</v>
      </c>
      <c r="W115" s="450">
        <f t="shared" si="68"/>
        <v>95.32290026325</v>
      </c>
      <c r="X115" s="158">
        <f t="shared" si="68"/>
        <v>99.72627887750001</v>
      </c>
      <c r="Y115" s="158">
        <f t="shared" si="68"/>
        <v>107.55711742947001</v>
      </c>
      <c r="Z115" s="107">
        <f>+Z30*$Z$87</f>
        <v>119.05839288063</v>
      </c>
      <c r="AA115" s="96">
        <f>+AA30*$AA$87</f>
        <v>113.69170154871999</v>
      </c>
      <c r="AB115" s="96">
        <f>+AB30*$AB$87</f>
        <v>121.91004698991</v>
      </c>
      <c r="AC115" s="96">
        <f>+AC30*$AC$87</f>
        <v>121.67941731113999</v>
      </c>
      <c r="AD115" s="107">
        <f>+AD30*$AD$87</f>
        <v>115.01263430483002</v>
      </c>
      <c r="AE115" s="71">
        <f>+AE30/$AE$87</f>
        <v>100.23683600141686</v>
      </c>
      <c r="AF115" s="125">
        <f>+AF30*$AF$87</f>
        <v>103.81672297568001</v>
      </c>
      <c r="AG115" s="125">
        <f>+AG30*$AG$87</f>
        <v>100.04274999758</v>
      </c>
      <c r="AH115" s="126">
        <f t="shared" si="48"/>
        <v>93.14325002604</v>
      </c>
      <c r="AI115" s="125">
        <f t="shared" si="49"/>
        <v>92.94916401427001</v>
      </c>
      <c r="AJ115" s="125">
        <f t="shared" si="50"/>
        <v>92.94916400843998</v>
      </c>
      <c r="AK115" s="125">
        <f t="shared" si="51"/>
        <v>86.11585202844</v>
      </c>
      <c r="AL115" s="126">
        <f t="shared" si="52"/>
        <v>79.73690002306</v>
      </c>
      <c r="AM115" s="125">
        <f t="shared" si="53"/>
        <v>89.30532798044</v>
      </c>
      <c r="AN115" s="125">
        <f t="shared" si="54"/>
        <v>89.30532800709999</v>
      </c>
      <c r="AO115" s="125">
        <f t="shared" si="55"/>
        <v>85.66149197117001</v>
      </c>
      <c r="AP115" s="125">
        <f t="shared" si="56"/>
        <v>82.60215300321998</v>
      </c>
      <c r="AQ115" s="125">
        <f t="shared" si="57"/>
        <v>79.54281401244002</v>
      </c>
      <c r="AR115" s="125">
        <f t="shared" si="58"/>
        <v>82.60215298962</v>
      </c>
      <c r="AS115" s="125">
        <f t="shared" si="59"/>
        <v>82.60215299616</v>
      </c>
      <c r="AT115" s="125">
        <f t="shared" si="60"/>
        <v>85.66149198633</v>
      </c>
      <c r="AU115" s="125">
        <f t="shared" si="61"/>
        <v>82.01765602216999</v>
      </c>
      <c r="AV115" s="125">
        <f t="shared" si="62"/>
        <v>84.94685800725999</v>
      </c>
      <c r="AW115" s="125">
        <f t="shared" si="63"/>
        <v>84.94685798399999</v>
      </c>
      <c r="AX115" s="257">
        <f t="shared" si="64"/>
        <v>82.01765600209</v>
      </c>
      <c r="AY115" s="125">
        <f t="shared" si="65"/>
        <v>87.87605999873999</v>
      </c>
      <c r="AZ115" s="125">
        <f t="shared" si="66"/>
        <v>93.73446401166</v>
      </c>
      <c r="BA115" s="257">
        <f aca="true" t="shared" si="69" ref="BA115:BA134">+BA30*$BA$87</f>
        <v>86.77101501952</v>
      </c>
    </row>
    <row r="116" spans="2:53" s="29" customFormat="1" ht="14.25">
      <c r="B116" s="117" t="s">
        <v>45</v>
      </c>
      <c r="C116" s="450">
        <f aca="true" t="shared" si="70" ref="C116:Y116">+C31*C87</f>
        <v>18.08562644166</v>
      </c>
      <c r="D116" s="158">
        <f t="shared" si="70"/>
        <v>18.0780855652</v>
      </c>
      <c r="E116" s="158">
        <f t="shared" si="70"/>
        <v>17.42660998</v>
      </c>
      <c r="F116" s="126">
        <f t="shared" si="70"/>
        <v>17.32322375795</v>
      </c>
      <c r="G116" s="450">
        <f t="shared" si="70"/>
        <v>16.96775190704</v>
      </c>
      <c r="H116" s="158">
        <f t="shared" si="70"/>
        <v>16.49964574538</v>
      </c>
      <c r="I116" s="158">
        <f t="shared" si="70"/>
        <v>17.142567505560002</v>
      </c>
      <c r="J116" s="126">
        <f t="shared" si="70"/>
        <v>15.939164600279998</v>
      </c>
      <c r="K116" s="450">
        <f t="shared" si="70"/>
        <v>15.300627587960001</v>
      </c>
      <c r="L116" s="158">
        <f t="shared" si="70"/>
        <v>15.93654049569</v>
      </c>
      <c r="M116" s="158">
        <f t="shared" si="70"/>
        <v>13.815264259809998</v>
      </c>
      <c r="N116" s="126">
        <f t="shared" si="70"/>
        <v>13.930775606819997</v>
      </c>
      <c r="O116" s="450">
        <f t="shared" si="70"/>
        <v>12.869048343300001</v>
      </c>
      <c r="P116" s="158">
        <f t="shared" si="70"/>
        <v>12.4999807213</v>
      </c>
      <c r="Q116" s="158">
        <f t="shared" si="70"/>
        <v>11.977966166549999</v>
      </c>
      <c r="R116" s="126">
        <f t="shared" si="70"/>
        <v>12.511172605819999</v>
      </c>
      <c r="S116" s="450">
        <f t="shared" si="70"/>
        <v>11.64449567904</v>
      </c>
      <c r="T116" s="158">
        <f t="shared" si="70"/>
        <v>11.01497794452</v>
      </c>
      <c r="U116" s="158">
        <f t="shared" si="70"/>
        <v>12.13958624212</v>
      </c>
      <c r="V116" s="126">
        <f t="shared" si="70"/>
        <v>13.183888999390003</v>
      </c>
      <c r="W116" s="450">
        <f t="shared" si="70"/>
        <v>13.130422892400002</v>
      </c>
      <c r="X116" s="158">
        <f t="shared" si="70"/>
        <v>12.763571535000002</v>
      </c>
      <c r="Y116" s="158">
        <f t="shared" si="70"/>
        <v>11.97049003263</v>
      </c>
      <c r="Z116" s="107">
        <f>+Z31*$Z$87</f>
        <v>10.98506668845</v>
      </c>
      <c r="AA116" s="96">
        <f>+AA31*$AA$87</f>
        <v>40.50966174852</v>
      </c>
      <c r="AB116" s="96">
        <f>+AB31*$AB$87</f>
        <v>41.91952861316</v>
      </c>
      <c r="AC116" s="96">
        <f>+AC31*$AC$87</f>
        <v>41.822277015720005</v>
      </c>
      <c r="AD116" s="107">
        <f>+AD31*$AD$87</f>
        <v>45.176857026129994</v>
      </c>
      <c r="AE116" s="71">
        <f>+AE31/$AE$87</f>
        <v>40.10659783546075</v>
      </c>
      <c r="AF116" s="125">
        <f>+AF31*$AF$87</f>
        <v>41.36286507331</v>
      </c>
      <c r="AG116" s="125">
        <f>+AG31*$AG$87</f>
        <v>40.336548751980004</v>
      </c>
      <c r="AH116" s="126">
        <f t="shared" si="48"/>
        <v>37.47231614027999</v>
      </c>
      <c r="AI116" s="125">
        <f t="shared" si="49"/>
        <v>37.6374140322</v>
      </c>
      <c r="AJ116" s="125">
        <f t="shared" si="50"/>
        <v>37.168934119199996</v>
      </c>
      <c r="AK116" s="125">
        <f t="shared" si="51"/>
        <v>34.7625097872</v>
      </c>
      <c r="AL116" s="126">
        <f t="shared" si="52"/>
        <v>32.03859443743</v>
      </c>
      <c r="AM116" s="125">
        <f t="shared" si="53"/>
        <v>35.60264203781999</v>
      </c>
      <c r="AN116" s="125">
        <f t="shared" si="54"/>
        <v>35.597671311700005</v>
      </c>
      <c r="AO116" s="125">
        <f t="shared" si="55"/>
        <v>34.46863590059</v>
      </c>
      <c r="AP116" s="125">
        <f t="shared" si="56"/>
        <v>33.33616284221</v>
      </c>
      <c r="AQ116" s="125">
        <f t="shared" si="57"/>
        <v>32.15614302518</v>
      </c>
      <c r="AR116" s="125">
        <f t="shared" si="58"/>
        <v>33.0671972653</v>
      </c>
      <c r="AS116" s="125">
        <f t="shared" si="59"/>
        <v>33.07552302432</v>
      </c>
      <c r="AT116" s="125">
        <f t="shared" si="60"/>
        <v>34.30520636439</v>
      </c>
      <c r="AU116" s="125">
        <f t="shared" si="61"/>
        <v>33.21139154267</v>
      </c>
      <c r="AV116" s="125">
        <f t="shared" si="62"/>
        <v>34.385757812049995</v>
      </c>
      <c r="AW116" s="125">
        <f t="shared" si="63"/>
        <v>34.376881996959995</v>
      </c>
      <c r="AX116" s="257">
        <f t="shared" si="64"/>
        <v>33.177538219729996</v>
      </c>
      <c r="AY116" s="125">
        <f t="shared" si="65"/>
        <v>35.527240008</v>
      </c>
      <c r="AZ116" s="125">
        <f t="shared" si="66"/>
        <v>37.881333098279995</v>
      </c>
      <c r="BA116" s="257">
        <f t="shared" si="69"/>
        <v>35.88803898368</v>
      </c>
    </row>
    <row r="117" spans="2:53" s="133" customFormat="1" ht="14.25">
      <c r="B117" s="117" t="s">
        <v>85</v>
      </c>
      <c r="C117" s="450">
        <f aca="true" t="shared" si="71" ref="C117:AD117">+C32*C87</f>
        <v>67.38379411148</v>
      </c>
      <c r="D117" s="158">
        <f t="shared" si="71"/>
        <v>70.20406355319999</v>
      </c>
      <c r="E117" s="158">
        <f t="shared" si="71"/>
        <v>66.677405405</v>
      </c>
      <c r="F117" s="126">
        <f t="shared" si="71"/>
        <v>69.18440816168001</v>
      </c>
      <c r="G117" s="450">
        <f t="shared" si="71"/>
        <v>66.82162258384</v>
      </c>
      <c r="H117" s="158">
        <f t="shared" si="71"/>
        <v>67.93148902107</v>
      </c>
      <c r="I117" s="158">
        <f t="shared" si="71"/>
        <v>66.91194427239</v>
      </c>
      <c r="J117" s="126">
        <f t="shared" si="71"/>
        <v>64.93056088356</v>
      </c>
      <c r="K117" s="450">
        <f t="shared" si="71"/>
        <v>64.35487727168</v>
      </c>
      <c r="L117" s="158">
        <f t="shared" si="71"/>
        <v>67.27298260422</v>
      </c>
      <c r="M117" s="158">
        <f t="shared" si="71"/>
        <v>60.34618210880999</v>
      </c>
      <c r="N117" s="126">
        <f t="shared" si="71"/>
        <v>61.16133578812</v>
      </c>
      <c r="O117" s="450">
        <f t="shared" si="71"/>
        <v>58.612273203899996</v>
      </c>
      <c r="P117" s="158">
        <f t="shared" si="71"/>
        <v>57.32350053151001</v>
      </c>
      <c r="Q117" s="158">
        <f t="shared" si="71"/>
        <v>57.1502784251</v>
      </c>
      <c r="R117" s="126">
        <f t="shared" si="71"/>
        <v>54.29522841743</v>
      </c>
      <c r="S117" s="450">
        <f t="shared" si="71"/>
        <v>50.28913097166001</v>
      </c>
      <c r="T117" s="158">
        <f t="shared" si="71"/>
        <v>45.952217206060006</v>
      </c>
      <c r="U117" s="158">
        <f t="shared" si="71"/>
        <v>46.494649999239996</v>
      </c>
      <c r="V117" s="126">
        <f t="shared" si="71"/>
        <v>42.31940011962</v>
      </c>
      <c r="W117" s="450">
        <f t="shared" si="71"/>
        <v>48.554496144000005</v>
      </c>
      <c r="X117" s="158">
        <f t="shared" si="71"/>
        <v>31.358237185</v>
      </c>
      <c r="Y117" s="158">
        <f t="shared" si="71"/>
        <v>29.1958746293</v>
      </c>
      <c r="Z117" s="107">
        <f t="shared" si="71"/>
        <v>27.481693044750003</v>
      </c>
      <c r="AA117" s="96">
        <f t="shared" si="71"/>
        <v>27.98547603848</v>
      </c>
      <c r="AB117" s="96">
        <f t="shared" si="71"/>
        <v>38.131400438339995</v>
      </c>
      <c r="AC117" s="96">
        <f t="shared" si="71"/>
        <v>37.367244126239996</v>
      </c>
      <c r="AD117" s="107">
        <f t="shared" si="71"/>
        <v>36.59572562471</v>
      </c>
      <c r="AE117" s="71">
        <f>+AE32/AE87</f>
        <v>35.778295337709594</v>
      </c>
      <c r="AF117" s="188">
        <f>+AF32*AF87</f>
        <v>37.64203481643</v>
      </c>
      <c r="AG117" s="188">
        <f>+AG32*AG87</f>
        <v>38.4555366195</v>
      </c>
      <c r="AH117" s="126">
        <f t="shared" si="48"/>
        <v>40.20466595519999</v>
      </c>
      <c r="AI117" s="125">
        <f t="shared" si="49"/>
        <v>40.34738032146</v>
      </c>
      <c r="AJ117" s="125">
        <f t="shared" si="50"/>
        <v>36.16626623508</v>
      </c>
      <c r="AK117" s="125">
        <f t="shared" si="51"/>
        <v>34.65322518492</v>
      </c>
      <c r="AL117" s="126">
        <f t="shared" si="52"/>
        <v>32.88961731657</v>
      </c>
      <c r="AM117" s="125">
        <f t="shared" si="53"/>
        <v>31.41368920712</v>
      </c>
      <c r="AN117" s="125">
        <f t="shared" si="54"/>
        <v>31.317622862</v>
      </c>
      <c r="AO117" s="125">
        <f t="shared" si="55"/>
        <v>29.649562088959996</v>
      </c>
      <c r="AP117" s="125">
        <f t="shared" si="56"/>
        <v>31.142956806859996</v>
      </c>
      <c r="AQ117" s="125">
        <f t="shared" si="57"/>
        <v>31.40495591276</v>
      </c>
      <c r="AR117" s="125">
        <f t="shared" si="58"/>
        <v>29.76841343542</v>
      </c>
      <c r="AS117" s="125">
        <f t="shared" si="59"/>
        <v>30.03390650736</v>
      </c>
      <c r="AT117" s="125">
        <f t="shared" si="60"/>
        <v>31.294998741630003</v>
      </c>
      <c r="AU117" s="125">
        <f t="shared" si="61"/>
        <v>30.846979114599996</v>
      </c>
      <c r="AV117" s="125">
        <f t="shared" si="62"/>
        <v>31.278405411439998</v>
      </c>
      <c r="AW117" s="125">
        <f t="shared" si="63"/>
        <v>30.772309208</v>
      </c>
      <c r="AX117" s="257">
        <f t="shared" si="64"/>
        <v>29.95452095345</v>
      </c>
      <c r="AY117" s="125">
        <f t="shared" si="65"/>
        <v>30.905582855550005</v>
      </c>
      <c r="AZ117" s="125">
        <f t="shared" si="66"/>
        <v>32.11602532506</v>
      </c>
      <c r="BA117" s="257">
        <f t="shared" si="69"/>
        <v>30.606902277119993</v>
      </c>
    </row>
    <row r="118" spans="2:53" s="133" customFormat="1" ht="14.25">
      <c r="B118" s="117" t="s">
        <v>51</v>
      </c>
      <c r="C118" s="450">
        <f aca="true" t="shared" si="72" ref="C118:AD118">+C33*C87</f>
        <v>38.396441724480006</v>
      </c>
      <c r="D118" s="158">
        <f t="shared" si="72"/>
        <v>38.5489051804</v>
      </c>
      <c r="E118" s="158">
        <f t="shared" si="72"/>
        <v>38.169244392500005</v>
      </c>
      <c r="F118" s="126">
        <f t="shared" si="72"/>
        <v>38.146254024410005</v>
      </c>
      <c r="G118" s="450">
        <f t="shared" si="72"/>
        <v>38.43724752240001</v>
      </c>
      <c r="H118" s="158">
        <f t="shared" si="72"/>
        <v>37.61925800678</v>
      </c>
      <c r="I118" s="158">
        <f t="shared" si="72"/>
        <v>38.685501414630004</v>
      </c>
      <c r="J118" s="126">
        <f t="shared" si="72"/>
        <v>17.973156242610003</v>
      </c>
      <c r="K118" s="450">
        <f t="shared" si="72"/>
        <v>37.4070120932</v>
      </c>
      <c r="L118" s="158">
        <f t="shared" si="72"/>
        <v>39.324802962780005</v>
      </c>
      <c r="M118" s="158">
        <f t="shared" si="72"/>
        <v>36.75495156280999</v>
      </c>
      <c r="N118" s="126">
        <f t="shared" si="72"/>
        <v>37.7105403872</v>
      </c>
      <c r="O118" s="450">
        <f t="shared" si="72"/>
        <v>36.22884008185</v>
      </c>
      <c r="P118" s="158">
        <f t="shared" si="72"/>
        <v>36.1638867911</v>
      </c>
      <c r="Q118" s="158">
        <f t="shared" si="72"/>
        <v>37.28236382875</v>
      </c>
      <c r="R118" s="126">
        <f t="shared" si="72"/>
        <v>37.5125671452</v>
      </c>
      <c r="S118" s="450">
        <f t="shared" si="72"/>
        <v>34.74475484746</v>
      </c>
      <c r="T118" s="158">
        <f t="shared" si="72"/>
        <v>30.821665720229998</v>
      </c>
      <c r="U118" s="158">
        <f t="shared" si="72"/>
        <v>33.93062460344</v>
      </c>
      <c r="V118" s="126">
        <f t="shared" si="72"/>
        <v>32.54144915404</v>
      </c>
      <c r="W118" s="450">
        <f t="shared" si="72"/>
        <v>34.4685486552</v>
      </c>
      <c r="X118" s="158">
        <f t="shared" si="72"/>
        <v>33.84490153</v>
      </c>
      <c r="Y118" s="158">
        <f t="shared" si="72"/>
        <v>31.32217583993</v>
      </c>
      <c r="Z118" s="113">
        <f t="shared" si="72"/>
        <v>28.633679861610002</v>
      </c>
      <c r="AA118" s="208">
        <f t="shared" si="72"/>
        <v>29.15858091112</v>
      </c>
      <c r="AB118" s="134">
        <f t="shared" si="72"/>
        <v>27.7679721489</v>
      </c>
      <c r="AC118" s="134">
        <f t="shared" si="72"/>
        <v>27.211499751239998</v>
      </c>
      <c r="AD118" s="113">
        <f t="shared" si="72"/>
        <v>26.911289758980004</v>
      </c>
      <c r="AE118" s="136">
        <f>+AE33/AE87</f>
        <v>26.310178466977053</v>
      </c>
      <c r="AF118" s="188">
        <f>+AF33*AF87</f>
        <v>27.9732140149</v>
      </c>
      <c r="AG118" s="188">
        <f>+AG33*AG87</f>
        <v>28.577757905060004</v>
      </c>
      <c r="AH118" s="126">
        <f t="shared" si="48"/>
        <v>29.50147584528</v>
      </c>
      <c r="AI118" s="125">
        <f t="shared" si="49"/>
        <v>29.606197104090004</v>
      </c>
      <c r="AJ118" s="125">
        <f t="shared" si="50"/>
        <v>27.51887751252</v>
      </c>
      <c r="AK118" s="125">
        <f t="shared" si="51"/>
        <v>26.36760599832</v>
      </c>
      <c r="AL118" s="126">
        <f t="shared" si="52"/>
        <v>25.357720028129997</v>
      </c>
      <c r="AM118" s="125">
        <f t="shared" si="53"/>
        <v>24.219787294339998</v>
      </c>
      <c r="AN118" s="125">
        <f t="shared" si="54"/>
        <v>24.14572071065</v>
      </c>
      <c r="AO118" s="125">
        <f t="shared" si="55"/>
        <v>22.85965469216</v>
      </c>
      <c r="AP118" s="125">
        <f t="shared" si="56"/>
        <v>24.01105408973</v>
      </c>
      <c r="AQ118" s="125">
        <f t="shared" si="57"/>
        <v>24.21305401174</v>
      </c>
      <c r="AR118" s="125">
        <f t="shared" si="58"/>
        <v>23.283452663349998</v>
      </c>
      <c r="AS118" s="125">
        <f t="shared" si="59"/>
        <v>23.491108880400002</v>
      </c>
      <c r="AT118" s="125">
        <f t="shared" si="60"/>
        <v>24.477475871550002</v>
      </c>
      <c r="AU118" s="125">
        <f t="shared" si="61"/>
        <v>24.1270560223</v>
      </c>
      <c r="AV118" s="125">
        <f t="shared" si="62"/>
        <v>24.46449737253</v>
      </c>
      <c r="AW118" s="125">
        <f t="shared" si="63"/>
        <v>24.06865271776</v>
      </c>
      <c r="AX118" s="257">
        <f t="shared" si="64"/>
        <v>23.800393894449996</v>
      </c>
      <c r="AY118" s="125">
        <f t="shared" si="65"/>
        <v>24.556061070060004</v>
      </c>
      <c r="AZ118" s="125">
        <f t="shared" si="66"/>
        <v>25.51781932344</v>
      </c>
      <c r="BA118" s="257">
        <f t="shared" si="69"/>
        <v>24.31874412032</v>
      </c>
    </row>
    <row r="119" spans="2:53" s="133" customFormat="1" ht="14.25">
      <c r="B119" s="117" t="s">
        <v>46</v>
      </c>
      <c r="C119" s="450">
        <f aca="true" t="shared" si="73" ref="C119:Y119">+C34*C87</f>
        <v>28.71319425276</v>
      </c>
      <c r="D119" s="158">
        <f t="shared" si="73"/>
        <v>29.5756923276</v>
      </c>
      <c r="E119" s="158">
        <f t="shared" si="73"/>
        <v>30.1595981375</v>
      </c>
      <c r="F119" s="126">
        <f t="shared" si="73"/>
        <v>30.56156881128</v>
      </c>
      <c r="G119" s="450">
        <f t="shared" si="73"/>
        <v>30.794703561920002</v>
      </c>
      <c r="H119" s="158">
        <f t="shared" si="73"/>
        <v>30.95295676872</v>
      </c>
      <c r="I119" s="158">
        <f t="shared" si="73"/>
        <v>32.28279354909</v>
      </c>
      <c r="J119" s="126">
        <f t="shared" si="73"/>
        <v>32.69093206428</v>
      </c>
      <c r="K119" s="450">
        <f t="shared" si="73"/>
        <v>33.18734046546</v>
      </c>
      <c r="L119" s="158">
        <f t="shared" si="73"/>
        <v>36.15820477287</v>
      </c>
      <c r="M119" s="158">
        <f t="shared" si="73"/>
        <v>33.25695697415</v>
      </c>
      <c r="N119" s="126">
        <f t="shared" si="73"/>
        <v>35.32485507186</v>
      </c>
      <c r="O119" s="450">
        <f t="shared" si="73"/>
        <v>33.90966656996</v>
      </c>
      <c r="P119" s="158">
        <f t="shared" si="73"/>
        <v>34.23278022483</v>
      </c>
      <c r="Q119" s="158">
        <f t="shared" si="73"/>
        <v>34.12933446165</v>
      </c>
      <c r="R119" s="126">
        <f t="shared" si="73"/>
        <v>32.471815093059995</v>
      </c>
      <c r="S119" s="450">
        <f t="shared" si="73"/>
        <v>30.075927649180002</v>
      </c>
      <c r="T119" s="158">
        <f t="shared" si="73"/>
        <v>26.215367666619997</v>
      </c>
      <c r="U119" s="158">
        <f t="shared" si="73"/>
        <v>28.843583151279997</v>
      </c>
      <c r="V119" s="126">
        <f t="shared" si="73"/>
        <v>27.34230622272</v>
      </c>
      <c r="W119" s="450">
        <f t="shared" si="73"/>
        <v>29.132511602700003</v>
      </c>
      <c r="X119" s="158">
        <f t="shared" si="73"/>
        <v>28.260158382500002</v>
      </c>
      <c r="Y119" s="158">
        <f t="shared" si="73"/>
        <v>26.311429478560004</v>
      </c>
      <c r="Z119" s="113">
        <f>+Z34*$Z$87</f>
        <v>23.89633991973</v>
      </c>
      <c r="AA119" s="156">
        <f>+AA34*$AA$87</f>
        <v>24.334398105160002</v>
      </c>
      <c r="AB119" s="156">
        <f>+AB34*$AB$87</f>
        <v>23.211562822660003</v>
      </c>
      <c r="AC119" s="156">
        <f>+AC34*$AC$87</f>
        <v>22.74640122252</v>
      </c>
      <c r="AD119" s="113">
        <f>+AD34*$AD$87</f>
        <v>22.450365089519998</v>
      </c>
      <c r="AE119" s="136">
        <f>+AE34/$AE$87</f>
        <v>21.94889645874588</v>
      </c>
      <c r="AF119" s="188">
        <f>+AF34*$AF$87</f>
        <v>23.16296207181</v>
      </c>
      <c r="AG119" s="188">
        <f>+AG34*$AG$87</f>
        <v>23.663549033019997</v>
      </c>
      <c r="AH119" s="126">
        <f t="shared" si="48"/>
        <v>23.59106300352</v>
      </c>
      <c r="AI119" s="125">
        <f t="shared" si="49"/>
        <v>23.674804108950003</v>
      </c>
      <c r="AJ119" s="125">
        <f t="shared" si="50"/>
        <v>22.71685694796</v>
      </c>
      <c r="AK119" s="125">
        <f t="shared" si="51"/>
        <v>21.76648134036</v>
      </c>
      <c r="AL119" s="126">
        <f t="shared" si="52"/>
        <v>20.994893281179998</v>
      </c>
      <c r="AM119" s="125">
        <f t="shared" si="53"/>
        <v>20.05274326</v>
      </c>
      <c r="AN119" s="125">
        <f t="shared" si="54"/>
        <v>19.99141988255</v>
      </c>
      <c r="AO119" s="125">
        <f t="shared" si="55"/>
        <v>18.926623103709996</v>
      </c>
      <c r="AP119" s="125">
        <f t="shared" si="56"/>
        <v>19.8799228255</v>
      </c>
      <c r="AQ119" s="125">
        <f t="shared" si="57"/>
        <v>20.047168395619998</v>
      </c>
      <c r="AR119" s="125">
        <f t="shared" si="58"/>
        <v>19.33878959144</v>
      </c>
      <c r="AS119" s="125">
        <f t="shared" si="59"/>
        <v>19.5112648668</v>
      </c>
      <c r="AT119" s="125">
        <f t="shared" si="60"/>
        <v>20.33052238074</v>
      </c>
      <c r="AU119" s="125">
        <f t="shared" si="61"/>
        <v>20.03947038291</v>
      </c>
      <c r="AV119" s="125">
        <f t="shared" si="62"/>
        <v>20.31974269211</v>
      </c>
      <c r="AW119" s="125">
        <f t="shared" si="63"/>
        <v>19.99096168464</v>
      </c>
      <c r="AX119" s="257">
        <f t="shared" si="64"/>
        <v>19.83569162542</v>
      </c>
      <c r="AY119" s="125">
        <f t="shared" si="65"/>
        <v>20.46547871901</v>
      </c>
      <c r="AZ119" s="125">
        <f t="shared" si="66"/>
        <v>21.26702598317</v>
      </c>
      <c r="BA119" s="257">
        <f t="shared" si="69"/>
        <v>20.267694353919996</v>
      </c>
    </row>
    <row r="120" spans="2:53" s="133" customFormat="1" ht="14.25">
      <c r="B120" s="117" t="s">
        <v>47</v>
      </c>
      <c r="C120" s="450">
        <f aca="true" t="shared" si="74" ref="C120:Y120">+C35*C87</f>
        <v>33.73697622452</v>
      </c>
      <c r="D120" s="158">
        <f t="shared" si="74"/>
        <v>33.918971713</v>
      </c>
      <c r="E120" s="158">
        <f t="shared" si="74"/>
        <v>33.3113289925</v>
      </c>
      <c r="F120" s="126">
        <f t="shared" si="74"/>
        <v>33.337943485560004</v>
      </c>
      <c r="G120" s="450">
        <f t="shared" si="74"/>
        <v>33.3072384624</v>
      </c>
      <c r="H120" s="158">
        <f t="shared" si="74"/>
        <v>32.643337875600004</v>
      </c>
      <c r="I120" s="158">
        <f t="shared" si="74"/>
        <v>33.271663403160005</v>
      </c>
      <c r="J120" s="126">
        <f t="shared" si="74"/>
        <v>31.91118591096</v>
      </c>
      <c r="K120" s="450">
        <f t="shared" si="74"/>
        <v>31.011672610519998</v>
      </c>
      <c r="L120" s="158">
        <f t="shared" si="74"/>
        <v>32.97220818861</v>
      </c>
      <c r="M120" s="158">
        <f t="shared" si="74"/>
        <v>28.98152550397</v>
      </c>
      <c r="N120" s="126">
        <f t="shared" si="74"/>
        <v>29.88960890468</v>
      </c>
      <c r="O120" s="450">
        <f t="shared" si="74"/>
        <v>28.04725178831</v>
      </c>
      <c r="P120" s="158">
        <f t="shared" si="74"/>
        <v>27.927133877760003</v>
      </c>
      <c r="Q120" s="158">
        <f t="shared" si="74"/>
        <v>27.242250142699998</v>
      </c>
      <c r="R120" s="126">
        <f t="shared" si="74"/>
        <v>26.36399404471</v>
      </c>
      <c r="S120" s="450">
        <f t="shared" si="74"/>
        <v>23.872768055919998</v>
      </c>
      <c r="T120" s="158">
        <f t="shared" si="74"/>
        <v>21.17549030487</v>
      </c>
      <c r="U120" s="158">
        <f t="shared" si="74"/>
        <v>18.855264073599997</v>
      </c>
      <c r="V120" s="126">
        <f t="shared" si="74"/>
        <v>18.480609933380002</v>
      </c>
      <c r="W120" s="450">
        <f t="shared" si="74"/>
        <v>19.6906064322</v>
      </c>
      <c r="X120" s="158">
        <f t="shared" si="74"/>
        <v>14.181054552500001</v>
      </c>
      <c r="Y120" s="158">
        <f t="shared" si="74"/>
        <v>17.42725076086</v>
      </c>
      <c r="Z120" s="113">
        <f>+Z35*$Z$87</f>
        <v>18.96120720306</v>
      </c>
      <c r="AA120" s="156">
        <f>+AA35*$AA$87</f>
        <v>18.802677920640004</v>
      </c>
      <c r="AB120" s="156">
        <f>+AB35*$AB$87</f>
        <v>18.133953760909996</v>
      </c>
      <c r="AC120" s="156">
        <f>+AC35*$AC$87</f>
        <v>17.2837859151</v>
      </c>
      <c r="AD120" s="113">
        <f>+AD35*$AD$87</f>
        <v>17.312822312639998</v>
      </c>
      <c r="AE120" s="136">
        <f>+AE35/$AE$87</f>
        <v>16.44062767050441</v>
      </c>
      <c r="AF120" s="188">
        <f>+AF35*$AF$87</f>
        <v>17.70627577928</v>
      </c>
      <c r="AG120" s="188">
        <f>+AG35*$AG$87</f>
        <v>17.544438935139997</v>
      </c>
      <c r="AH120" s="126">
        <f t="shared" si="48"/>
        <v>17.71066343232</v>
      </c>
      <c r="AI120" s="125">
        <f t="shared" si="49"/>
        <v>17.21069021889</v>
      </c>
      <c r="AJ120" s="125">
        <f t="shared" si="50"/>
        <v>16.78910926968</v>
      </c>
      <c r="AK120" s="125">
        <f t="shared" si="51"/>
        <v>15.549338865480003</v>
      </c>
      <c r="AL120" s="126">
        <f t="shared" si="52"/>
        <v>15.151423089879996</v>
      </c>
      <c r="AM120" s="125">
        <f t="shared" si="53"/>
        <v>14.471499940039998</v>
      </c>
      <c r="AN120" s="125">
        <f t="shared" si="54"/>
        <v>14.427244574200003</v>
      </c>
      <c r="AO120" s="125">
        <f t="shared" si="55"/>
        <v>13.176030535079999</v>
      </c>
      <c r="AP120" s="125">
        <f t="shared" si="56"/>
        <v>13.839683325969997</v>
      </c>
      <c r="AQ120" s="125">
        <f t="shared" si="57"/>
        <v>13.956113588279997</v>
      </c>
      <c r="AR120" s="125">
        <f t="shared" si="58"/>
        <v>13.59691968789</v>
      </c>
      <c r="AS120" s="125">
        <f t="shared" si="59"/>
        <v>13.718185430880002</v>
      </c>
      <c r="AT120" s="125">
        <f t="shared" si="60"/>
        <v>14.294197668660003</v>
      </c>
      <c r="AU120" s="125">
        <f t="shared" si="61"/>
        <v>13.56084981977</v>
      </c>
      <c r="AV120" s="125">
        <f t="shared" si="62"/>
        <v>13.750512063370001</v>
      </c>
      <c r="AW120" s="125">
        <f t="shared" si="63"/>
        <v>13.52802364976</v>
      </c>
      <c r="AX120" s="257">
        <f t="shared" si="64"/>
        <v>13.55151284989</v>
      </c>
      <c r="AY120" s="125">
        <f t="shared" si="65"/>
        <v>13.981776022109996</v>
      </c>
      <c r="AZ120" s="125">
        <f t="shared" si="66"/>
        <v>14.529383704630002</v>
      </c>
      <c r="BA120" s="257">
        <f t="shared" si="69"/>
        <v>13.292912355839997</v>
      </c>
    </row>
    <row r="121" spans="2:53" s="133" customFormat="1" ht="14.25">
      <c r="B121" s="117" t="s">
        <v>128</v>
      </c>
      <c r="C121" s="428">
        <f aca="true" t="shared" si="75" ref="C121:AD121">+C36*C87</f>
        <v>0</v>
      </c>
      <c r="D121" s="204">
        <f t="shared" si="75"/>
        <v>0</v>
      </c>
      <c r="E121" s="96">
        <f t="shared" si="75"/>
        <v>0.180816805</v>
      </c>
      <c r="F121" s="107">
        <f t="shared" si="75"/>
        <v>0.9495352473700001</v>
      </c>
      <c r="G121" s="450">
        <f t="shared" si="75"/>
        <v>1.09876897984</v>
      </c>
      <c r="H121" s="158">
        <f t="shared" si="75"/>
        <v>1.4981475070299999</v>
      </c>
      <c r="I121" s="158">
        <f t="shared" si="75"/>
        <v>1.6711693059600004</v>
      </c>
      <c r="J121" s="126">
        <f t="shared" si="75"/>
        <v>2.6940635996399998</v>
      </c>
      <c r="K121" s="450">
        <f t="shared" si="75"/>
        <v>3.37720055772</v>
      </c>
      <c r="L121" s="158">
        <f t="shared" si="75"/>
        <v>5.69432312904</v>
      </c>
      <c r="M121" s="158">
        <f t="shared" si="75"/>
        <v>6.31714267652</v>
      </c>
      <c r="N121" s="126">
        <f t="shared" si="75"/>
        <v>7.43752632466</v>
      </c>
      <c r="O121" s="450">
        <f t="shared" si="75"/>
        <v>9.21180788446</v>
      </c>
      <c r="P121" s="158">
        <f t="shared" si="75"/>
        <v>10.31875372724</v>
      </c>
      <c r="Q121" s="158">
        <f t="shared" si="75"/>
        <v>11.012412577849998</v>
      </c>
      <c r="R121" s="126">
        <f t="shared" si="75"/>
        <v>11.75419920801</v>
      </c>
      <c r="S121" s="450">
        <f t="shared" si="75"/>
        <v>11.2226133691</v>
      </c>
      <c r="T121" s="158">
        <f t="shared" si="75"/>
        <v>10.10323137538</v>
      </c>
      <c r="U121" s="158">
        <f t="shared" si="75"/>
        <v>11.5588784896</v>
      </c>
      <c r="V121" s="126">
        <f t="shared" si="75"/>
        <v>11.384622336060001</v>
      </c>
      <c r="W121" s="450">
        <f t="shared" si="75"/>
        <v>12.316184154450003</v>
      </c>
      <c r="X121" s="158">
        <f t="shared" si="75"/>
        <v>12.367198195000002</v>
      </c>
      <c r="Y121" s="158">
        <f t="shared" si="75"/>
        <v>11.87590696802</v>
      </c>
      <c r="Z121" s="113">
        <f t="shared" si="75"/>
        <v>11.178635017289999</v>
      </c>
      <c r="AA121" s="156">
        <f t="shared" si="75"/>
        <v>11.383557014040003</v>
      </c>
      <c r="AB121" s="156">
        <f t="shared" si="75"/>
        <v>11.172102840310002</v>
      </c>
      <c r="AC121" s="156">
        <f t="shared" si="75"/>
        <v>10.948213016459999</v>
      </c>
      <c r="AD121" s="113">
        <f t="shared" si="75"/>
        <v>12.868404271330002</v>
      </c>
      <c r="AE121" s="136">
        <f>+AE36/AE87</f>
        <v>12.580965680883372</v>
      </c>
      <c r="AF121" s="188">
        <f>+AF36*AF87</f>
        <v>14.3694318955</v>
      </c>
      <c r="AG121" s="188">
        <f>+AG36*AG87</f>
        <v>14.9876513774</v>
      </c>
      <c r="AH121" s="126">
        <f>+AH36*AH87</f>
        <v>16.129304548319997</v>
      </c>
      <c r="AI121" s="125">
        <f>+AI36*AI87</f>
        <v>16.48072937771</v>
      </c>
      <c r="AJ121" s="125">
        <f>+AJ36*AJ87</f>
        <v>16.422434755799998</v>
      </c>
      <c r="AK121" s="125">
        <f t="shared" si="51"/>
        <v>15.73539071124</v>
      </c>
      <c r="AL121" s="126">
        <f t="shared" si="52"/>
        <v>15.68125992524</v>
      </c>
      <c r="AM121" s="125">
        <f t="shared" si="53"/>
        <v>14.977560286919998</v>
      </c>
      <c r="AN121" s="125">
        <f t="shared" si="54"/>
        <v>14.960768071250001</v>
      </c>
      <c r="AO121" s="125">
        <f t="shared" si="55"/>
        <v>14.163917355499999</v>
      </c>
      <c r="AP121" s="125">
        <f t="shared" si="56"/>
        <v>14.877328212699998</v>
      </c>
      <c r="AQ121" s="125">
        <f t="shared" si="57"/>
        <v>15.002488024160002</v>
      </c>
      <c r="AR121" s="125">
        <f t="shared" si="58"/>
        <v>14.24433604</v>
      </c>
      <c r="AS121" s="125">
        <f t="shared" si="59"/>
        <v>14.371375850160002</v>
      </c>
      <c r="AT121" s="125">
        <f t="shared" si="60"/>
        <v>15.433448035979998</v>
      </c>
      <c r="AU121" s="125">
        <f t="shared" si="61"/>
        <v>15.212502630600001</v>
      </c>
      <c r="AV121" s="125">
        <f t="shared" si="62"/>
        <v>15.42526489224</v>
      </c>
      <c r="AW121" s="125">
        <f t="shared" si="63"/>
        <v>15.175678356639997</v>
      </c>
      <c r="AX121" s="257">
        <f t="shared" si="64"/>
        <v>14.823197776179999</v>
      </c>
      <c r="AY121" s="125">
        <f t="shared" si="65"/>
        <v>15.29383720839</v>
      </c>
      <c r="AZ121" s="125">
        <f t="shared" si="66"/>
        <v>15.89283284788</v>
      </c>
      <c r="BA121" s="257">
        <f t="shared" si="69"/>
        <v>15.146033077759999</v>
      </c>
    </row>
    <row r="122" spans="2:53" s="133" customFormat="1" ht="14.25">
      <c r="B122" s="117" t="s">
        <v>48</v>
      </c>
      <c r="C122" s="450">
        <f aca="true" t="shared" si="76" ref="C122:Y122">+C37*C87</f>
        <v>1.3923151154</v>
      </c>
      <c r="D122" s="158">
        <f t="shared" si="76"/>
        <v>1.4289972998</v>
      </c>
      <c r="E122" s="158">
        <f t="shared" si="76"/>
        <v>8.902964135</v>
      </c>
      <c r="F122" s="126">
        <f t="shared" si="76"/>
        <v>13.45103801057</v>
      </c>
      <c r="G122" s="450">
        <f t="shared" si="76"/>
        <v>13.90603619712</v>
      </c>
      <c r="H122" s="158">
        <f t="shared" si="76"/>
        <v>15.500499816329999</v>
      </c>
      <c r="I122" s="158">
        <f t="shared" si="76"/>
        <v>16.31453241978</v>
      </c>
      <c r="J122" s="126">
        <f t="shared" si="76"/>
        <v>16.29662919786</v>
      </c>
      <c r="K122" s="450">
        <f t="shared" si="76"/>
        <v>16.836452673980002</v>
      </c>
      <c r="L122" s="158">
        <f t="shared" si="76"/>
        <v>18.132705677100002</v>
      </c>
      <c r="M122" s="158">
        <f t="shared" si="76"/>
        <v>16.51000479778</v>
      </c>
      <c r="N122" s="126">
        <f t="shared" si="76"/>
        <v>17.26610654296</v>
      </c>
      <c r="O122" s="450">
        <f t="shared" si="76"/>
        <v>18.55395492564</v>
      </c>
      <c r="P122" s="158">
        <f t="shared" si="76"/>
        <v>18.730749219270002</v>
      </c>
      <c r="Q122" s="158">
        <f t="shared" si="76"/>
        <v>18.674148015999997</v>
      </c>
      <c r="R122" s="126">
        <f t="shared" si="76"/>
        <v>18.48111165894</v>
      </c>
      <c r="S122" s="450">
        <f t="shared" si="76"/>
        <v>17.11750869682</v>
      </c>
      <c r="T122" s="158">
        <f t="shared" si="76"/>
        <v>15.41014961662</v>
      </c>
      <c r="U122" s="158">
        <f t="shared" si="76"/>
        <v>17.06200552256</v>
      </c>
      <c r="V122" s="126">
        <f t="shared" si="76"/>
        <v>16.722983520880003</v>
      </c>
      <c r="W122" s="450">
        <f t="shared" si="76"/>
        <v>18.0093796971</v>
      </c>
      <c r="X122" s="158">
        <f t="shared" si="76"/>
        <v>14.919279759999998</v>
      </c>
      <c r="Y122" s="158">
        <f t="shared" si="76"/>
        <v>13.890494019180002</v>
      </c>
      <c r="Z122" s="113">
        <f>+Z37*$Z$87</f>
        <v>13.074939948089998</v>
      </c>
      <c r="AA122" s="156">
        <f>+AA37*$AA$87</f>
        <v>13.314624438560001</v>
      </c>
      <c r="AB122" s="156">
        <f>+AB37*$AB$87</f>
        <v>15.839150782619997</v>
      </c>
      <c r="AC122" s="156">
        <f>+AC37*$AC$87</f>
        <v>15.52173291792</v>
      </c>
      <c r="AD122" s="113">
        <f>+AD37*$AD$87</f>
        <v>15.440020228849999</v>
      </c>
      <c r="AE122" s="136">
        <f>+AE37/$AE$87</f>
        <v>15.095140059844045</v>
      </c>
      <c r="AF122" s="188">
        <f>+AF37*$AF$87</f>
        <v>16.148410655299998</v>
      </c>
      <c r="AG122" s="188">
        <f>+AG37*$AG$87</f>
        <v>16.497402466220002</v>
      </c>
      <c r="AH122" s="126">
        <f aca="true" t="shared" si="77" ref="AH122:AH133">+AH37*$AH$87</f>
        <v>16.54721263068</v>
      </c>
      <c r="AI122" s="125">
        <f aca="true" t="shared" si="78" ref="AI122:AI133">+AI37*$AI$87</f>
        <v>16.60595021567</v>
      </c>
      <c r="AJ122" s="125">
        <f aca="true" t="shared" si="79" ref="AJ122:AJ133">+AJ37*$AJ$87</f>
        <v>16.1015406318</v>
      </c>
      <c r="AK122" s="125">
        <f t="shared" si="51"/>
        <v>15.42792142668</v>
      </c>
      <c r="AL122" s="126">
        <f t="shared" si="52"/>
        <v>14.949290380709996</v>
      </c>
      <c r="AM122" s="125">
        <f t="shared" si="53"/>
        <v>14.27843800284</v>
      </c>
      <c r="AN122" s="125">
        <f t="shared" si="54"/>
        <v>14.23477305465</v>
      </c>
      <c r="AO122" s="125">
        <f t="shared" si="55"/>
        <v>13.47659079256</v>
      </c>
      <c r="AP122" s="125">
        <f t="shared" si="56"/>
        <v>14.155382244050001</v>
      </c>
      <c r="AQ122" s="125">
        <f t="shared" si="57"/>
        <v>14.27446847344</v>
      </c>
      <c r="AR122" s="125">
        <f t="shared" si="58"/>
        <v>13.837268141839997</v>
      </c>
      <c r="AS122" s="125">
        <f t="shared" si="59"/>
        <v>13.960677457440001</v>
      </c>
      <c r="AT122" s="125">
        <f t="shared" si="60"/>
        <v>14.54687164125</v>
      </c>
      <c r="AU122" s="125">
        <f t="shared" si="61"/>
        <v>14.338618442829999</v>
      </c>
      <c r="AV122" s="125">
        <f t="shared" si="62"/>
        <v>14.53915855489</v>
      </c>
      <c r="AW122" s="125">
        <f t="shared" si="63"/>
        <v>14.30390957504</v>
      </c>
      <c r="AX122" s="257">
        <f t="shared" si="64"/>
        <v>14.266633722779998</v>
      </c>
      <c r="AY122" s="125">
        <f t="shared" si="65"/>
        <v>14.719602153360002</v>
      </c>
      <c r="AZ122" s="125">
        <f t="shared" si="66"/>
        <v>15.296107406740003</v>
      </c>
      <c r="BA122" s="257">
        <f t="shared" si="69"/>
        <v>14.57734759936</v>
      </c>
    </row>
    <row r="123" spans="2:53" s="133" customFormat="1" ht="14.25">
      <c r="B123" s="117" t="s">
        <v>49</v>
      </c>
      <c r="C123" s="450">
        <f aca="true" t="shared" si="80" ref="C123:Y123">+C38*C87</f>
        <v>12.1724333406</v>
      </c>
      <c r="D123" s="158">
        <f t="shared" si="80"/>
        <v>12.633359498999999</v>
      </c>
      <c r="E123" s="158">
        <f t="shared" si="80"/>
        <v>12.85100167</v>
      </c>
      <c r="F123" s="126">
        <f t="shared" si="80"/>
        <v>13.13602263861</v>
      </c>
      <c r="G123" s="450">
        <f t="shared" si="80"/>
        <v>13.42901485728</v>
      </c>
      <c r="H123" s="158">
        <f t="shared" si="80"/>
        <v>13.449817669949999</v>
      </c>
      <c r="I123" s="158">
        <f t="shared" si="80"/>
        <v>13.83102613305</v>
      </c>
      <c r="J123" s="126">
        <f t="shared" si="80"/>
        <v>13.81584824208</v>
      </c>
      <c r="K123" s="450">
        <f t="shared" si="80"/>
        <v>13.69335495952</v>
      </c>
      <c r="L123" s="158">
        <f t="shared" si="80"/>
        <v>14.74761817092</v>
      </c>
      <c r="M123" s="158">
        <f t="shared" si="80"/>
        <v>13.22912136039</v>
      </c>
      <c r="N123" s="126">
        <f t="shared" si="80"/>
        <v>13.826402325739998</v>
      </c>
      <c r="O123" s="450">
        <f t="shared" si="80"/>
        <v>13.250149977729999</v>
      </c>
      <c r="P123" s="158">
        <f t="shared" si="80"/>
        <v>13.37640613113</v>
      </c>
      <c r="Q123" s="158">
        <f t="shared" si="80"/>
        <v>13.715185014849999</v>
      </c>
      <c r="R123" s="126">
        <f t="shared" si="80"/>
        <v>14.53520429025</v>
      </c>
      <c r="S123" s="450">
        <f t="shared" si="80"/>
        <v>13.99267456202</v>
      </c>
      <c r="T123" s="158">
        <f t="shared" si="80"/>
        <v>12.596997167260001</v>
      </c>
      <c r="U123" s="158">
        <f t="shared" si="80"/>
        <v>13.85990614084</v>
      </c>
      <c r="V123" s="126">
        <f t="shared" si="80"/>
        <v>13.829885150780001</v>
      </c>
      <c r="W123" s="450">
        <f t="shared" si="80"/>
        <v>14.735380639650002</v>
      </c>
      <c r="X123" s="158">
        <f t="shared" si="80"/>
        <v>10.942676387499999</v>
      </c>
      <c r="Y123" s="158">
        <f t="shared" si="80"/>
        <v>11.164372111050001</v>
      </c>
      <c r="Z123" s="113">
        <f>+Z38*$Z$87</f>
        <v>10.51783290657</v>
      </c>
      <c r="AA123" s="156">
        <f>+AA38*$AA$87</f>
        <v>10.7106415778</v>
      </c>
      <c r="AB123" s="156">
        <f>+AB38*$AB$87</f>
        <v>12.956786886849999</v>
      </c>
      <c r="AC123" s="156">
        <f>+AC38*$AC$87</f>
        <v>12.69713185062</v>
      </c>
      <c r="AD123" s="113">
        <f>+AD38*$AD$87</f>
        <v>12.603877535519999</v>
      </c>
      <c r="AE123" s="136">
        <f>+AE38/$AE$87</f>
        <v>12.322347622983303</v>
      </c>
      <c r="AF123" s="188">
        <f>+AF38*$AF$87</f>
        <v>13.153073154320001</v>
      </c>
      <c r="AG123" s="188">
        <f>+AG38*$AG$87</f>
        <v>13.43733113372</v>
      </c>
      <c r="AH123" s="126">
        <f t="shared" si="77"/>
        <v>13.446507290759998</v>
      </c>
      <c r="AI123" s="125">
        <f t="shared" si="78"/>
        <v>13.494238302580001</v>
      </c>
      <c r="AJ123" s="125">
        <f t="shared" si="79"/>
        <v>13.0521072774</v>
      </c>
      <c r="AK123" s="125">
        <f t="shared" si="51"/>
        <v>12.506063232959999</v>
      </c>
      <c r="AL123" s="126">
        <f t="shared" si="52"/>
        <v>12.08644157406</v>
      </c>
      <c r="AM123" s="125">
        <f t="shared" si="53"/>
        <v>11.54406011858</v>
      </c>
      <c r="AN123" s="125">
        <f t="shared" si="54"/>
        <v>11.5087571905</v>
      </c>
      <c r="AO123" s="125">
        <f t="shared" si="55"/>
        <v>10.89576982658</v>
      </c>
      <c r="AP123" s="125">
        <f t="shared" si="56"/>
        <v>11.44457002762</v>
      </c>
      <c r="AQ123" s="125">
        <f t="shared" si="57"/>
        <v>11.54085074536</v>
      </c>
      <c r="AR123" s="125">
        <f t="shared" si="58"/>
        <v>11.15637589231</v>
      </c>
      <c r="AS123" s="125">
        <f t="shared" si="59"/>
        <v>11.25587535408</v>
      </c>
      <c r="AT123" s="125">
        <f t="shared" si="60"/>
        <v>11.72849773446</v>
      </c>
      <c r="AU123" s="125">
        <f t="shared" si="61"/>
        <v>11.56059239775</v>
      </c>
      <c r="AV123" s="125">
        <f t="shared" si="62"/>
        <v>11.722279034549999</v>
      </c>
      <c r="AW123" s="125">
        <f t="shared" si="63"/>
        <v>11.53260819568</v>
      </c>
      <c r="AX123" s="257">
        <f t="shared" si="64"/>
        <v>11.46866270509</v>
      </c>
      <c r="AY123" s="125">
        <f t="shared" si="65"/>
        <v>11.83279498674</v>
      </c>
      <c r="AZ123" s="125">
        <f t="shared" si="66"/>
        <v>12.29623610876</v>
      </c>
      <c r="BA123" s="257">
        <f t="shared" si="69"/>
        <v>11.71843938304</v>
      </c>
    </row>
    <row r="124" spans="2:53" s="133" customFormat="1" ht="14.25">
      <c r="B124" s="117" t="s">
        <v>50</v>
      </c>
      <c r="C124" s="450">
        <f aca="true" t="shared" si="81" ref="C124:Y124">+C39*C87</f>
        <v>12.64514172058</v>
      </c>
      <c r="D124" s="158">
        <f t="shared" si="81"/>
        <v>12.9782929596</v>
      </c>
      <c r="E124" s="158">
        <f t="shared" si="81"/>
        <v>12.974336407500001</v>
      </c>
      <c r="F124" s="126">
        <f t="shared" si="81"/>
        <v>13.262092784939998</v>
      </c>
      <c r="G124" s="450">
        <f t="shared" si="81"/>
        <v>13.68195914048</v>
      </c>
      <c r="H124" s="158">
        <f t="shared" si="81"/>
        <v>13.70315377288</v>
      </c>
      <c r="I124" s="158">
        <f t="shared" si="81"/>
        <v>14.0915425392</v>
      </c>
      <c r="J124" s="126">
        <f t="shared" si="81"/>
        <v>14.076078771059999</v>
      </c>
      <c r="K124" s="450">
        <f t="shared" si="81"/>
        <v>13.951278254380002</v>
      </c>
      <c r="L124" s="158">
        <f t="shared" si="81"/>
        <v>15.03521915334</v>
      </c>
      <c r="M124" s="158">
        <f t="shared" si="81"/>
        <v>14.166357886070001</v>
      </c>
      <c r="N124" s="126">
        <f t="shared" si="81"/>
        <v>14.805954099520001</v>
      </c>
      <c r="O124" s="450">
        <f t="shared" si="81"/>
        <v>14.5467851287</v>
      </c>
      <c r="P124" s="158">
        <f t="shared" si="81"/>
        <v>14.685396498120001</v>
      </c>
      <c r="Q124" s="158">
        <f t="shared" si="81"/>
        <v>14.641019683399998</v>
      </c>
      <c r="R124" s="126">
        <f t="shared" si="81"/>
        <v>13.84288920602</v>
      </c>
      <c r="S124" s="450">
        <f t="shared" si="81"/>
        <v>12.82151100216</v>
      </c>
      <c r="T124" s="158">
        <f t="shared" si="81"/>
        <v>11.10082005395</v>
      </c>
      <c r="U124" s="158">
        <f t="shared" si="81"/>
        <v>12.21373014684</v>
      </c>
      <c r="V124" s="126">
        <f t="shared" si="81"/>
        <v>11.49457774779</v>
      </c>
      <c r="W124" s="450">
        <f t="shared" si="81"/>
        <v>12.24717172965</v>
      </c>
      <c r="X124" s="158">
        <f t="shared" si="81"/>
        <v>11.966891777499999</v>
      </c>
      <c r="Y124" s="158">
        <f t="shared" si="81"/>
        <v>11.141693712880002</v>
      </c>
      <c r="Z124" s="113">
        <f>+Z39*$Z$87</f>
        <v>10.19744122731</v>
      </c>
      <c r="AA124" s="156">
        <f>+AA39*$AA$87</f>
        <v>10.38437660684</v>
      </c>
      <c r="AB124" s="156">
        <f>+AB39*$AB$87</f>
        <v>9.901563430009999</v>
      </c>
      <c r="AC124" s="156">
        <f>+AC39*$AC$87</f>
        <v>9.703135311839999</v>
      </c>
      <c r="AD124" s="113">
        <f>+AD39*$AD$87</f>
        <v>9.608892745590001</v>
      </c>
      <c r="AE124" s="136">
        <f>+AE39/$AE$87</f>
        <v>9.394261114982518</v>
      </c>
      <c r="AF124" s="172">
        <f>+AF39*$AF$87</f>
        <v>10.00224076038</v>
      </c>
      <c r="AG124" s="188">
        <f>+AG39*$AG$87</f>
        <v>10.21840442974</v>
      </c>
      <c r="AH124" s="126">
        <f t="shared" si="77"/>
        <v>10.19795151192</v>
      </c>
      <c r="AI124" s="125">
        <f t="shared" si="78"/>
        <v>10.234151133070002</v>
      </c>
      <c r="AJ124" s="125">
        <f t="shared" si="79"/>
        <v>9.870599494679999</v>
      </c>
      <c r="AK124" s="125">
        <f t="shared" si="51"/>
        <v>9.45765606456</v>
      </c>
      <c r="AL124" s="126">
        <f t="shared" si="52"/>
        <v>9.11254313788</v>
      </c>
      <c r="AM124" s="125">
        <f t="shared" si="53"/>
        <v>8.70361593244</v>
      </c>
      <c r="AN124" s="125">
        <f t="shared" si="54"/>
        <v>8.676999382400002</v>
      </c>
      <c r="AO124" s="125">
        <f t="shared" si="55"/>
        <v>8.214839047909999</v>
      </c>
      <c r="AP124" s="125">
        <f t="shared" si="56"/>
        <v>8.62860561933</v>
      </c>
      <c r="AQ124" s="125">
        <f t="shared" si="57"/>
        <v>8.70119625126</v>
      </c>
      <c r="AR124" s="125">
        <f t="shared" si="58"/>
        <v>8.38403474854</v>
      </c>
      <c r="AS124" s="125">
        <f t="shared" si="59"/>
        <v>8.45880874608</v>
      </c>
      <c r="AT124" s="125">
        <f t="shared" si="60"/>
        <v>8.813985251370001</v>
      </c>
      <c r="AU124" s="125">
        <f t="shared" si="61"/>
        <v>8.68780412566</v>
      </c>
      <c r="AV124" s="125">
        <f t="shared" si="62"/>
        <v>8.8093118594</v>
      </c>
      <c r="AW124" s="125">
        <f t="shared" si="63"/>
        <v>8.66677392112</v>
      </c>
      <c r="AX124" s="257">
        <f t="shared" si="64"/>
        <v>8.58880306645</v>
      </c>
      <c r="AY124" s="125">
        <f t="shared" si="65"/>
        <v>8.86149923724</v>
      </c>
      <c r="AZ124" s="125">
        <f t="shared" si="66"/>
        <v>9.20856712924</v>
      </c>
      <c r="BA124" s="257">
        <f t="shared" si="69"/>
        <v>8.7758591232</v>
      </c>
    </row>
    <row r="125" spans="2:53" s="133" customFormat="1" ht="14.25">
      <c r="B125" s="117" t="s">
        <v>54</v>
      </c>
      <c r="C125" s="428">
        <f aca="true" t="shared" si="82" ref="C125:AD125">+C40*C87</f>
        <v>0</v>
      </c>
      <c r="D125" s="204">
        <f t="shared" si="82"/>
        <v>0</v>
      </c>
      <c r="E125" s="204">
        <f t="shared" si="82"/>
        <v>0</v>
      </c>
      <c r="F125" s="217">
        <f t="shared" si="82"/>
        <v>0</v>
      </c>
      <c r="G125" s="428">
        <f t="shared" si="82"/>
        <v>0</v>
      </c>
      <c r="H125" s="204">
        <f t="shared" si="82"/>
        <v>0</v>
      </c>
      <c r="I125" s="204">
        <f t="shared" si="82"/>
        <v>0</v>
      </c>
      <c r="J125" s="217">
        <f t="shared" si="82"/>
        <v>0</v>
      </c>
      <c r="K125" s="428">
        <f t="shared" si="82"/>
        <v>0</v>
      </c>
      <c r="L125" s="204">
        <f t="shared" si="82"/>
        <v>0</v>
      </c>
      <c r="M125" s="204">
        <f t="shared" si="82"/>
        <v>0</v>
      </c>
      <c r="N125" s="217">
        <f t="shared" si="82"/>
        <v>0</v>
      </c>
      <c r="O125" s="428">
        <f t="shared" si="82"/>
        <v>0</v>
      </c>
      <c r="P125" s="204">
        <f t="shared" si="82"/>
        <v>0</v>
      </c>
      <c r="Q125" s="204">
        <f t="shared" si="82"/>
        <v>0</v>
      </c>
      <c r="R125" s="217">
        <f t="shared" si="82"/>
        <v>0</v>
      </c>
      <c r="S125" s="450">
        <f t="shared" si="82"/>
        <v>0.9531394161800001</v>
      </c>
      <c r="T125" s="96">
        <f t="shared" si="82"/>
        <v>0.8580700374400001</v>
      </c>
      <c r="U125" s="96">
        <f t="shared" si="82"/>
        <v>0.94409564464</v>
      </c>
      <c r="V125" s="107">
        <f t="shared" si="82"/>
        <v>0.9253364541400001</v>
      </c>
      <c r="W125" s="450">
        <f t="shared" si="82"/>
        <v>0.9859217643000001</v>
      </c>
      <c r="X125" s="158">
        <f t="shared" si="82"/>
        <v>0.9900055</v>
      </c>
      <c r="Y125" s="158">
        <f t="shared" si="82"/>
        <v>0.9217379347400001</v>
      </c>
      <c r="Z125" s="113">
        <f t="shared" si="82"/>
        <v>0.39404154405</v>
      </c>
      <c r="AA125" s="208">
        <f t="shared" si="82"/>
        <v>0.57324837428</v>
      </c>
      <c r="AB125" s="134">
        <f t="shared" si="82"/>
        <v>0.5626000485399999</v>
      </c>
      <c r="AC125" s="134">
        <f t="shared" si="82"/>
        <v>0.55132550298</v>
      </c>
      <c r="AD125" s="113">
        <f t="shared" si="82"/>
        <v>1.78463898808</v>
      </c>
      <c r="AE125" s="136">
        <f>+AE40/AE87</f>
        <v>1.744775902650468</v>
      </c>
      <c r="AF125" s="209">
        <f>+AF40*AF87</f>
        <v>4.72647162053</v>
      </c>
      <c r="AG125" s="209">
        <f>+AG40*AG87</f>
        <v>4.82861788786</v>
      </c>
      <c r="AH125" s="126">
        <f t="shared" si="77"/>
        <v>5.95964036412</v>
      </c>
      <c r="AI125" s="125">
        <f t="shared" si="78"/>
        <v>5.980795271400001</v>
      </c>
      <c r="AJ125" s="125">
        <f t="shared" si="79"/>
        <v>5.95964036412</v>
      </c>
      <c r="AK125" s="125">
        <f t="shared" si="51"/>
        <v>5.7103146452399995</v>
      </c>
      <c r="AL125" s="126">
        <f t="shared" si="52"/>
        <v>5.69067077768</v>
      </c>
      <c r="AM125" s="125">
        <f t="shared" si="53"/>
        <v>5.435300789819999</v>
      </c>
      <c r="AN125" s="125">
        <f t="shared" si="54"/>
        <v>5.4186790798</v>
      </c>
      <c r="AO125" s="125">
        <f t="shared" si="55"/>
        <v>5.130065663239999</v>
      </c>
      <c r="AP125" s="125">
        <f t="shared" si="56"/>
        <v>5.38845778228</v>
      </c>
      <c r="AQ125" s="125">
        <f t="shared" si="57"/>
        <v>5.43378974134</v>
      </c>
      <c r="AR125" s="125">
        <f t="shared" si="58"/>
        <v>5.4217012102</v>
      </c>
      <c r="AS125" s="125">
        <f t="shared" si="59"/>
        <v>5.4700552922400005</v>
      </c>
      <c r="AT125" s="125">
        <f t="shared" si="60"/>
        <v>5.6997371792400005</v>
      </c>
      <c r="AU125" s="125">
        <f t="shared" si="61"/>
        <v>5.61813967209</v>
      </c>
      <c r="AV125" s="125">
        <f t="shared" si="62"/>
        <v>5.69671505029</v>
      </c>
      <c r="AW125" s="125">
        <f t="shared" si="63"/>
        <v>5.60454007008</v>
      </c>
      <c r="AX125" s="257">
        <f t="shared" si="64"/>
        <v>5.758668721749999</v>
      </c>
      <c r="AY125" s="125">
        <f t="shared" si="65"/>
        <v>5.94150757512</v>
      </c>
      <c r="AZ125" s="125">
        <f t="shared" si="66"/>
        <v>6.17421157632</v>
      </c>
      <c r="BA125" s="257">
        <f>+BA40*$BA$87</f>
        <v>5.88408710656</v>
      </c>
    </row>
    <row r="126" spans="2:53" s="133" customFormat="1" ht="14.25">
      <c r="B126" s="117" t="s">
        <v>52</v>
      </c>
      <c r="C126" s="428">
        <f aca="true" t="shared" si="83" ref="C126:Y126">+C41*C87</f>
        <v>0</v>
      </c>
      <c r="D126" s="204">
        <f t="shared" si="83"/>
        <v>0</v>
      </c>
      <c r="E126" s="204">
        <f t="shared" si="83"/>
        <v>0</v>
      </c>
      <c r="F126" s="217">
        <f t="shared" si="83"/>
        <v>0</v>
      </c>
      <c r="G126" s="428">
        <f t="shared" si="83"/>
        <v>0</v>
      </c>
      <c r="H126" s="204">
        <f t="shared" si="83"/>
        <v>0</v>
      </c>
      <c r="I126" s="204">
        <f t="shared" si="83"/>
        <v>0</v>
      </c>
      <c r="J126" s="217">
        <f t="shared" si="83"/>
        <v>0</v>
      </c>
      <c r="K126" s="428">
        <f t="shared" si="83"/>
        <v>0</v>
      </c>
      <c r="L126" s="204">
        <f t="shared" si="83"/>
        <v>0</v>
      </c>
      <c r="M126" s="204">
        <f t="shared" si="83"/>
        <v>0</v>
      </c>
      <c r="N126" s="217">
        <f t="shared" si="83"/>
        <v>0</v>
      </c>
      <c r="O126" s="428">
        <f t="shared" si="83"/>
        <v>0</v>
      </c>
      <c r="P126" s="204">
        <f t="shared" si="83"/>
        <v>0</v>
      </c>
      <c r="Q126" s="204">
        <f t="shared" si="83"/>
        <v>0</v>
      </c>
      <c r="R126" s="217">
        <f t="shared" si="83"/>
        <v>0</v>
      </c>
      <c r="S126" s="146">
        <f t="shared" si="83"/>
        <v>0</v>
      </c>
      <c r="T126" s="96">
        <f t="shared" si="83"/>
        <v>0.90585021043</v>
      </c>
      <c r="U126" s="96">
        <f t="shared" si="83"/>
        <v>2.0633203177999997</v>
      </c>
      <c r="V126" s="107">
        <f t="shared" si="83"/>
        <v>2.1299596434000003</v>
      </c>
      <c r="W126" s="450">
        <f t="shared" si="83"/>
        <v>2.06040178245</v>
      </c>
      <c r="X126" s="158">
        <f t="shared" si="83"/>
        <v>2.08756482</v>
      </c>
      <c r="Y126" s="158">
        <f t="shared" si="83"/>
        <v>2.16968967611</v>
      </c>
      <c r="Z126" s="113">
        <f aca="true" t="shared" si="84" ref="Z126:Z133">+Z41*$Z$87</f>
        <v>2.16393136932</v>
      </c>
      <c r="AA126" s="156">
        <f aca="true" t="shared" si="85" ref="AA126:AA133">+AA41*$AA$87</f>
        <v>1.9799940355999999</v>
      </c>
      <c r="AB126" s="156">
        <f aca="true" t="shared" si="86" ref="AB126:AB133">+AB41*$AB$87</f>
        <v>2.54820900168</v>
      </c>
      <c r="AC126" s="156">
        <f aca="true" t="shared" si="87" ref="AC126:AC133">+AC41*$AC$87</f>
        <v>2.93114104638</v>
      </c>
      <c r="AD126" s="113">
        <f aca="true" t="shared" si="88" ref="AD126:AD133">+AD41*$AD$87</f>
        <v>3.21993625561</v>
      </c>
      <c r="AE126" s="136">
        <f aca="true" t="shared" si="89" ref="AE126:AE133">+AE41/$AE$87</f>
        <v>2.855804009880765</v>
      </c>
      <c r="AF126" s="188">
        <f aca="true" t="shared" si="90" ref="AF126:AF133">+AF41*$AF$87</f>
        <v>2.957797001719999</v>
      </c>
      <c r="AG126" s="188">
        <f aca="true" t="shared" si="91" ref="AG126:AG133">+AG41*$AG$87</f>
        <v>2.9040020227400003</v>
      </c>
      <c r="AH126" s="126">
        <f t="shared" si="77"/>
        <v>2.7037260165599997</v>
      </c>
      <c r="AI126" s="125">
        <f t="shared" si="78"/>
        <v>2.7519240132700005</v>
      </c>
      <c r="AJ126" s="125">
        <f t="shared" si="79"/>
        <v>2.7519239958</v>
      </c>
      <c r="AK126" s="125">
        <f t="shared" si="51"/>
        <v>2.6035559977199996</v>
      </c>
      <c r="AL126" s="126">
        <f t="shared" si="52"/>
        <v>2.41070002677</v>
      </c>
      <c r="AM126" s="125">
        <f t="shared" si="53"/>
        <v>2.69998397724</v>
      </c>
      <c r="AN126" s="125">
        <f t="shared" si="54"/>
        <v>2.69998400485</v>
      </c>
      <c r="AO126" s="125">
        <f t="shared" si="55"/>
        <v>2.6480440144</v>
      </c>
      <c r="AP126" s="125">
        <f t="shared" si="56"/>
        <v>2.5534709887</v>
      </c>
      <c r="AQ126" s="125">
        <f t="shared" si="57"/>
        <v>2.4588980026400002</v>
      </c>
      <c r="AR126" s="125">
        <f t="shared" si="58"/>
        <v>2.55347099931</v>
      </c>
      <c r="AS126" s="125">
        <f t="shared" si="59"/>
        <v>2.55347101128</v>
      </c>
      <c r="AT126" s="125">
        <f t="shared" si="60"/>
        <v>2.6480440026300003</v>
      </c>
      <c r="AU126" s="125">
        <f t="shared" si="61"/>
        <v>2.59610400346</v>
      </c>
      <c r="AV126" s="125">
        <f t="shared" si="62"/>
        <v>2.68882201048</v>
      </c>
      <c r="AW126" s="125">
        <f t="shared" si="63"/>
        <v>2.6888219857599998</v>
      </c>
      <c r="AX126" s="257">
        <f t="shared" si="64"/>
        <v>2.5961039790599996</v>
      </c>
      <c r="AY126" s="125">
        <f t="shared" si="65"/>
        <v>2.7815399976</v>
      </c>
      <c r="AZ126" s="125">
        <f t="shared" si="66"/>
        <v>2.96697599181</v>
      </c>
      <c r="BA126" s="257">
        <f t="shared" si="69"/>
        <v>2.81675300608</v>
      </c>
    </row>
    <row r="127" spans="2:53" s="133" customFormat="1" ht="14.25">
      <c r="B127" s="117" t="s">
        <v>53</v>
      </c>
      <c r="C127" s="428">
        <f aca="true" t="shared" si="92" ref="C127:Y127">+C42*C87</f>
        <v>0</v>
      </c>
      <c r="D127" s="204">
        <f t="shared" si="92"/>
        <v>0</v>
      </c>
      <c r="E127" s="204">
        <f t="shared" si="92"/>
        <v>0</v>
      </c>
      <c r="F127" s="217">
        <f t="shared" si="92"/>
        <v>0</v>
      </c>
      <c r="G127" s="428">
        <f t="shared" si="92"/>
        <v>0</v>
      </c>
      <c r="H127" s="204">
        <f t="shared" si="92"/>
        <v>0</v>
      </c>
      <c r="I127" s="204">
        <f t="shared" si="92"/>
        <v>0</v>
      </c>
      <c r="J127" s="217">
        <f t="shared" si="92"/>
        <v>0</v>
      </c>
      <c r="K127" s="428">
        <f t="shared" si="92"/>
        <v>0</v>
      </c>
      <c r="L127" s="204">
        <f t="shared" si="92"/>
        <v>0</v>
      </c>
      <c r="M127" s="204">
        <f t="shared" si="92"/>
        <v>0</v>
      </c>
      <c r="N127" s="217">
        <f t="shared" si="92"/>
        <v>0</v>
      </c>
      <c r="O127" s="428">
        <f t="shared" si="92"/>
        <v>0</v>
      </c>
      <c r="P127" s="204">
        <f t="shared" si="92"/>
        <v>0</v>
      </c>
      <c r="Q127" s="204">
        <f t="shared" si="92"/>
        <v>0</v>
      </c>
      <c r="R127" s="217">
        <f t="shared" si="92"/>
        <v>0</v>
      </c>
      <c r="S127" s="146">
        <f t="shared" si="92"/>
        <v>0.37431311287999997</v>
      </c>
      <c r="T127" s="96">
        <f t="shared" si="92"/>
        <v>0.33697783459999997</v>
      </c>
      <c r="U127" s="96">
        <f t="shared" si="92"/>
        <v>0.37076145511999997</v>
      </c>
      <c r="V127" s="107">
        <f t="shared" si="92"/>
        <v>0.3633944311</v>
      </c>
      <c r="W127" s="146">
        <f t="shared" si="92"/>
        <v>0.38718727740000003</v>
      </c>
      <c r="X127" s="96">
        <f t="shared" si="92"/>
        <v>0.3887910125</v>
      </c>
      <c r="Y127" s="96">
        <f t="shared" si="92"/>
        <v>0.36198123621</v>
      </c>
      <c r="Z127" s="113">
        <f t="shared" si="84"/>
        <v>0.2218967538</v>
      </c>
      <c r="AA127" s="156">
        <f t="shared" si="85"/>
        <v>0.98711789896</v>
      </c>
      <c r="AB127" s="156">
        <f t="shared" si="86"/>
        <v>0.9687817696700001</v>
      </c>
      <c r="AC127" s="156">
        <f t="shared" si="87"/>
        <v>1.9762672941</v>
      </c>
      <c r="AD127" s="113">
        <f t="shared" si="88"/>
        <v>2.0161044067500002</v>
      </c>
      <c r="AE127" s="136">
        <f t="shared" si="89"/>
        <v>1.9710711499205282</v>
      </c>
      <c r="AF127" s="188">
        <f t="shared" si="90"/>
        <v>2.16390589822</v>
      </c>
      <c r="AG127" s="188">
        <f t="shared" si="91"/>
        <v>2.21067120378</v>
      </c>
      <c r="AH127" s="126">
        <f t="shared" si="77"/>
        <v>2.27706639828</v>
      </c>
      <c r="AI127" s="125">
        <f t="shared" si="78"/>
        <v>2.2851492810100003</v>
      </c>
      <c r="AJ127" s="125">
        <f t="shared" si="79"/>
        <v>2.27706639828</v>
      </c>
      <c r="AK127" s="125">
        <f t="shared" si="51"/>
        <v>2.1818037226800002</v>
      </c>
      <c r="AL127" s="126">
        <f t="shared" si="52"/>
        <v>2.17429819348</v>
      </c>
      <c r="AM127" s="125">
        <f t="shared" si="53"/>
        <v>2.07672611674</v>
      </c>
      <c r="AN127" s="125">
        <f t="shared" si="54"/>
        <v>2.0703752733500003</v>
      </c>
      <c r="AO127" s="125">
        <f t="shared" si="55"/>
        <v>1.9601015201000003</v>
      </c>
      <c r="AP127" s="125">
        <f t="shared" si="56"/>
        <v>2.05882827609</v>
      </c>
      <c r="AQ127" s="125">
        <f t="shared" si="57"/>
        <v>2.0761487815999997</v>
      </c>
      <c r="AR127" s="125">
        <f t="shared" si="58"/>
        <v>2.07152995797</v>
      </c>
      <c r="AS127" s="125">
        <f t="shared" si="59"/>
        <v>2.09000515584</v>
      </c>
      <c r="AT127" s="125">
        <f t="shared" si="60"/>
        <v>2.1777622842300004</v>
      </c>
      <c r="AU127" s="125">
        <f t="shared" si="61"/>
        <v>2.14658539293</v>
      </c>
      <c r="AV127" s="125">
        <f t="shared" si="62"/>
        <v>2.17660758429</v>
      </c>
      <c r="AW127" s="125">
        <f t="shared" si="63"/>
        <v>2.14138927152</v>
      </c>
      <c r="AX127" s="257">
        <f t="shared" si="64"/>
        <v>2.20027891496</v>
      </c>
      <c r="AY127" s="125">
        <f t="shared" si="65"/>
        <v>2.27013819942</v>
      </c>
      <c r="AZ127" s="125">
        <f t="shared" si="66"/>
        <v>2.3590500331200004</v>
      </c>
      <c r="BA127" s="257">
        <f t="shared" si="69"/>
        <v>2.2481989171200003</v>
      </c>
    </row>
    <row r="128" spans="2:53" s="29" customFormat="1" ht="14.25">
      <c r="B128" s="117" t="s">
        <v>55</v>
      </c>
      <c r="C128" s="428">
        <f aca="true" t="shared" si="93" ref="C128:Y128">+C43*C87</f>
        <v>0</v>
      </c>
      <c r="D128" s="204">
        <f t="shared" si="93"/>
        <v>0</v>
      </c>
      <c r="E128" s="204">
        <f t="shared" si="93"/>
        <v>0</v>
      </c>
      <c r="F128" s="217">
        <f t="shared" si="93"/>
        <v>0</v>
      </c>
      <c r="G128" s="428">
        <f t="shared" si="93"/>
        <v>0</v>
      </c>
      <c r="H128" s="204">
        <f t="shared" si="93"/>
        <v>0</v>
      </c>
      <c r="I128" s="204">
        <f t="shared" si="93"/>
        <v>0</v>
      </c>
      <c r="J128" s="217">
        <f t="shared" si="93"/>
        <v>0</v>
      </c>
      <c r="K128" s="428">
        <f t="shared" si="93"/>
        <v>0</v>
      </c>
      <c r="L128" s="204">
        <f t="shared" si="93"/>
        <v>0</v>
      </c>
      <c r="M128" s="204">
        <f t="shared" si="93"/>
        <v>0</v>
      </c>
      <c r="N128" s="217">
        <f t="shared" si="93"/>
        <v>0</v>
      </c>
      <c r="O128" s="428">
        <f t="shared" si="93"/>
        <v>0</v>
      </c>
      <c r="P128" s="204">
        <f t="shared" si="93"/>
        <v>0</v>
      </c>
      <c r="Q128" s="204">
        <f t="shared" si="93"/>
        <v>0</v>
      </c>
      <c r="R128" s="217">
        <f t="shared" si="93"/>
        <v>0</v>
      </c>
      <c r="S128" s="146">
        <f t="shared" si="93"/>
        <v>0.62960809716</v>
      </c>
      <c r="T128" s="96">
        <f t="shared" si="93"/>
        <v>0.5668088354499999</v>
      </c>
      <c r="U128" s="96">
        <f t="shared" si="93"/>
        <v>0.62363411456</v>
      </c>
      <c r="V128" s="107">
        <f t="shared" si="93"/>
        <v>0.61124250114</v>
      </c>
      <c r="W128" s="146">
        <f t="shared" si="93"/>
        <v>0.6512628804</v>
      </c>
      <c r="X128" s="96">
        <f t="shared" si="93"/>
        <v>0.6539604499999999</v>
      </c>
      <c r="Y128" s="96">
        <f t="shared" si="93"/>
        <v>0.60886544706</v>
      </c>
      <c r="Z128" s="107">
        <f t="shared" si="84"/>
        <v>0.13029517155</v>
      </c>
      <c r="AA128" s="96">
        <f t="shared" si="85"/>
        <v>0.4924731802</v>
      </c>
      <c r="AB128" s="96">
        <f t="shared" si="86"/>
        <v>0.48332530273999996</v>
      </c>
      <c r="AC128" s="96">
        <f t="shared" si="87"/>
        <v>1.5005394083399999</v>
      </c>
      <c r="AD128" s="107">
        <f t="shared" si="88"/>
        <v>1.5307869117700001</v>
      </c>
      <c r="AE128" s="71">
        <f t="shared" si="89"/>
        <v>1.4965940778604008</v>
      </c>
      <c r="AF128" s="125">
        <f t="shared" si="90"/>
        <v>1.6430095618200002</v>
      </c>
      <c r="AG128" s="125">
        <f t="shared" si="91"/>
        <v>1.6785175022199998</v>
      </c>
      <c r="AH128" s="126">
        <f t="shared" si="77"/>
        <v>1.72893003048</v>
      </c>
      <c r="AI128" s="125">
        <f t="shared" si="78"/>
        <v>1.73506719305</v>
      </c>
      <c r="AJ128" s="125">
        <f t="shared" si="79"/>
        <v>1.72893003048</v>
      </c>
      <c r="AK128" s="125">
        <f t="shared" si="51"/>
        <v>1.6565990260799999</v>
      </c>
      <c r="AL128" s="126">
        <f t="shared" si="52"/>
        <v>1.65090020214</v>
      </c>
      <c r="AM128" s="125">
        <f t="shared" si="53"/>
        <v>1.5768157442400002</v>
      </c>
      <c r="AN128" s="125">
        <f t="shared" si="54"/>
        <v>1.5719936752500003</v>
      </c>
      <c r="AO128" s="125">
        <f t="shared" si="55"/>
        <v>1.48826505335</v>
      </c>
      <c r="AP128" s="125">
        <f t="shared" si="56"/>
        <v>1.5632262936899999</v>
      </c>
      <c r="AQ128" s="125">
        <f t="shared" si="57"/>
        <v>1.5763773757400001</v>
      </c>
      <c r="AR128" s="125">
        <f t="shared" si="58"/>
        <v>1.57287039668</v>
      </c>
      <c r="AS128" s="125">
        <f t="shared" si="59"/>
        <v>1.58689823544</v>
      </c>
      <c r="AT128" s="125">
        <f t="shared" si="60"/>
        <v>1.6535304255599999</v>
      </c>
      <c r="AU128" s="125">
        <f t="shared" si="61"/>
        <v>1.62985846584</v>
      </c>
      <c r="AV128" s="125">
        <f t="shared" si="62"/>
        <v>1.65265370334</v>
      </c>
      <c r="AW128" s="125">
        <f t="shared" si="63"/>
        <v>1.6259131318400002</v>
      </c>
      <c r="AX128" s="257">
        <f t="shared" si="64"/>
        <v>1.6706268443799999</v>
      </c>
      <c r="AY128" s="125">
        <f t="shared" si="65"/>
        <v>1.7236695824400001</v>
      </c>
      <c r="AZ128" s="125">
        <f t="shared" si="66"/>
        <v>1.7911785204700001</v>
      </c>
      <c r="BA128" s="257">
        <f t="shared" si="69"/>
        <v>1.70701153792</v>
      </c>
    </row>
    <row r="129" spans="2:53" s="29" customFormat="1" ht="14.25">
      <c r="B129" s="117" t="s">
        <v>56</v>
      </c>
      <c r="C129" s="428">
        <f aca="true" t="shared" si="94" ref="C129:Y129">+C44*C87</f>
        <v>0</v>
      </c>
      <c r="D129" s="204">
        <f t="shared" si="94"/>
        <v>0</v>
      </c>
      <c r="E129" s="204">
        <f t="shared" si="94"/>
        <v>0</v>
      </c>
      <c r="F129" s="217">
        <f t="shared" si="94"/>
        <v>0</v>
      </c>
      <c r="G129" s="428">
        <f t="shared" si="94"/>
        <v>0</v>
      </c>
      <c r="H129" s="204">
        <f t="shared" si="94"/>
        <v>0</v>
      </c>
      <c r="I129" s="204">
        <f t="shared" si="94"/>
        <v>0</v>
      </c>
      <c r="J129" s="217">
        <f t="shared" si="94"/>
        <v>0</v>
      </c>
      <c r="K129" s="428">
        <f t="shared" si="94"/>
        <v>0</v>
      </c>
      <c r="L129" s="204">
        <f t="shared" si="94"/>
        <v>0</v>
      </c>
      <c r="M129" s="204">
        <f t="shared" si="94"/>
        <v>0</v>
      </c>
      <c r="N129" s="217">
        <f t="shared" si="94"/>
        <v>0</v>
      </c>
      <c r="O129" s="428">
        <f t="shared" si="94"/>
        <v>0</v>
      </c>
      <c r="P129" s="204">
        <f t="shared" si="94"/>
        <v>0</v>
      </c>
      <c r="Q129" s="204">
        <f t="shared" si="94"/>
        <v>0</v>
      </c>
      <c r="R129" s="217">
        <f t="shared" si="94"/>
        <v>0</v>
      </c>
      <c r="S129" s="450">
        <f t="shared" si="94"/>
        <v>1.46716962574</v>
      </c>
      <c r="T129" s="158">
        <f t="shared" si="94"/>
        <v>1.3208291024499998</v>
      </c>
      <c r="U129" s="158">
        <f t="shared" si="94"/>
        <v>1.45324851288</v>
      </c>
      <c r="V129" s="126">
        <f t="shared" si="94"/>
        <v>1.42437246713</v>
      </c>
      <c r="W129" s="450">
        <f t="shared" si="94"/>
        <v>1.5176315616000002</v>
      </c>
      <c r="X129" s="158">
        <f t="shared" si="94"/>
        <v>1.5239176425</v>
      </c>
      <c r="Y129" s="158">
        <f t="shared" si="94"/>
        <v>1.41883323546</v>
      </c>
      <c r="Z129" s="107">
        <f t="shared" si="84"/>
        <v>0.0039179319</v>
      </c>
      <c r="AA129" s="96">
        <f t="shared" si="85"/>
        <v>1.2425998961200002</v>
      </c>
      <c r="AB129" s="96">
        <f t="shared" si="86"/>
        <v>1.2195180751399999</v>
      </c>
      <c r="AC129" s="96">
        <f t="shared" si="87"/>
        <v>1.1950788308999998</v>
      </c>
      <c r="AD129" s="107">
        <f t="shared" si="88"/>
        <v>1.21916894555</v>
      </c>
      <c r="AE129" s="71">
        <f t="shared" si="89"/>
        <v>1.1919366355503196</v>
      </c>
      <c r="AF129" s="125">
        <f t="shared" si="90"/>
        <v>1.30854672938</v>
      </c>
      <c r="AG129" s="125">
        <f t="shared" si="91"/>
        <v>1.33682642002</v>
      </c>
      <c r="AH129" s="126">
        <f t="shared" si="77"/>
        <v>1.3769765963999998</v>
      </c>
      <c r="AI129" s="125">
        <f t="shared" si="78"/>
        <v>1.3818644600200003</v>
      </c>
      <c r="AJ129" s="125">
        <f t="shared" si="79"/>
        <v>1.3769765963999998</v>
      </c>
      <c r="AK129" s="125">
        <f t="shared" si="51"/>
        <v>1.31936981796</v>
      </c>
      <c r="AL129" s="126">
        <f t="shared" si="52"/>
        <v>1.3148311203299998</v>
      </c>
      <c r="AM129" s="125">
        <f t="shared" si="53"/>
        <v>1.2558277896999999</v>
      </c>
      <c r="AN129" s="125">
        <f t="shared" si="54"/>
        <v>1.2519873573</v>
      </c>
      <c r="AO129" s="125">
        <f t="shared" si="55"/>
        <v>1.18530313431</v>
      </c>
      <c r="AP129" s="125">
        <f t="shared" si="56"/>
        <v>1.24500469963</v>
      </c>
      <c r="AQ129" s="125">
        <f t="shared" si="57"/>
        <v>1.25547865842</v>
      </c>
      <c r="AR129" s="125">
        <f t="shared" si="58"/>
        <v>1.25268561759</v>
      </c>
      <c r="AS129" s="125">
        <f t="shared" si="59"/>
        <v>1.26385784448</v>
      </c>
      <c r="AT129" s="125">
        <f t="shared" si="60"/>
        <v>1.31692589847</v>
      </c>
      <c r="AU129" s="125">
        <f t="shared" si="61"/>
        <v>1.2980727900800002</v>
      </c>
      <c r="AV129" s="125">
        <f t="shared" si="62"/>
        <v>1.31622764271</v>
      </c>
      <c r="AW129" s="125">
        <f t="shared" si="63"/>
        <v>1.29493059824</v>
      </c>
      <c r="AX129" s="257">
        <f t="shared" si="64"/>
        <v>1.33054204303</v>
      </c>
      <c r="AY129" s="125">
        <f t="shared" si="65"/>
        <v>1.37278702548</v>
      </c>
      <c r="AZ129" s="125">
        <f t="shared" si="66"/>
        <v>1.4265533455000001</v>
      </c>
      <c r="BA129" s="257">
        <f t="shared" si="69"/>
        <v>1.35952001536</v>
      </c>
    </row>
    <row r="130" spans="2:53" s="29" customFormat="1" ht="14.25">
      <c r="B130" s="117" t="s">
        <v>57</v>
      </c>
      <c r="C130" s="428">
        <f aca="true" t="shared" si="95" ref="C130:Y130">+C45*C87</f>
        <v>0</v>
      </c>
      <c r="D130" s="204">
        <f t="shared" si="95"/>
        <v>0</v>
      </c>
      <c r="E130" s="204">
        <f t="shared" si="95"/>
        <v>0</v>
      </c>
      <c r="F130" s="217">
        <f t="shared" si="95"/>
        <v>0</v>
      </c>
      <c r="G130" s="428">
        <f t="shared" si="95"/>
        <v>0</v>
      </c>
      <c r="H130" s="204">
        <f t="shared" si="95"/>
        <v>0</v>
      </c>
      <c r="I130" s="204">
        <f t="shared" si="95"/>
        <v>0</v>
      </c>
      <c r="J130" s="217">
        <f t="shared" si="95"/>
        <v>0</v>
      </c>
      <c r="K130" s="428">
        <f t="shared" si="95"/>
        <v>0</v>
      </c>
      <c r="L130" s="204">
        <f t="shared" si="95"/>
        <v>0</v>
      </c>
      <c r="M130" s="204">
        <f t="shared" si="95"/>
        <v>0</v>
      </c>
      <c r="N130" s="217">
        <f t="shared" si="95"/>
        <v>0</v>
      </c>
      <c r="O130" s="428">
        <f t="shared" si="95"/>
        <v>0</v>
      </c>
      <c r="P130" s="204">
        <f t="shared" si="95"/>
        <v>0</v>
      </c>
      <c r="Q130" s="204">
        <f t="shared" si="95"/>
        <v>0</v>
      </c>
      <c r="R130" s="217">
        <f t="shared" si="95"/>
        <v>0</v>
      </c>
      <c r="S130" s="450">
        <f t="shared" si="95"/>
        <v>1.4499454573800001</v>
      </c>
      <c r="T130" s="158">
        <f t="shared" si="95"/>
        <v>1.30532289437</v>
      </c>
      <c r="U130" s="158">
        <f t="shared" si="95"/>
        <v>1.4361877371999998</v>
      </c>
      <c r="V130" s="126">
        <f t="shared" si="95"/>
        <v>1.40765071485</v>
      </c>
      <c r="W130" s="450">
        <f t="shared" si="95"/>
        <v>1.4998150150500003</v>
      </c>
      <c r="X130" s="158">
        <f t="shared" si="95"/>
        <v>1.5060272700000001</v>
      </c>
      <c r="Y130" s="158">
        <f t="shared" si="95"/>
        <v>1.4021765177100003</v>
      </c>
      <c r="Z130" s="107">
        <f t="shared" si="84"/>
        <v>0.07142119884</v>
      </c>
      <c r="AA130" s="96">
        <f t="shared" si="85"/>
        <v>0.23695855340000002</v>
      </c>
      <c r="AB130" s="96">
        <f t="shared" si="86"/>
        <v>0.23255694526999995</v>
      </c>
      <c r="AC130" s="96">
        <f t="shared" si="87"/>
        <v>0.22789648205999996</v>
      </c>
      <c r="AD130" s="107">
        <f t="shared" si="88"/>
        <v>0.40709036570000007</v>
      </c>
      <c r="AE130" s="70">
        <f t="shared" si="89"/>
        <v>0.3979972871401067</v>
      </c>
      <c r="AF130" s="129">
        <f t="shared" si="90"/>
        <v>0.4369343396</v>
      </c>
      <c r="AG130" s="129">
        <f t="shared" si="91"/>
        <v>0.44637715798000005</v>
      </c>
      <c r="AH130" s="107">
        <f t="shared" si="77"/>
        <v>0.6964236258</v>
      </c>
      <c r="AI130" s="129">
        <f t="shared" si="78"/>
        <v>0.6988957169200001</v>
      </c>
      <c r="AJ130" s="129">
        <f t="shared" si="79"/>
        <v>0.6964236258</v>
      </c>
      <c r="AK130" s="129">
        <f t="shared" si="51"/>
        <v>0.6672882517200001</v>
      </c>
      <c r="AL130" s="107">
        <f t="shared" si="52"/>
        <v>0.66499274989</v>
      </c>
      <c r="AM130" s="129">
        <f t="shared" si="53"/>
        <v>0.6351510646799999</v>
      </c>
      <c r="AN130" s="129">
        <f t="shared" si="54"/>
        <v>0.6332087117</v>
      </c>
      <c r="AO130" s="129">
        <f t="shared" si="55"/>
        <v>0.59948229487</v>
      </c>
      <c r="AP130" s="129">
        <f t="shared" si="56"/>
        <v>0.62967714187</v>
      </c>
      <c r="AQ130" s="129">
        <f t="shared" si="57"/>
        <v>0.6349744809</v>
      </c>
      <c r="AR130" s="129">
        <f t="shared" si="58"/>
        <v>0.63356185684</v>
      </c>
      <c r="AS130" s="129">
        <f t="shared" si="59"/>
        <v>0.639212364</v>
      </c>
      <c r="AT130" s="129">
        <f t="shared" si="60"/>
        <v>0.6660522090300001</v>
      </c>
      <c r="AU130" s="129">
        <f t="shared" si="61"/>
        <v>0.6565170102699999</v>
      </c>
      <c r="AV130" s="129">
        <f t="shared" si="62"/>
        <v>0.66569905047</v>
      </c>
      <c r="AW130" s="129">
        <f t="shared" si="63"/>
        <v>0.6549277952</v>
      </c>
      <c r="AX130" s="432">
        <f t="shared" si="64"/>
        <v>0.6729387526399999</v>
      </c>
      <c r="AY130" s="129">
        <f t="shared" si="65"/>
        <v>0.69430468536</v>
      </c>
      <c r="AZ130" s="129">
        <f t="shared" si="66"/>
        <v>0.72149772178</v>
      </c>
      <c r="BA130" s="432">
        <f>+BA45*$BA$87</f>
        <v>0.68759471872</v>
      </c>
    </row>
    <row r="131" spans="2:53" s="29" customFormat="1" ht="14.25">
      <c r="B131" s="117" t="s">
        <v>58</v>
      </c>
      <c r="C131" s="428">
        <f aca="true" t="shared" si="96" ref="C131:Y131">+C46*C87</f>
        <v>0</v>
      </c>
      <c r="D131" s="204">
        <f t="shared" si="96"/>
        <v>0</v>
      </c>
      <c r="E131" s="204">
        <f t="shared" si="96"/>
        <v>0</v>
      </c>
      <c r="F131" s="217">
        <f t="shared" si="96"/>
        <v>0</v>
      </c>
      <c r="G131" s="428">
        <f t="shared" si="96"/>
        <v>0</v>
      </c>
      <c r="H131" s="204">
        <f t="shared" si="96"/>
        <v>0</v>
      </c>
      <c r="I131" s="204">
        <f t="shared" si="96"/>
        <v>0</v>
      </c>
      <c r="J131" s="217">
        <f t="shared" si="96"/>
        <v>0</v>
      </c>
      <c r="K131" s="428">
        <f t="shared" si="96"/>
        <v>0</v>
      </c>
      <c r="L131" s="204">
        <f t="shared" si="96"/>
        <v>0</v>
      </c>
      <c r="M131" s="204">
        <f t="shared" si="96"/>
        <v>0</v>
      </c>
      <c r="N131" s="217">
        <f t="shared" si="96"/>
        <v>0</v>
      </c>
      <c r="O131" s="428">
        <f t="shared" si="96"/>
        <v>0</v>
      </c>
      <c r="P131" s="204">
        <f t="shared" si="96"/>
        <v>0</v>
      </c>
      <c r="Q131" s="204">
        <f t="shared" si="96"/>
        <v>0</v>
      </c>
      <c r="R131" s="217">
        <f t="shared" si="96"/>
        <v>0</v>
      </c>
      <c r="S131" s="428">
        <f t="shared" si="96"/>
        <v>0</v>
      </c>
      <c r="T131" s="204">
        <f t="shared" si="96"/>
        <v>0</v>
      </c>
      <c r="U131" s="204">
        <f t="shared" si="96"/>
        <v>0</v>
      </c>
      <c r="V131" s="217">
        <f t="shared" si="96"/>
        <v>0</v>
      </c>
      <c r="W131" s="428">
        <f t="shared" si="96"/>
        <v>0</v>
      </c>
      <c r="X131" s="204">
        <f t="shared" si="96"/>
        <v>0</v>
      </c>
      <c r="Y131" s="204">
        <f t="shared" si="96"/>
        <v>0</v>
      </c>
      <c r="Z131" s="466">
        <f t="shared" si="84"/>
        <v>0</v>
      </c>
      <c r="AA131" s="96">
        <f t="shared" si="85"/>
        <v>0.0931590896</v>
      </c>
      <c r="AB131" s="96">
        <f t="shared" si="86"/>
        <v>0.09142862381</v>
      </c>
      <c r="AC131" s="96">
        <f t="shared" si="87"/>
        <v>0.08959636865999998</v>
      </c>
      <c r="AD131" s="107">
        <f t="shared" si="88"/>
        <v>0.26600243829</v>
      </c>
      <c r="AE131" s="70">
        <f t="shared" si="89"/>
        <v>0.2600608040400697</v>
      </c>
      <c r="AF131" s="129">
        <f t="shared" si="90"/>
        <v>0.28550318324</v>
      </c>
      <c r="AG131" s="129">
        <f t="shared" si="91"/>
        <v>0.29167333728</v>
      </c>
      <c r="AH131" s="107">
        <f t="shared" si="77"/>
        <v>0.30043344336</v>
      </c>
      <c r="AI131" s="129">
        <f t="shared" si="78"/>
        <v>0.30149988577000003</v>
      </c>
      <c r="AJ131" s="129">
        <f t="shared" si="79"/>
        <v>0.30043344336</v>
      </c>
      <c r="AK131" s="129">
        <f t="shared" si="51"/>
        <v>0.287864619</v>
      </c>
      <c r="AL131" s="107">
        <f t="shared" si="52"/>
        <v>0.28687432641</v>
      </c>
      <c r="AM131" s="129">
        <f t="shared" si="53"/>
        <v>0.27400080598</v>
      </c>
      <c r="AN131" s="129">
        <f t="shared" si="54"/>
        <v>0.27316287395000005</v>
      </c>
      <c r="AO131" s="129">
        <f t="shared" si="55"/>
        <v>0.25861346746999997</v>
      </c>
      <c r="AP131" s="129">
        <f t="shared" si="56"/>
        <v>0.27163936299999997</v>
      </c>
      <c r="AQ131" s="129">
        <f t="shared" si="57"/>
        <v>0.2739246042</v>
      </c>
      <c r="AR131" s="129">
        <f t="shared" si="58"/>
        <v>0.27331522438</v>
      </c>
      <c r="AS131" s="129">
        <f t="shared" si="59"/>
        <v>0.27575282616</v>
      </c>
      <c r="AT131" s="129">
        <f t="shared" si="60"/>
        <v>0.28733139864</v>
      </c>
      <c r="AU131" s="129">
        <f t="shared" si="61"/>
        <v>0.28321793422999997</v>
      </c>
      <c r="AV131" s="129">
        <f t="shared" si="62"/>
        <v>0.28717904331</v>
      </c>
      <c r="AW131" s="129">
        <f t="shared" si="63"/>
        <v>0.282532376</v>
      </c>
      <c r="AX131" s="432">
        <f t="shared" si="64"/>
        <v>0.29030220314</v>
      </c>
      <c r="AY131" s="129">
        <f t="shared" si="65"/>
        <v>0.29951935845</v>
      </c>
      <c r="AZ131" s="129">
        <f t="shared" si="66"/>
        <v>0.31125027276</v>
      </c>
      <c r="BA131" s="432">
        <f t="shared" si="69"/>
        <v>0.29662470656</v>
      </c>
    </row>
    <row r="132" spans="2:53" s="29" customFormat="1" ht="14.25">
      <c r="B132" s="117" t="s">
        <v>59</v>
      </c>
      <c r="C132" s="428">
        <f aca="true" t="shared" si="97" ref="C132:Y132">+C47*C87</f>
        <v>0</v>
      </c>
      <c r="D132" s="204">
        <f t="shared" si="97"/>
        <v>0</v>
      </c>
      <c r="E132" s="204">
        <f t="shared" si="97"/>
        <v>0</v>
      </c>
      <c r="F132" s="217">
        <f t="shared" si="97"/>
        <v>0</v>
      </c>
      <c r="G132" s="428">
        <f t="shared" si="97"/>
        <v>0</v>
      </c>
      <c r="H132" s="204">
        <f t="shared" si="97"/>
        <v>0</v>
      </c>
      <c r="I132" s="204">
        <f t="shared" si="97"/>
        <v>0</v>
      </c>
      <c r="J132" s="217">
        <f t="shared" si="97"/>
        <v>0</v>
      </c>
      <c r="K132" s="428">
        <f t="shared" si="97"/>
        <v>0</v>
      </c>
      <c r="L132" s="204">
        <f t="shared" si="97"/>
        <v>0</v>
      </c>
      <c r="M132" s="204">
        <f t="shared" si="97"/>
        <v>0</v>
      </c>
      <c r="N132" s="217">
        <f t="shared" si="97"/>
        <v>0</v>
      </c>
      <c r="O132" s="428">
        <f t="shared" si="97"/>
        <v>0</v>
      </c>
      <c r="P132" s="204">
        <f t="shared" si="97"/>
        <v>0</v>
      </c>
      <c r="Q132" s="204">
        <f t="shared" si="97"/>
        <v>0</v>
      </c>
      <c r="R132" s="217">
        <f t="shared" si="97"/>
        <v>0</v>
      </c>
      <c r="S132" s="146">
        <f t="shared" si="97"/>
        <v>0.06513784424</v>
      </c>
      <c r="T132" s="96">
        <f t="shared" si="97"/>
        <v>0.05864077197</v>
      </c>
      <c r="U132" s="96">
        <f t="shared" si="97"/>
        <v>0.06451978448</v>
      </c>
      <c r="V132" s="107">
        <f t="shared" si="97"/>
        <v>0.06323778104000001</v>
      </c>
      <c r="W132" s="146">
        <f t="shared" si="97"/>
        <v>0.06737817570000001</v>
      </c>
      <c r="X132" s="96">
        <f t="shared" si="97"/>
        <v>0.06765726</v>
      </c>
      <c r="Y132" s="96">
        <f t="shared" si="97"/>
        <v>0.06299185622</v>
      </c>
      <c r="Z132" s="129">
        <f t="shared" si="84"/>
        <v>0.004139409540000001</v>
      </c>
      <c r="AA132" s="149">
        <f t="shared" si="85"/>
        <v>0.06798258764000001</v>
      </c>
      <c r="AB132" s="96">
        <f t="shared" si="86"/>
        <v>0.06671979043</v>
      </c>
      <c r="AC132" s="96">
        <f t="shared" si="87"/>
        <v>0.06538272288</v>
      </c>
      <c r="AD132" s="432">
        <f t="shared" si="88"/>
        <v>0.24130069713000005</v>
      </c>
      <c r="AE132" s="70">
        <f t="shared" si="89"/>
        <v>0.23591081916006323</v>
      </c>
      <c r="AF132" s="129">
        <f t="shared" si="90"/>
        <v>0.25899054412</v>
      </c>
      <c r="AG132" s="129">
        <f t="shared" si="91"/>
        <v>0.26458772964</v>
      </c>
      <c r="AH132" s="107">
        <f t="shared" si="77"/>
        <v>0.27253434024</v>
      </c>
      <c r="AI132" s="440">
        <f t="shared" si="78"/>
        <v>0.27350176816000005</v>
      </c>
      <c r="AJ132" s="129">
        <f t="shared" si="79"/>
        <v>0.27253434024</v>
      </c>
      <c r="AK132" s="129">
        <f t="shared" si="51"/>
        <v>0.26113267728</v>
      </c>
      <c r="AL132" s="107">
        <f t="shared" si="52"/>
        <v>0.26023435578</v>
      </c>
      <c r="AM132" s="129">
        <f t="shared" si="53"/>
        <v>0.24855628885999997</v>
      </c>
      <c r="AN132" s="129">
        <f t="shared" si="54"/>
        <v>0.24779619205</v>
      </c>
      <c r="AO132" s="129">
        <f t="shared" si="55"/>
        <v>0.23459790484999998</v>
      </c>
      <c r="AP132" s="129">
        <f t="shared" si="56"/>
        <v>0.2464141667</v>
      </c>
      <c r="AQ132" s="129">
        <f t="shared" si="57"/>
        <v>0.24848719842000003</v>
      </c>
      <c r="AR132" s="129">
        <f t="shared" si="58"/>
        <v>0.24793437448999997</v>
      </c>
      <c r="AS132" s="129">
        <f t="shared" si="59"/>
        <v>0.25014561264</v>
      </c>
      <c r="AT132" s="129">
        <f t="shared" si="60"/>
        <v>0.26064896949000005</v>
      </c>
      <c r="AU132" s="129">
        <f t="shared" si="61"/>
        <v>0.25691751294</v>
      </c>
      <c r="AV132" s="129">
        <f t="shared" si="62"/>
        <v>0.26051075769</v>
      </c>
      <c r="AW132" s="129">
        <f t="shared" si="63"/>
        <v>0.2562956232</v>
      </c>
      <c r="AX132" s="432">
        <f t="shared" si="64"/>
        <v>0.26334390591</v>
      </c>
      <c r="AY132" s="129">
        <f t="shared" si="65"/>
        <v>0.27170512473</v>
      </c>
      <c r="AZ132" s="129">
        <f t="shared" si="66"/>
        <v>0.28234668410999997</v>
      </c>
      <c r="BA132" s="432">
        <f t="shared" si="69"/>
        <v>0.26907928319999996</v>
      </c>
    </row>
    <row r="133" spans="2:53" s="29" customFormat="1" ht="14.25">
      <c r="B133" s="117" t="s">
        <v>60</v>
      </c>
      <c r="C133" s="428">
        <f aca="true" t="shared" si="98" ref="C133:Y133">+C48*C87</f>
        <v>0</v>
      </c>
      <c r="D133" s="204">
        <f t="shared" si="98"/>
        <v>0</v>
      </c>
      <c r="E133" s="204">
        <f t="shared" si="98"/>
        <v>0</v>
      </c>
      <c r="F133" s="217">
        <f t="shared" si="98"/>
        <v>0</v>
      </c>
      <c r="G133" s="428">
        <f t="shared" si="98"/>
        <v>0</v>
      </c>
      <c r="H133" s="204">
        <f t="shared" si="98"/>
        <v>0</v>
      </c>
      <c r="I133" s="204">
        <f t="shared" si="98"/>
        <v>0</v>
      </c>
      <c r="J133" s="217">
        <f t="shared" si="98"/>
        <v>0</v>
      </c>
      <c r="K133" s="428">
        <f t="shared" si="98"/>
        <v>0</v>
      </c>
      <c r="L133" s="204">
        <f t="shared" si="98"/>
        <v>0</v>
      </c>
      <c r="M133" s="204">
        <f t="shared" si="98"/>
        <v>0</v>
      </c>
      <c r="N133" s="217">
        <f t="shared" si="98"/>
        <v>0</v>
      </c>
      <c r="O133" s="428">
        <f t="shared" si="98"/>
        <v>0</v>
      </c>
      <c r="P133" s="204">
        <f t="shared" si="98"/>
        <v>0</v>
      </c>
      <c r="Q133" s="204">
        <f t="shared" si="98"/>
        <v>0</v>
      </c>
      <c r="R133" s="217">
        <f t="shared" si="98"/>
        <v>0</v>
      </c>
      <c r="S133" s="146">
        <f t="shared" si="98"/>
        <v>0.16910493978000002</v>
      </c>
      <c r="T133" s="96">
        <f t="shared" si="98"/>
        <v>0.15223785126</v>
      </c>
      <c r="U133" s="96">
        <f t="shared" si="98"/>
        <v>0.16750041927999998</v>
      </c>
      <c r="V133" s="107">
        <f t="shared" si="98"/>
        <v>0.16417217354000002</v>
      </c>
      <c r="W133" s="146">
        <f t="shared" si="98"/>
        <v>0.1749211464</v>
      </c>
      <c r="X133" s="96">
        <f t="shared" si="98"/>
        <v>0.17564569000000002</v>
      </c>
      <c r="Y133" s="96">
        <f t="shared" si="98"/>
        <v>0.16353373734</v>
      </c>
      <c r="Z133" s="129">
        <f t="shared" si="84"/>
        <v>0.06865310592</v>
      </c>
      <c r="AA133" s="149">
        <f t="shared" si="85"/>
        <v>0.08992451312000001</v>
      </c>
      <c r="AB133" s="96">
        <f t="shared" si="86"/>
        <v>0.08825414030999999</v>
      </c>
      <c r="AC133" s="96">
        <f t="shared" si="87"/>
        <v>0.08648552345999999</v>
      </c>
      <c r="AD133" s="432">
        <f t="shared" si="88"/>
        <v>0.08822886048999999</v>
      </c>
      <c r="AE133" s="70">
        <f t="shared" si="89"/>
        <v>0.08625812724002312</v>
      </c>
      <c r="AF133" s="129">
        <f t="shared" si="90"/>
        <v>0.09469697402000002</v>
      </c>
      <c r="AG133" s="129">
        <f t="shared" si="91"/>
        <v>0.09674352141999999</v>
      </c>
      <c r="AH133" s="107">
        <f t="shared" si="77"/>
        <v>0.09964910447999999</v>
      </c>
      <c r="AI133" s="440">
        <f t="shared" si="78"/>
        <v>0.10000281574</v>
      </c>
      <c r="AJ133" s="129">
        <f t="shared" si="79"/>
        <v>0.09964910447999999</v>
      </c>
      <c r="AK133" s="129">
        <f t="shared" si="51"/>
        <v>0.09548021868</v>
      </c>
      <c r="AL133" s="107">
        <f t="shared" si="52"/>
        <v>0.09515176621999999</v>
      </c>
      <c r="AM133" s="129">
        <f t="shared" si="53"/>
        <v>0.09088180288</v>
      </c>
      <c r="AN133" s="129">
        <f t="shared" si="54"/>
        <v>0.09060386565</v>
      </c>
      <c r="AO133" s="129">
        <f t="shared" si="55"/>
        <v>0.08577807355</v>
      </c>
      <c r="AP133" s="129">
        <f t="shared" si="56"/>
        <v>0.09009856369999998</v>
      </c>
      <c r="AQ133" s="129">
        <f t="shared" si="57"/>
        <v>0.09085654423999999</v>
      </c>
      <c r="AR133" s="129">
        <f t="shared" si="58"/>
        <v>0.09065439855999999</v>
      </c>
      <c r="AS133" s="129">
        <f t="shared" si="59"/>
        <v>0.0914629296</v>
      </c>
      <c r="AT133" s="129">
        <f t="shared" si="60"/>
        <v>0.09530336556</v>
      </c>
      <c r="AU133" s="129">
        <f t="shared" si="61"/>
        <v>0.09393897611999999</v>
      </c>
      <c r="AV133" s="129">
        <f t="shared" si="62"/>
        <v>0.09525282255</v>
      </c>
      <c r="AW133" s="129">
        <f t="shared" si="63"/>
        <v>0.09371158192</v>
      </c>
      <c r="AX133" s="432">
        <f t="shared" si="64"/>
        <v>0.09628871641999999</v>
      </c>
      <c r="AY133" s="129">
        <f t="shared" si="65"/>
        <v>0.0993459207</v>
      </c>
      <c r="AZ133" s="129">
        <f t="shared" si="66"/>
        <v>0.10323687715</v>
      </c>
      <c r="BA133" s="432">
        <f t="shared" si="69"/>
        <v>0.09838579712000001</v>
      </c>
    </row>
    <row r="134" spans="2:53" s="29" customFormat="1" ht="14.25">
      <c r="B134" s="117" t="s">
        <v>126</v>
      </c>
      <c r="C134" s="407">
        <v>0</v>
      </c>
      <c r="D134" s="204">
        <v>0</v>
      </c>
      <c r="E134" s="204">
        <v>0</v>
      </c>
      <c r="F134" s="196">
        <v>0</v>
      </c>
      <c r="G134" s="407">
        <v>0</v>
      </c>
      <c r="H134" s="204">
        <v>0</v>
      </c>
      <c r="I134" s="204">
        <v>0</v>
      </c>
      <c r="J134" s="196">
        <v>0</v>
      </c>
      <c r="K134" s="407">
        <v>0</v>
      </c>
      <c r="L134" s="204">
        <v>0</v>
      </c>
      <c r="M134" s="204">
        <v>0</v>
      </c>
      <c r="N134" s="196">
        <v>0</v>
      </c>
      <c r="O134" s="407">
        <v>0</v>
      </c>
      <c r="P134" s="204">
        <v>0</v>
      </c>
      <c r="Q134" s="204">
        <v>0</v>
      </c>
      <c r="R134" s="196">
        <v>0</v>
      </c>
      <c r="S134" s="407">
        <v>0</v>
      </c>
      <c r="T134" s="204">
        <v>0</v>
      </c>
      <c r="U134" s="204">
        <v>0</v>
      </c>
      <c r="V134" s="196">
        <v>0</v>
      </c>
      <c r="W134" s="407">
        <v>0</v>
      </c>
      <c r="X134" s="204">
        <v>0</v>
      </c>
      <c r="Y134" s="204">
        <v>0</v>
      </c>
      <c r="Z134" s="196">
        <v>0</v>
      </c>
      <c r="AA134" s="181">
        <f aca="true" t="shared" si="99" ref="AA134:AJ134">+AA49*AA86</f>
        <v>0</v>
      </c>
      <c r="AB134" s="204">
        <f t="shared" si="99"/>
        <v>0</v>
      </c>
      <c r="AC134" s="204">
        <f t="shared" si="99"/>
        <v>0</v>
      </c>
      <c r="AD134" s="466">
        <f t="shared" si="99"/>
        <v>0</v>
      </c>
      <c r="AE134" s="204">
        <f t="shared" si="99"/>
        <v>0</v>
      </c>
      <c r="AF134" s="203">
        <f t="shared" si="99"/>
        <v>0</v>
      </c>
      <c r="AG134" s="203">
        <f t="shared" si="99"/>
        <v>0</v>
      </c>
      <c r="AH134" s="203">
        <f t="shared" si="99"/>
        <v>0</v>
      </c>
      <c r="AI134" s="469">
        <f t="shared" si="99"/>
        <v>0</v>
      </c>
      <c r="AJ134" s="203">
        <f t="shared" si="99"/>
        <v>0</v>
      </c>
      <c r="AK134" s="203">
        <f t="shared" si="51"/>
        <v>0</v>
      </c>
      <c r="AL134" s="466">
        <f t="shared" si="52"/>
        <v>0</v>
      </c>
      <c r="AM134" s="129"/>
      <c r="AN134" s="129"/>
      <c r="AO134" s="203">
        <f t="shared" si="55"/>
        <v>0</v>
      </c>
      <c r="AP134" s="203">
        <f t="shared" si="56"/>
        <v>0</v>
      </c>
      <c r="AQ134" s="203">
        <f t="shared" si="57"/>
        <v>0</v>
      </c>
      <c r="AR134" s="203">
        <f t="shared" si="58"/>
        <v>0</v>
      </c>
      <c r="AS134" s="129">
        <f t="shared" si="59"/>
        <v>0.79507520232</v>
      </c>
      <c r="AT134" s="129">
        <f t="shared" si="60"/>
        <v>0.82452242496</v>
      </c>
      <c r="AU134" s="125">
        <f t="shared" si="61"/>
        <v>1.74522771687</v>
      </c>
      <c r="AV134" s="125">
        <f t="shared" si="62"/>
        <v>1.8075572597799998</v>
      </c>
      <c r="AW134" s="125">
        <f t="shared" si="63"/>
        <v>1.80755725888</v>
      </c>
      <c r="AX134" s="257">
        <f t="shared" si="64"/>
        <v>1.74522772056</v>
      </c>
      <c r="AY134" s="125">
        <f t="shared" si="65"/>
        <v>1.8698868458400004</v>
      </c>
      <c r="AZ134" s="125">
        <f t="shared" si="66"/>
        <v>1.99454594006</v>
      </c>
      <c r="BA134" s="257">
        <f t="shared" si="69"/>
        <v>1.9322163993599997</v>
      </c>
    </row>
    <row r="135" spans="2:53" s="29" customFormat="1" ht="14.25">
      <c r="B135" s="117" t="s">
        <v>97</v>
      </c>
      <c r="C135" s="450">
        <f aca="true" t="shared" si="100" ref="C135:Z135">+C50*C87</f>
        <v>250.109709784</v>
      </c>
      <c r="D135" s="158">
        <f t="shared" si="100"/>
        <v>235.479951314</v>
      </c>
      <c r="E135" s="158">
        <f t="shared" si="100"/>
        <v>228.06791458749998</v>
      </c>
      <c r="F135" s="126">
        <f t="shared" si="100"/>
        <v>208.24522491786</v>
      </c>
      <c r="G135" s="450">
        <f t="shared" si="100"/>
        <v>209.44650977600003</v>
      </c>
      <c r="H135" s="158">
        <f t="shared" si="100"/>
        <v>186.12672769600002</v>
      </c>
      <c r="I135" s="158">
        <f t="shared" si="100"/>
        <v>193.7700935352</v>
      </c>
      <c r="J135" s="126">
        <f t="shared" si="100"/>
        <v>180.44016950969998</v>
      </c>
      <c r="K135" s="450">
        <f t="shared" si="100"/>
        <v>184.9153095189</v>
      </c>
      <c r="L135" s="158">
        <f t="shared" si="100"/>
        <v>173.2436857191</v>
      </c>
      <c r="M135" s="158">
        <f t="shared" si="100"/>
        <v>173.5691902438</v>
      </c>
      <c r="N135" s="126">
        <f t="shared" si="100"/>
        <v>196.43975090156002</v>
      </c>
      <c r="O135" s="450">
        <f t="shared" si="100"/>
        <v>181.53143596418002</v>
      </c>
      <c r="P135" s="158">
        <f t="shared" si="100"/>
        <v>163.38814974450003</v>
      </c>
      <c r="Q135" s="158">
        <f t="shared" si="100"/>
        <v>166.06053220249999</v>
      </c>
      <c r="R135" s="126">
        <f t="shared" si="100"/>
        <v>145.59727799078</v>
      </c>
      <c r="S135" s="450">
        <f t="shared" si="100"/>
        <v>141.398388355</v>
      </c>
      <c r="T135" s="158">
        <f t="shared" si="100"/>
        <v>132.1507342155</v>
      </c>
      <c r="U135" s="158">
        <f t="shared" si="100"/>
        <v>138.07124840039998</v>
      </c>
      <c r="V135" s="126">
        <f t="shared" si="100"/>
        <v>124.67745848312</v>
      </c>
      <c r="W135" s="450">
        <f t="shared" si="100"/>
        <v>121.92328854915</v>
      </c>
      <c r="X135" s="204">
        <f t="shared" si="100"/>
        <v>0</v>
      </c>
      <c r="Y135" s="204">
        <f t="shared" si="100"/>
        <v>0</v>
      </c>
      <c r="Z135" s="203">
        <f t="shared" si="100"/>
        <v>0</v>
      </c>
      <c r="AA135" s="181">
        <f aca="true" t="shared" si="101" ref="AA135:AJ135">+AA50*AA87</f>
        <v>0</v>
      </c>
      <c r="AB135" s="204">
        <f t="shared" si="101"/>
        <v>0</v>
      </c>
      <c r="AC135" s="204">
        <f t="shared" si="101"/>
        <v>0</v>
      </c>
      <c r="AD135" s="466">
        <f t="shared" si="101"/>
        <v>0</v>
      </c>
      <c r="AE135" s="204">
        <f t="shared" si="101"/>
        <v>0</v>
      </c>
      <c r="AF135" s="203">
        <f t="shared" si="101"/>
        <v>0</v>
      </c>
      <c r="AG135" s="203">
        <f t="shared" si="101"/>
        <v>0</v>
      </c>
      <c r="AH135" s="203">
        <f t="shared" si="101"/>
        <v>0</v>
      </c>
      <c r="AI135" s="469">
        <f t="shared" si="101"/>
        <v>0</v>
      </c>
      <c r="AJ135" s="203">
        <f t="shared" si="101"/>
        <v>0</v>
      </c>
      <c r="AK135" s="203">
        <f t="shared" si="51"/>
        <v>0</v>
      </c>
      <c r="AL135" s="466">
        <f t="shared" si="52"/>
        <v>0</v>
      </c>
      <c r="AM135" s="203">
        <f>+AM50*$AM$87</f>
        <v>0</v>
      </c>
      <c r="AN135" s="203">
        <f>+AN50*$AN$87</f>
        <v>0</v>
      </c>
      <c r="AO135" s="203">
        <f t="shared" si="55"/>
        <v>0</v>
      </c>
      <c r="AP135" s="203">
        <f t="shared" si="56"/>
        <v>0</v>
      </c>
      <c r="AQ135" s="203">
        <f t="shared" si="57"/>
        <v>0</v>
      </c>
      <c r="AR135" s="203">
        <f t="shared" si="58"/>
        <v>0</v>
      </c>
      <c r="AS135" s="203">
        <f t="shared" si="59"/>
        <v>0</v>
      </c>
      <c r="AT135" s="203">
        <f t="shared" si="60"/>
        <v>0</v>
      </c>
      <c r="AU135" s="203">
        <f t="shared" si="61"/>
        <v>0</v>
      </c>
      <c r="AV135" s="203">
        <f t="shared" si="62"/>
        <v>0</v>
      </c>
      <c r="AW135" s="203">
        <f t="shared" si="63"/>
        <v>0</v>
      </c>
      <c r="AX135" s="466">
        <f t="shared" si="64"/>
        <v>0</v>
      </c>
      <c r="AY135" s="203">
        <f t="shared" si="65"/>
        <v>0</v>
      </c>
      <c r="AZ135" s="203">
        <f t="shared" si="66"/>
        <v>0</v>
      </c>
      <c r="BA135" s="466">
        <f>+BA50*$BA$87</f>
        <v>0</v>
      </c>
    </row>
    <row r="136" spans="2:53" s="29" customFormat="1" ht="14.25">
      <c r="B136" s="117" t="s">
        <v>98</v>
      </c>
      <c r="C136" s="450">
        <f aca="true" t="shared" si="102" ref="C136:AJ136">+C51*C87</f>
        <v>22.3046790259</v>
      </c>
      <c r="D136" s="158">
        <f t="shared" si="102"/>
        <v>22.9855280648</v>
      </c>
      <c r="E136" s="158">
        <f t="shared" si="102"/>
        <v>22.666860157499997</v>
      </c>
      <c r="F136" s="126">
        <f t="shared" si="102"/>
        <v>23.26392068037</v>
      </c>
      <c r="G136" s="450">
        <f t="shared" si="102"/>
        <v>23.346332020640002</v>
      </c>
      <c r="H136" s="158">
        <f t="shared" si="102"/>
        <v>22.89909271876</v>
      </c>
      <c r="I136" s="158">
        <f t="shared" si="102"/>
        <v>23.548122202500004</v>
      </c>
      <c r="J136" s="126">
        <f t="shared" si="102"/>
        <v>23.02572041082</v>
      </c>
      <c r="K136" s="428">
        <f t="shared" si="102"/>
        <v>0</v>
      </c>
      <c r="L136" s="204">
        <f t="shared" si="102"/>
        <v>0</v>
      </c>
      <c r="M136" s="204">
        <f t="shared" si="102"/>
        <v>0</v>
      </c>
      <c r="N136" s="217">
        <f t="shared" si="102"/>
        <v>0</v>
      </c>
      <c r="O136" s="428">
        <f t="shared" si="102"/>
        <v>0</v>
      </c>
      <c r="P136" s="204">
        <f t="shared" si="102"/>
        <v>0</v>
      </c>
      <c r="Q136" s="204">
        <f t="shared" si="102"/>
        <v>0</v>
      </c>
      <c r="R136" s="217">
        <f t="shared" si="102"/>
        <v>0</v>
      </c>
      <c r="S136" s="428">
        <f t="shared" si="102"/>
        <v>0</v>
      </c>
      <c r="T136" s="204">
        <f t="shared" si="102"/>
        <v>0</v>
      </c>
      <c r="U136" s="204">
        <f t="shared" si="102"/>
        <v>0</v>
      </c>
      <c r="V136" s="217">
        <f t="shared" si="102"/>
        <v>0</v>
      </c>
      <c r="W136" s="428">
        <f t="shared" si="102"/>
        <v>0</v>
      </c>
      <c r="X136" s="204">
        <f t="shared" si="102"/>
        <v>0</v>
      </c>
      <c r="Y136" s="204">
        <f t="shared" si="102"/>
        <v>0</v>
      </c>
      <c r="Z136" s="203">
        <f t="shared" si="102"/>
        <v>0</v>
      </c>
      <c r="AA136" s="181">
        <f t="shared" si="102"/>
        <v>0</v>
      </c>
      <c r="AB136" s="204">
        <f t="shared" si="102"/>
        <v>0</v>
      </c>
      <c r="AC136" s="204">
        <f t="shared" si="102"/>
        <v>0</v>
      </c>
      <c r="AD136" s="466">
        <f t="shared" si="102"/>
        <v>0</v>
      </c>
      <c r="AE136" s="204">
        <f t="shared" si="102"/>
        <v>0</v>
      </c>
      <c r="AF136" s="203">
        <f t="shared" si="102"/>
        <v>0</v>
      </c>
      <c r="AG136" s="203">
        <f t="shared" si="102"/>
        <v>0</v>
      </c>
      <c r="AH136" s="203">
        <f t="shared" si="102"/>
        <v>0</v>
      </c>
      <c r="AI136" s="469">
        <f t="shared" si="102"/>
        <v>0</v>
      </c>
      <c r="AJ136" s="203">
        <f t="shared" si="102"/>
        <v>0</v>
      </c>
      <c r="AK136" s="203">
        <f t="shared" si="51"/>
        <v>0</v>
      </c>
      <c r="AL136" s="466">
        <f t="shared" si="52"/>
        <v>0</v>
      </c>
      <c r="AM136" s="203">
        <f>+AM51*$AM$87</f>
        <v>0</v>
      </c>
      <c r="AN136" s="203">
        <f>+AN51*$AN$87</f>
        <v>0</v>
      </c>
      <c r="AO136" s="203">
        <f t="shared" si="55"/>
        <v>0</v>
      </c>
      <c r="AP136" s="203">
        <f t="shared" si="56"/>
        <v>0</v>
      </c>
      <c r="AQ136" s="203">
        <f t="shared" si="57"/>
        <v>0</v>
      </c>
      <c r="AR136" s="203">
        <f t="shared" si="58"/>
        <v>0</v>
      </c>
      <c r="AS136" s="203">
        <f t="shared" si="59"/>
        <v>0</v>
      </c>
      <c r="AT136" s="203">
        <f t="shared" si="60"/>
        <v>0</v>
      </c>
      <c r="AU136" s="203">
        <f t="shared" si="61"/>
        <v>0</v>
      </c>
      <c r="AV136" s="203">
        <f t="shared" si="62"/>
        <v>0</v>
      </c>
      <c r="AW136" s="203">
        <f t="shared" si="63"/>
        <v>0</v>
      </c>
      <c r="AX136" s="466">
        <f t="shared" si="64"/>
        <v>0</v>
      </c>
      <c r="AY136" s="203">
        <f t="shared" si="65"/>
        <v>0</v>
      </c>
      <c r="AZ136" s="203">
        <f t="shared" si="66"/>
        <v>0</v>
      </c>
      <c r="BA136" s="466">
        <f>+BA51*$BA$87</f>
        <v>0</v>
      </c>
    </row>
    <row r="137" spans="2:53" s="29" customFormat="1" ht="14.25">
      <c r="B137" s="117" t="s">
        <v>100</v>
      </c>
      <c r="C137" s="428">
        <f aca="true" t="shared" si="103" ref="C137:AJ137">+C52*C87</f>
        <v>0</v>
      </c>
      <c r="D137" s="204">
        <f t="shared" si="103"/>
        <v>0</v>
      </c>
      <c r="E137" s="204">
        <f t="shared" si="103"/>
        <v>0</v>
      </c>
      <c r="F137" s="126">
        <f t="shared" si="103"/>
        <v>3.34626988017</v>
      </c>
      <c r="G137" s="428">
        <f t="shared" si="103"/>
        <v>0</v>
      </c>
      <c r="H137" s="204">
        <f t="shared" si="103"/>
        <v>0</v>
      </c>
      <c r="I137" s="204">
        <f t="shared" si="103"/>
        <v>0</v>
      </c>
      <c r="J137" s="217">
        <f t="shared" si="103"/>
        <v>0</v>
      </c>
      <c r="K137" s="428">
        <f t="shared" si="103"/>
        <v>0</v>
      </c>
      <c r="L137" s="204">
        <f t="shared" si="103"/>
        <v>0</v>
      </c>
      <c r="M137" s="204">
        <f t="shared" si="103"/>
        <v>0</v>
      </c>
      <c r="N137" s="217">
        <f t="shared" si="103"/>
        <v>0</v>
      </c>
      <c r="O137" s="428">
        <f t="shared" si="103"/>
        <v>0</v>
      </c>
      <c r="P137" s="204">
        <f t="shared" si="103"/>
        <v>0</v>
      </c>
      <c r="Q137" s="204">
        <f t="shared" si="103"/>
        <v>0</v>
      </c>
      <c r="R137" s="217">
        <f t="shared" si="103"/>
        <v>0</v>
      </c>
      <c r="S137" s="428">
        <f t="shared" si="103"/>
        <v>0</v>
      </c>
      <c r="T137" s="204">
        <f t="shared" si="103"/>
        <v>0</v>
      </c>
      <c r="U137" s="204">
        <f t="shared" si="103"/>
        <v>0</v>
      </c>
      <c r="V137" s="217">
        <f t="shared" si="103"/>
        <v>0</v>
      </c>
      <c r="W137" s="428">
        <f t="shared" si="103"/>
        <v>0</v>
      </c>
      <c r="X137" s="204">
        <f t="shared" si="103"/>
        <v>0</v>
      </c>
      <c r="Y137" s="204">
        <f t="shared" si="103"/>
        <v>0</v>
      </c>
      <c r="Z137" s="203">
        <f t="shared" si="103"/>
        <v>0</v>
      </c>
      <c r="AA137" s="181">
        <f t="shared" si="103"/>
        <v>0</v>
      </c>
      <c r="AB137" s="204">
        <f t="shared" si="103"/>
        <v>0</v>
      </c>
      <c r="AC137" s="204">
        <f t="shared" si="103"/>
        <v>0</v>
      </c>
      <c r="AD137" s="466">
        <f t="shared" si="103"/>
        <v>0</v>
      </c>
      <c r="AE137" s="204">
        <f t="shared" si="103"/>
        <v>0</v>
      </c>
      <c r="AF137" s="203">
        <f t="shared" si="103"/>
        <v>0</v>
      </c>
      <c r="AG137" s="203">
        <f t="shared" si="103"/>
        <v>0</v>
      </c>
      <c r="AH137" s="203">
        <f t="shared" si="103"/>
        <v>0</v>
      </c>
      <c r="AI137" s="469">
        <f t="shared" si="103"/>
        <v>0</v>
      </c>
      <c r="AJ137" s="203">
        <f t="shared" si="103"/>
        <v>0</v>
      </c>
      <c r="AK137" s="203">
        <f t="shared" si="51"/>
        <v>0</v>
      </c>
      <c r="AL137" s="466">
        <f t="shared" si="52"/>
        <v>0</v>
      </c>
      <c r="AM137" s="203">
        <f>+AM52*$AM$87</f>
        <v>0</v>
      </c>
      <c r="AN137" s="203">
        <f>+AN52*$AN$87</f>
        <v>0</v>
      </c>
      <c r="AO137" s="203">
        <f t="shared" si="55"/>
        <v>0</v>
      </c>
      <c r="AP137" s="203">
        <f t="shared" si="56"/>
        <v>0</v>
      </c>
      <c r="AQ137" s="203">
        <f t="shared" si="57"/>
        <v>0</v>
      </c>
      <c r="AR137" s="203">
        <f t="shared" si="58"/>
        <v>0</v>
      </c>
      <c r="AS137" s="203">
        <f t="shared" si="59"/>
        <v>0</v>
      </c>
      <c r="AT137" s="203">
        <f t="shared" si="60"/>
        <v>0</v>
      </c>
      <c r="AU137" s="203">
        <f t="shared" si="61"/>
        <v>0</v>
      </c>
      <c r="AV137" s="203">
        <f t="shared" si="62"/>
        <v>0</v>
      </c>
      <c r="AW137" s="203">
        <f t="shared" si="63"/>
        <v>0</v>
      </c>
      <c r="AX137" s="466">
        <f t="shared" si="64"/>
        <v>0</v>
      </c>
      <c r="AY137" s="203">
        <f t="shared" si="65"/>
        <v>0</v>
      </c>
      <c r="AZ137" s="203">
        <f t="shared" si="66"/>
        <v>0</v>
      </c>
      <c r="BA137" s="466">
        <f>+BA52*$BA$87</f>
        <v>0</v>
      </c>
    </row>
    <row r="138" spans="2:53" s="29" customFormat="1" ht="14.25">
      <c r="B138" s="117" t="s">
        <v>99</v>
      </c>
      <c r="C138" s="450">
        <f aca="true" t="shared" si="104" ref="C138:AJ138">+C53*C87</f>
        <v>3.2540781271</v>
      </c>
      <c r="D138" s="158">
        <f t="shared" si="104"/>
        <v>3.2281833453999997</v>
      </c>
      <c r="E138" s="158">
        <f t="shared" si="104"/>
        <v>2.9392552475</v>
      </c>
      <c r="F138" s="126">
        <f t="shared" si="104"/>
        <v>2.9069086958</v>
      </c>
      <c r="G138" s="450">
        <f t="shared" si="104"/>
        <v>2.66490187728</v>
      </c>
      <c r="H138" s="158">
        <f t="shared" si="104"/>
        <v>2.62895274177</v>
      </c>
      <c r="I138" s="158">
        <f t="shared" si="104"/>
        <v>2.40746668533</v>
      </c>
      <c r="J138" s="126">
        <f t="shared" si="104"/>
        <v>2.36985961815</v>
      </c>
      <c r="K138" s="428">
        <f t="shared" si="104"/>
        <v>0</v>
      </c>
      <c r="L138" s="204">
        <f t="shared" si="104"/>
        <v>0</v>
      </c>
      <c r="M138" s="204">
        <f t="shared" si="104"/>
        <v>0</v>
      </c>
      <c r="N138" s="217">
        <f t="shared" si="104"/>
        <v>0</v>
      </c>
      <c r="O138" s="428">
        <f t="shared" si="104"/>
        <v>0</v>
      </c>
      <c r="P138" s="204">
        <f t="shared" si="104"/>
        <v>0</v>
      </c>
      <c r="Q138" s="204">
        <f t="shared" si="104"/>
        <v>0</v>
      </c>
      <c r="R138" s="217">
        <f t="shared" si="104"/>
        <v>0</v>
      </c>
      <c r="S138" s="428">
        <f t="shared" si="104"/>
        <v>0</v>
      </c>
      <c r="T138" s="204">
        <f t="shared" si="104"/>
        <v>0</v>
      </c>
      <c r="U138" s="204">
        <f t="shared" si="104"/>
        <v>0</v>
      </c>
      <c r="V138" s="217">
        <f t="shared" si="104"/>
        <v>0</v>
      </c>
      <c r="W138" s="428">
        <f t="shared" si="104"/>
        <v>0</v>
      </c>
      <c r="X138" s="204">
        <f t="shared" si="104"/>
        <v>0</v>
      </c>
      <c r="Y138" s="204">
        <f t="shared" si="104"/>
        <v>0</v>
      </c>
      <c r="Z138" s="203">
        <f t="shared" si="104"/>
        <v>0</v>
      </c>
      <c r="AA138" s="181">
        <f t="shared" si="104"/>
        <v>0</v>
      </c>
      <c r="AB138" s="204">
        <f t="shared" si="104"/>
        <v>0</v>
      </c>
      <c r="AC138" s="204">
        <f t="shared" si="104"/>
        <v>0</v>
      </c>
      <c r="AD138" s="466">
        <f t="shared" si="104"/>
        <v>0</v>
      </c>
      <c r="AE138" s="204">
        <f t="shared" si="104"/>
        <v>0</v>
      </c>
      <c r="AF138" s="203">
        <f t="shared" si="104"/>
        <v>0</v>
      </c>
      <c r="AG138" s="203">
        <f t="shared" si="104"/>
        <v>0</v>
      </c>
      <c r="AH138" s="203">
        <f t="shared" si="104"/>
        <v>0</v>
      </c>
      <c r="AI138" s="469">
        <f t="shared" si="104"/>
        <v>0</v>
      </c>
      <c r="AJ138" s="203">
        <f t="shared" si="104"/>
        <v>0</v>
      </c>
      <c r="AK138" s="203">
        <f t="shared" si="51"/>
        <v>0</v>
      </c>
      <c r="AL138" s="466">
        <f t="shared" si="52"/>
        <v>0</v>
      </c>
      <c r="AM138" s="203">
        <f>+AM53*$AM$87</f>
        <v>0</v>
      </c>
      <c r="AN138" s="203">
        <f>+AN53*$AN$87</f>
        <v>0</v>
      </c>
      <c r="AO138" s="203">
        <f t="shared" si="55"/>
        <v>0</v>
      </c>
      <c r="AP138" s="203">
        <f t="shared" si="56"/>
        <v>0</v>
      </c>
      <c r="AQ138" s="203">
        <f t="shared" si="57"/>
        <v>0</v>
      </c>
      <c r="AR138" s="203">
        <f t="shared" si="58"/>
        <v>0</v>
      </c>
      <c r="AS138" s="203">
        <f t="shared" si="59"/>
        <v>0</v>
      </c>
      <c r="AT138" s="203">
        <f t="shared" si="60"/>
        <v>0</v>
      </c>
      <c r="AU138" s="203">
        <f t="shared" si="61"/>
        <v>0</v>
      </c>
      <c r="AV138" s="203">
        <f t="shared" si="62"/>
        <v>0</v>
      </c>
      <c r="AW138" s="203">
        <f t="shared" si="63"/>
        <v>0</v>
      </c>
      <c r="AX138" s="466">
        <f t="shared" si="64"/>
        <v>0</v>
      </c>
      <c r="AY138" s="203">
        <f t="shared" si="65"/>
        <v>0</v>
      </c>
      <c r="AZ138" s="203">
        <f t="shared" si="66"/>
        <v>0</v>
      </c>
      <c r="BA138" s="466">
        <f>+BA53*$BA$87</f>
        <v>0</v>
      </c>
    </row>
    <row r="139" spans="2:53" s="133" customFormat="1" ht="14.25">
      <c r="B139" s="117" t="s">
        <v>81</v>
      </c>
      <c r="C139" s="450">
        <f aca="true" t="shared" si="105" ref="C139:AC139">+C54*C87</f>
        <v>1.484236</v>
      </c>
      <c r="D139" s="158">
        <f t="shared" si="105"/>
        <v>1.44092</v>
      </c>
      <c r="E139" s="158">
        <f t="shared" si="105"/>
        <v>1.4365</v>
      </c>
      <c r="F139" s="126">
        <f t="shared" si="105"/>
        <v>2.22536085448</v>
      </c>
      <c r="G139" s="450">
        <f t="shared" si="105"/>
        <v>2.21631184256</v>
      </c>
      <c r="H139" s="158">
        <f t="shared" si="105"/>
        <v>2.20587067496</v>
      </c>
      <c r="I139" s="158">
        <f t="shared" si="105"/>
        <v>2.14879229208</v>
      </c>
      <c r="J139" s="126">
        <f t="shared" si="105"/>
        <v>2.08614528648</v>
      </c>
      <c r="K139" s="450">
        <f t="shared" si="105"/>
        <v>2.35246214502</v>
      </c>
      <c r="L139" s="158">
        <f t="shared" si="105"/>
        <v>2.54178994329</v>
      </c>
      <c r="M139" s="158">
        <f t="shared" si="105"/>
        <v>2.47065817557</v>
      </c>
      <c r="N139" s="126">
        <f t="shared" si="105"/>
        <v>2.60759421822</v>
      </c>
      <c r="O139" s="450">
        <f t="shared" si="105"/>
        <v>2.5387380259500003</v>
      </c>
      <c r="P139" s="158">
        <f t="shared" si="105"/>
        <v>2.4182664334500004</v>
      </c>
      <c r="Q139" s="158">
        <f t="shared" si="105"/>
        <v>2.23717131705</v>
      </c>
      <c r="R139" s="126">
        <f t="shared" si="105"/>
        <v>3.20892220033</v>
      </c>
      <c r="S139" s="450">
        <f t="shared" si="105"/>
        <v>3.24000280282</v>
      </c>
      <c r="T139" s="158">
        <f t="shared" si="105"/>
        <v>3.22290215467</v>
      </c>
      <c r="U139" s="158">
        <f t="shared" si="105"/>
        <v>3.32561004</v>
      </c>
      <c r="V139" s="126">
        <f t="shared" si="105"/>
        <v>5.05554117714</v>
      </c>
      <c r="W139" s="450">
        <f t="shared" si="105"/>
        <v>6.4792202442</v>
      </c>
      <c r="X139" s="158">
        <f t="shared" si="105"/>
        <v>7.54603542</v>
      </c>
      <c r="Y139" s="158">
        <f t="shared" si="105"/>
        <v>8.247524871260001</v>
      </c>
      <c r="Z139" s="172">
        <f t="shared" si="105"/>
        <v>8.183303800140001</v>
      </c>
      <c r="AA139" s="200">
        <f t="shared" si="105"/>
        <v>7.75800663812</v>
      </c>
      <c r="AB139" s="134">
        <f t="shared" si="105"/>
        <v>7.76673003389</v>
      </c>
      <c r="AC139" s="134">
        <f t="shared" si="105"/>
        <v>7.18487427096</v>
      </c>
      <c r="AD139" s="217">
        <v>0</v>
      </c>
      <c r="AE139" s="204">
        <v>0</v>
      </c>
      <c r="AF139" s="203">
        <v>0</v>
      </c>
      <c r="AG139" s="203">
        <v>0</v>
      </c>
      <c r="AH139" s="196">
        <f>+AH54*$AH$87</f>
        <v>0</v>
      </c>
      <c r="AI139" s="202">
        <f>+AI54*$AI$87</f>
        <v>0</v>
      </c>
      <c r="AJ139" s="203">
        <f>+AJ54*$AJ$87</f>
        <v>0</v>
      </c>
      <c r="AK139" s="203">
        <f t="shared" si="51"/>
        <v>0</v>
      </c>
      <c r="AL139" s="466">
        <f t="shared" si="52"/>
        <v>0</v>
      </c>
      <c r="AM139" s="203">
        <f>+AM54*$AM$87</f>
        <v>0</v>
      </c>
      <c r="AN139" s="203">
        <f>+AN54*$AN$87</f>
        <v>0</v>
      </c>
      <c r="AO139" s="203">
        <f t="shared" si="55"/>
        <v>0</v>
      </c>
      <c r="AP139" s="203">
        <f t="shared" si="56"/>
        <v>0</v>
      </c>
      <c r="AQ139" s="203">
        <f t="shared" si="57"/>
        <v>0</v>
      </c>
      <c r="AR139" s="203">
        <f t="shared" si="58"/>
        <v>0</v>
      </c>
      <c r="AS139" s="129">
        <f t="shared" si="59"/>
        <v>0.160867224</v>
      </c>
      <c r="AT139" s="129">
        <f t="shared" si="60"/>
        <v>0.16313508899999998</v>
      </c>
      <c r="AU139" s="129">
        <f t="shared" si="61"/>
        <v>0.162429531</v>
      </c>
      <c r="AV139" s="129">
        <f t="shared" si="62"/>
        <v>0.165654939</v>
      </c>
      <c r="AW139" s="129">
        <f t="shared" si="63"/>
        <v>0.059069871999999995</v>
      </c>
      <c r="AX139" s="432">
        <f t="shared" si="64"/>
        <v>3.459065261</v>
      </c>
      <c r="AY139" s="129">
        <f t="shared" si="65"/>
        <v>3.5178480870000004</v>
      </c>
      <c r="AZ139" s="129">
        <f t="shared" si="66"/>
        <v>3.5746039190000003</v>
      </c>
      <c r="BA139" s="432">
        <f>+BA54*$BA$87</f>
        <v>8.800816128</v>
      </c>
    </row>
    <row r="140" spans="2:53" s="29" customFormat="1" ht="7.5" customHeight="1">
      <c r="B140" s="49"/>
      <c r="C140" s="450"/>
      <c r="D140" s="145"/>
      <c r="E140" s="145"/>
      <c r="F140" s="459"/>
      <c r="G140" s="147"/>
      <c r="H140" s="145"/>
      <c r="I140" s="145"/>
      <c r="J140" s="459"/>
      <c r="K140" s="147"/>
      <c r="L140" s="145"/>
      <c r="M140" s="145"/>
      <c r="N140" s="459"/>
      <c r="O140" s="147"/>
      <c r="P140" s="145"/>
      <c r="Q140" s="145"/>
      <c r="R140" s="459"/>
      <c r="S140" s="147"/>
      <c r="T140" s="145"/>
      <c r="U140" s="145"/>
      <c r="V140" s="459"/>
      <c r="W140" s="147"/>
      <c r="X140" s="145"/>
      <c r="Y140" s="145"/>
      <c r="Z140" s="459"/>
      <c r="AA140" s="147"/>
      <c r="AB140" s="145"/>
      <c r="AC140" s="157"/>
      <c r="AD140" s="258"/>
      <c r="AE140" s="69"/>
      <c r="AF140" s="170"/>
      <c r="AG140" s="170"/>
      <c r="AH140" s="123"/>
      <c r="AI140" s="468"/>
      <c r="AJ140" s="170"/>
      <c r="AK140" s="170"/>
      <c r="AL140" s="123"/>
      <c r="AM140" s="170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258"/>
      <c r="AY140" s="170"/>
      <c r="AZ140" s="170"/>
      <c r="BA140" s="258"/>
    </row>
    <row r="141" spans="2:53" s="29" customFormat="1" ht="15.75">
      <c r="B141" s="85" t="s">
        <v>69</v>
      </c>
      <c r="C141" s="148">
        <f>+C142</f>
        <v>1247.7312803395603</v>
      </c>
      <c r="D141" s="144">
        <f aca="true" t="shared" si="106" ref="D141:Y141">+D142</f>
        <v>1221.1378743956</v>
      </c>
      <c r="E141" s="144">
        <f t="shared" si="106"/>
        <v>1165.3327198174998</v>
      </c>
      <c r="F141" s="121">
        <f t="shared" si="106"/>
        <v>1137.5068467910999</v>
      </c>
      <c r="G141" s="148">
        <f t="shared" si="106"/>
        <v>1099.83141103776</v>
      </c>
      <c r="H141" s="144">
        <f t="shared" si="106"/>
        <v>1071.3618551135498</v>
      </c>
      <c r="I141" s="144">
        <f t="shared" si="106"/>
        <v>1034.23936452732</v>
      </c>
      <c r="J141" s="121">
        <f t="shared" si="106"/>
        <v>1012.2797925843299</v>
      </c>
      <c r="K141" s="148">
        <f t="shared" si="106"/>
        <v>937.4732002193199</v>
      </c>
      <c r="L141" s="144">
        <f t="shared" si="106"/>
        <v>985.0342092560401</v>
      </c>
      <c r="M141" s="144">
        <f t="shared" si="106"/>
        <v>947.2743854437499</v>
      </c>
      <c r="N141" s="121">
        <f t="shared" si="106"/>
        <v>1061.4488343677</v>
      </c>
      <c r="O141" s="148">
        <f t="shared" si="106"/>
        <v>1000.32659140309</v>
      </c>
      <c r="P141" s="144">
        <f t="shared" si="106"/>
        <v>965.38312746015</v>
      </c>
      <c r="Q141" s="144">
        <f t="shared" si="106"/>
        <v>911.2583445011501</v>
      </c>
      <c r="R141" s="121">
        <f t="shared" si="106"/>
        <v>896.31037881574</v>
      </c>
      <c r="S141" s="148">
        <f t="shared" si="106"/>
        <v>836.5809898112801</v>
      </c>
      <c r="T141" s="144">
        <f t="shared" si="106"/>
        <v>843.5649926669901</v>
      </c>
      <c r="U141" s="144">
        <f t="shared" si="106"/>
        <v>817.7210214451999</v>
      </c>
      <c r="V141" s="121">
        <f t="shared" si="106"/>
        <v>826.9982439067101</v>
      </c>
      <c r="W141" s="148">
        <f t="shared" si="106"/>
        <v>780.4105753950001</v>
      </c>
      <c r="X141" s="144">
        <f t="shared" si="106"/>
        <v>772.8409542975</v>
      </c>
      <c r="Y141" s="144">
        <f t="shared" si="106"/>
        <v>750.2786081232399</v>
      </c>
      <c r="Z141" s="121">
        <f>+Z142</f>
        <v>721.3338777094199</v>
      </c>
      <c r="AA141" s="148">
        <f>+AA142</f>
        <v>655.9895001680001</v>
      </c>
      <c r="AB141" s="144">
        <f>+AB142</f>
        <v>666.71473046967</v>
      </c>
      <c r="AC141" s="144">
        <f>+AC142</f>
        <v>618.72597069174</v>
      </c>
      <c r="AD141" s="214">
        <f>+AD142</f>
        <v>584.0243936093101</v>
      </c>
      <c r="AE141" s="87">
        <f aca="true" t="shared" si="107" ref="AE141:AO141">+AE142</f>
        <v>605.1209812548122</v>
      </c>
      <c r="AF141" s="121">
        <f t="shared" si="107"/>
        <v>634.40191836164</v>
      </c>
      <c r="AG141" s="121">
        <f t="shared" si="107"/>
        <v>598.73742407778</v>
      </c>
      <c r="AH141" s="185">
        <f t="shared" si="107"/>
        <v>576.2390529923998</v>
      </c>
      <c r="AI141" s="438">
        <f t="shared" si="107"/>
        <v>602.3140853983901</v>
      </c>
      <c r="AJ141" s="121">
        <f t="shared" si="107"/>
        <v>595.59098184552</v>
      </c>
      <c r="AK141" s="121">
        <f t="shared" si="107"/>
        <v>556.0807642794</v>
      </c>
      <c r="AL141" s="185">
        <f t="shared" si="107"/>
        <v>570.42813455047</v>
      </c>
      <c r="AM141" s="121">
        <f t="shared" si="107"/>
        <v>161.51432349447998</v>
      </c>
      <c r="AN141" s="121">
        <f t="shared" si="107"/>
        <v>161.92456942235</v>
      </c>
      <c r="AO141" s="121">
        <f t="shared" si="107"/>
        <v>161.94674490164</v>
      </c>
      <c r="AP141" s="121">
        <f aca="true" t="shared" si="108" ref="AP141:BA141">+AP142</f>
        <v>176.48394635908</v>
      </c>
      <c r="AQ141" s="121">
        <f t="shared" si="108"/>
        <v>172.4562355601</v>
      </c>
      <c r="AR141" s="121">
        <f t="shared" si="108"/>
        <v>177.37250823346997</v>
      </c>
      <c r="AS141" s="121">
        <f t="shared" si="108"/>
        <v>177.59464872575998</v>
      </c>
      <c r="AT141" s="121">
        <f t="shared" si="108"/>
        <v>182.92102681983002</v>
      </c>
      <c r="AU141" s="121">
        <f t="shared" si="108"/>
        <v>182.68179863647998</v>
      </c>
      <c r="AV141" s="121">
        <f t="shared" si="108"/>
        <v>188.33284363162</v>
      </c>
      <c r="AW141" s="121">
        <f t="shared" si="108"/>
        <v>243.02488110048003</v>
      </c>
      <c r="AX141" s="214">
        <f t="shared" si="108"/>
        <v>285.62502353723</v>
      </c>
      <c r="AY141" s="121">
        <f t="shared" si="108"/>
        <v>299.92607252790003</v>
      </c>
      <c r="AZ141" s="121">
        <f t="shared" si="108"/>
        <v>314.16144653293003</v>
      </c>
      <c r="BA141" s="214">
        <f t="shared" si="108"/>
        <v>301.42854703103995</v>
      </c>
    </row>
    <row r="142" spans="2:53" s="29" customFormat="1" ht="14.25">
      <c r="B142" s="74" t="s">
        <v>41</v>
      </c>
      <c r="C142" s="146">
        <f aca="true" t="shared" si="109" ref="C142:Y142">+C57*C87</f>
        <v>1247.7312803395603</v>
      </c>
      <c r="D142" s="96">
        <f t="shared" si="109"/>
        <v>1221.1378743956</v>
      </c>
      <c r="E142" s="96">
        <f t="shared" si="109"/>
        <v>1165.3327198174998</v>
      </c>
      <c r="F142" s="129">
        <f t="shared" si="109"/>
        <v>1137.5068467910999</v>
      </c>
      <c r="G142" s="146">
        <f t="shared" si="109"/>
        <v>1099.83141103776</v>
      </c>
      <c r="H142" s="96">
        <f t="shared" si="109"/>
        <v>1071.3618551135498</v>
      </c>
      <c r="I142" s="96">
        <f t="shared" si="109"/>
        <v>1034.23936452732</v>
      </c>
      <c r="J142" s="129">
        <f t="shared" si="109"/>
        <v>1012.2797925843299</v>
      </c>
      <c r="K142" s="146">
        <f t="shared" si="109"/>
        <v>937.4732002193199</v>
      </c>
      <c r="L142" s="96">
        <f t="shared" si="109"/>
        <v>985.0342092560401</v>
      </c>
      <c r="M142" s="96">
        <f t="shared" si="109"/>
        <v>947.2743854437499</v>
      </c>
      <c r="N142" s="129">
        <f t="shared" si="109"/>
        <v>1061.4488343677</v>
      </c>
      <c r="O142" s="146">
        <f t="shared" si="109"/>
        <v>1000.32659140309</v>
      </c>
      <c r="P142" s="96">
        <f t="shared" si="109"/>
        <v>965.38312746015</v>
      </c>
      <c r="Q142" s="96">
        <f t="shared" si="109"/>
        <v>911.2583445011501</v>
      </c>
      <c r="R142" s="129">
        <f t="shared" si="109"/>
        <v>896.31037881574</v>
      </c>
      <c r="S142" s="146">
        <f t="shared" si="109"/>
        <v>836.5809898112801</v>
      </c>
      <c r="T142" s="96">
        <f t="shared" si="109"/>
        <v>843.5649926669901</v>
      </c>
      <c r="U142" s="96">
        <f t="shared" si="109"/>
        <v>817.7210214451999</v>
      </c>
      <c r="V142" s="129">
        <f t="shared" si="109"/>
        <v>826.9982439067101</v>
      </c>
      <c r="W142" s="146">
        <f t="shared" si="109"/>
        <v>780.4105753950001</v>
      </c>
      <c r="X142" s="96">
        <f t="shared" si="109"/>
        <v>772.8409542975</v>
      </c>
      <c r="Y142" s="96">
        <f t="shared" si="109"/>
        <v>750.2786081232399</v>
      </c>
      <c r="Z142" s="129">
        <f>+Z57*$Z$87</f>
        <v>721.3338777094199</v>
      </c>
      <c r="AA142" s="149">
        <f>+AA57*$AA$87</f>
        <v>655.9895001680001</v>
      </c>
      <c r="AB142" s="96">
        <f>+AB57*$AB$87</f>
        <v>666.71473046967</v>
      </c>
      <c r="AC142" s="96">
        <f>+AC57*$AC$87</f>
        <v>618.72597069174</v>
      </c>
      <c r="AD142" s="432">
        <f>+AD57*$AD$87</f>
        <v>584.0243936093101</v>
      </c>
      <c r="AE142" s="71">
        <f>+AE57/AE87</f>
        <v>605.1209812548122</v>
      </c>
      <c r="AF142" s="125">
        <f>+AF57*$AF$87</f>
        <v>634.40191836164</v>
      </c>
      <c r="AG142" s="125">
        <f>+AG57*$AG$87</f>
        <v>598.73742407778</v>
      </c>
      <c r="AH142" s="126">
        <f>+AH57*$AH$87</f>
        <v>576.2390529923998</v>
      </c>
      <c r="AI142" s="433">
        <f>+AI57*$AI$87</f>
        <v>602.3140853983901</v>
      </c>
      <c r="AJ142" s="125">
        <f>+AJ57*$AJ$87</f>
        <v>595.59098184552</v>
      </c>
      <c r="AK142" s="125">
        <f>+AK57*$AK$87</f>
        <v>556.0807642794</v>
      </c>
      <c r="AL142" s="126">
        <f>+AL57*$AL$87</f>
        <v>570.42813455047</v>
      </c>
      <c r="AM142" s="125">
        <f>+AM57*$AM$87</f>
        <v>161.51432349447998</v>
      </c>
      <c r="AN142" s="125">
        <f>+AN57*$AN$87</f>
        <v>161.92456942235</v>
      </c>
      <c r="AO142" s="125">
        <f>+AO57*$AO$87</f>
        <v>161.94674490164</v>
      </c>
      <c r="AP142" s="125">
        <f>+AP57*$AP$87</f>
        <v>176.48394635908</v>
      </c>
      <c r="AQ142" s="125">
        <f>+AQ57*$AQ$87</f>
        <v>172.4562355601</v>
      </c>
      <c r="AR142" s="125">
        <f>+AR57*$AR$87</f>
        <v>177.37250823346997</v>
      </c>
      <c r="AS142" s="125">
        <f>+AS57*$AS$87</f>
        <v>177.59464872575998</v>
      </c>
      <c r="AT142" s="125">
        <f>+AT57*$AT$87</f>
        <v>182.92102681983002</v>
      </c>
      <c r="AU142" s="125">
        <f>+AU57*$AU$87</f>
        <v>182.68179863647998</v>
      </c>
      <c r="AV142" s="125">
        <f>+AV57*$AV$87</f>
        <v>188.33284363162</v>
      </c>
      <c r="AW142" s="125">
        <f>+AW57*$AW$87</f>
        <v>243.02488110048003</v>
      </c>
      <c r="AX142" s="257">
        <f>+AX57*$AX$87</f>
        <v>285.62502353723</v>
      </c>
      <c r="AY142" s="125">
        <f>+AY57*$AY$87</f>
        <v>299.92607252790003</v>
      </c>
      <c r="AZ142" s="125">
        <f>+AZ57*$AZ$87</f>
        <v>314.16144653293003</v>
      </c>
      <c r="BA142" s="257">
        <f>+BA57*$BA$87</f>
        <v>301.42854703103995</v>
      </c>
    </row>
    <row r="143" spans="2:53" s="29" customFormat="1" ht="17.25" customHeight="1">
      <c r="B143" s="49"/>
      <c r="C143" s="147"/>
      <c r="D143" s="145"/>
      <c r="E143" s="145"/>
      <c r="F143" s="459"/>
      <c r="G143" s="147"/>
      <c r="H143" s="145"/>
      <c r="I143" s="145"/>
      <c r="J143" s="459"/>
      <c r="K143" s="147"/>
      <c r="L143" s="145"/>
      <c r="M143" s="145"/>
      <c r="N143" s="459"/>
      <c r="O143" s="147"/>
      <c r="P143" s="145"/>
      <c r="Q143" s="145"/>
      <c r="R143" s="459"/>
      <c r="S143" s="147"/>
      <c r="T143" s="145"/>
      <c r="U143" s="145"/>
      <c r="V143" s="459"/>
      <c r="W143" s="147"/>
      <c r="X143" s="145"/>
      <c r="Y143" s="145"/>
      <c r="Z143" s="459"/>
      <c r="AA143" s="147"/>
      <c r="AB143" s="145"/>
      <c r="AC143" s="158"/>
      <c r="AD143" s="467"/>
      <c r="AE143" s="71"/>
      <c r="AF143" s="125"/>
      <c r="AG143" s="125"/>
      <c r="AH143" s="126"/>
      <c r="AI143" s="433"/>
      <c r="AJ143" s="125"/>
      <c r="AK143" s="125"/>
      <c r="AL143" s="126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257"/>
      <c r="AY143" s="125"/>
      <c r="AZ143" s="125"/>
      <c r="BA143" s="257"/>
    </row>
    <row r="144" spans="2:53" s="29" customFormat="1" ht="16.5">
      <c r="B144" s="221" t="s">
        <v>90</v>
      </c>
      <c r="C144" s="181">
        <f aca="true" t="shared" si="110" ref="C144:AW144">+C160+C146</f>
        <v>0</v>
      </c>
      <c r="D144" s="204">
        <f t="shared" si="110"/>
        <v>0</v>
      </c>
      <c r="E144" s="204">
        <f t="shared" si="110"/>
        <v>0</v>
      </c>
      <c r="F144" s="203">
        <f t="shared" si="110"/>
        <v>0</v>
      </c>
      <c r="G144" s="181">
        <f t="shared" si="110"/>
        <v>0</v>
      </c>
      <c r="H144" s="204">
        <f t="shared" si="110"/>
        <v>0</v>
      </c>
      <c r="I144" s="204">
        <f t="shared" si="110"/>
        <v>0</v>
      </c>
      <c r="J144" s="203">
        <f t="shared" si="110"/>
        <v>0</v>
      </c>
      <c r="K144" s="181">
        <f t="shared" si="110"/>
        <v>0</v>
      </c>
      <c r="L144" s="204">
        <f t="shared" si="110"/>
        <v>0</v>
      </c>
      <c r="M144" s="204">
        <f t="shared" si="110"/>
        <v>0</v>
      </c>
      <c r="N144" s="203">
        <f t="shared" si="110"/>
        <v>0</v>
      </c>
      <c r="O144" s="181">
        <f t="shared" si="110"/>
        <v>0</v>
      </c>
      <c r="P144" s="204">
        <f t="shared" si="110"/>
        <v>0</v>
      </c>
      <c r="Q144" s="204">
        <f t="shared" si="110"/>
        <v>0</v>
      </c>
      <c r="R144" s="203">
        <f t="shared" si="110"/>
        <v>0</v>
      </c>
      <c r="S144" s="181">
        <f t="shared" si="110"/>
        <v>0</v>
      </c>
      <c r="T144" s="204">
        <f t="shared" si="110"/>
        <v>0</v>
      </c>
      <c r="U144" s="204">
        <f t="shared" si="110"/>
        <v>0</v>
      </c>
      <c r="V144" s="203">
        <f t="shared" si="110"/>
        <v>0</v>
      </c>
      <c r="W144" s="181">
        <f t="shared" si="110"/>
        <v>0</v>
      </c>
      <c r="X144" s="204">
        <f t="shared" si="110"/>
        <v>0</v>
      </c>
      <c r="Y144" s="77">
        <f t="shared" si="110"/>
        <v>30.54699544745</v>
      </c>
      <c r="Z144" s="431">
        <f t="shared" si="110"/>
        <v>30.546995445660002</v>
      </c>
      <c r="AA144" s="430">
        <f t="shared" si="110"/>
        <v>45.16558670760001</v>
      </c>
      <c r="AB144" s="76">
        <f t="shared" si="110"/>
        <v>1664.1278990810504</v>
      </c>
      <c r="AC144" s="76">
        <f t="shared" si="110"/>
        <v>1697.25960440254</v>
      </c>
      <c r="AD144" s="431">
        <f t="shared" si="110"/>
        <v>1788.5255109046</v>
      </c>
      <c r="AE144" s="430">
        <f t="shared" si="110"/>
        <v>1760.0905256578687</v>
      </c>
      <c r="AF144" s="77">
        <f t="shared" si="110"/>
        <v>1746.90162647406</v>
      </c>
      <c r="AG144" s="77">
        <f t="shared" si="110"/>
        <v>1752.30478298094</v>
      </c>
      <c r="AH144" s="431">
        <f t="shared" si="110"/>
        <v>1732.49107230396</v>
      </c>
      <c r="AI144" s="439">
        <f t="shared" si="110"/>
        <v>1727.0574076351</v>
      </c>
      <c r="AJ144" s="77">
        <f t="shared" si="110"/>
        <v>1720.0604952261197</v>
      </c>
      <c r="AK144" s="77">
        <f t="shared" si="110"/>
        <v>1712.0788209995999</v>
      </c>
      <c r="AL144" s="431">
        <f t="shared" si="110"/>
        <v>1728.5368585706701</v>
      </c>
      <c r="AM144" s="77">
        <f t="shared" si="110"/>
        <v>1809.70867807656</v>
      </c>
      <c r="AN144" s="77">
        <f t="shared" si="110"/>
        <v>1814.2364356342</v>
      </c>
      <c r="AO144" s="77">
        <f t="shared" si="110"/>
        <v>1778.4450259068299</v>
      </c>
      <c r="AP144" s="77">
        <f t="shared" si="110"/>
        <v>1879.93088176839</v>
      </c>
      <c r="AQ144" s="77">
        <f t="shared" si="110"/>
        <v>1894.0856063981996</v>
      </c>
      <c r="AR144" s="77">
        <f t="shared" si="110"/>
        <v>1787.6444551771297</v>
      </c>
      <c r="AS144" s="77">
        <f t="shared" si="110"/>
        <v>1755.8575520102404</v>
      </c>
      <c r="AT144" s="77">
        <f t="shared" si="110"/>
        <v>1792.5305344584299</v>
      </c>
      <c r="AU144" s="77">
        <f t="shared" si="110"/>
        <v>1769.1234004905994</v>
      </c>
      <c r="AV144" s="77">
        <f t="shared" si="110"/>
        <v>1777.5326723010598</v>
      </c>
      <c r="AW144" s="77">
        <f t="shared" si="110"/>
        <v>1845.4518043188798</v>
      </c>
      <c r="AX144" s="431">
        <f>+AX160+AX146</f>
        <v>1905.9817491421102</v>
      </c>
      <c r="AY144" s="77">
        <f>+AY160+AY146</f>
        <v>1609.6743208529097</v>
      </c>
      <c r="AZ144" s="77">
        <f>+AZ160+AZ146</f>
        <v>1619.1366195539804</v>
      </c>
      <c r="BA144" s="431">
        <f>+BA160+BA146</f>
        <v>1599.4768376038398</v>
      </c>
    </row>
    <row r="145" spans="2:53" s="29" customFormat="1" ht="8.25" customHeight="1">
      <c r="B145" s="50"/>
      <c r="C145" s="426"/>
      <c r="D145" s="397"/>
      <c r="E145" s="154"/>
      <c r="F145" s="492"/>
      <c r="G145" s="426"/>
      <c r="H145" s="397"/>
      <c r="I145" s="154"/>
      <c r="J145" s="492"/>
      <c r="K145" s="426"/>
      <c r="L145" s="397"/>
      <c r="M145" s="154"/>
      <c r="N145" s="492"/>
      <c r="O145" s="426"/>
      <c r="P145" s="397"/>
      <c r="Q145" s="154"/>
      <c r="R145" s="492"/>
      <c r="S145" s="426"/>
      <c r="T145" s="397"/>
      <c r="U145" s="154"/>
      <c r="V145" s="492"/>
      <c r="W145" s="181"/>
      <c r="X145" s="204"/>
      <c r="Y145" s="154"/>
      <c r="Z145" s="492"/>
      <c r="AA145" s="151"/>
      <c r="AB145" s="557"/>
      <c r="AC145" s="76"/>
      <c r="AD145" s="119"/>
      <c r="AE145" s="76"/>
      <c r="AF145" s="77"/>
      <c r="AG145" s="77"/>
      <c r="AH145" s="119"/>
      <c r="AI145" s="439"/>
      <c r="AJ145" s="77"/>
      <c r="AK145" s="77"/>
      <c r="AL145" s="119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431"/>
      <c r="AY145" s="77"/>
      <c r="AZ145" s="77"/>
      <c r="BA145" s="431"/>
    </row>
    <row r="146" spans="2:53" s="29" customFormat="1" ht="15.75">
      <c r="B146" s="85" t="s">
        <v>125</v>
      </c>
      <c r="C146" s="181">
        <f aca="true" t="shared" si="111" ref="C146:Z146">SUM(C147:C153)</f>
        <v>0</v>
      </c>
      <c r="D146" s="204">
        <f t="shared" si="111"/>
        <v>0</v>
      </c>
      <c r="E146" s="204">
        <f t="shared" si="111"/>
        <v>0</v>
      </c>
      <c r="F146" s="203">
        <f t="shared" si="111"/>
        <v>0</v>
      </c>
      <c r="G146" s="181">
        <f t="shared" si="111"/>
        <v>0</v>
      </c>
      <c r="H146" s="204">
        <f t="shared" si="111"/>
        <v>0</v>
      </c>
      <c r="I146" s="204">
        <f t="shared" si="111"/>
        <v>0</v>
      </c>
      <c r="J146" s="203">
        <f t="shared" si="111"/>
        <v>0</v>
      </c>
      <c r="K146" s="181">
        <f t="shared" si="111"/>
        <v>0</v>
      </c>
      <c r="L146" s="204">
        <f t="shared" si="111"/>
        <v>0</v>
      </c>
      <c r="M146" s="204">
        <f t="shared" si="111"/>
        <v>0</v>
      </c>
      <c r="N146" s="203">
        <f t="shared" si="111"/>
        <v>0</v>
      </c>
      <c r="O146" s="181">
        <f t="shared" si="111"/>
        <v>0</v>
      </c>
      <c r="P146" s="204">
        <f t="shared" si="111"/>
        <v>0</v>
      </c>
      <c r="Q146" s="204">
        <f t="shared" si="111"/>
        <v>0</v>
      </c>
      <c r="R146" s="203">
        <f t="shared" si="111"/>
        <v>0</v>
      </c>
      <c r="S146" s="181">
        <f t="shared" si="111"/>
        <v>0</v>
      </c>
      <c r="T146" s="204">
        <f t="shared" si="111"/>
        <v>0</v>
      </c>
      <c r="U146" s="204">
        <f t="shared" si="111"/>
        <v>0</v>
      </c>
      <c r="V146" s="203">
        <f t="shared" si="111"/>
        <v>0</v>
      </c>
      <c r="W146" s="181">
        <f t="shared" si="111"/>
        <v>0</v>
      </c>
      <c r="X146" s="204">
        <f t="shared" si="111"/>
        <v>0</v>
      </c>
      <c r="Y146" s="204">
        <f t="shared" si="111"/>
        <v>0</v>
      </c>
      <c r="Z146" s="203">
        <f t="shared" si="111"/>
        <v>0</v>
      </c>
      <c r="AA146" s="181">
        <f aca="true" t="shared" si="112" ref="AA146:AL146">SUM(AA147:AA154)</f>
        <v>0</v>
      </c>
      <c r="AB146" s="550">
        <f t="shared" si="112"/>
        <v>1572.8486574900003</v>
      </c>
      <c r="AC146" s="550">
        <f t="shared" si="112"/>
        <v>1581.40849015</v>
      </c>
      <c r="AD146" s="511">
        <f t="shared" si="112"/>
        <v>1610.83301766</v>
      </c>
      <c r="AE146" s="551">
        <f t="shared" si="112"/>
        <v>1578.69864486</v>
      </c>
      <c r="AF146" s="445">
        <f t="shared" si="112"/>
        <v>1545.03762645</v>
      </c>
      <c r="AG146" s="445">
        <f t="shared" si="112"/>
        <v>1551.57564544708</v>
      </c>
      <c r="AH146" s="511">
        <f t="shared" si="112"/>
        <v>1531.761934824</v>
      </c>
      <c r="AI146" s="512">
        <f t="shared" si="112"/>
        <v>1528.27366663253</v>
      </c>
      <c r="AJ146" s="445">
        <f t="shared" si="112"/>
        <v>1521.2767542364397</v>
      </c>
      <c r="AK146" s="445">
        <f t="shared" si="112"/>
        <v>1521.5867094924</v>
      </c>
      <c r="AL146" s="511">
        <f t="shared" si="112"/>
        <v>1546.3363766036703</v>
      </c>
      <c r="AM146" s="445">
        <f>SUM(AM147:AM153)</f>
        <v>1627.5081960699401</v>
      </c>
      <c r="AN146" s="445">
        <f>SUM(AN147:AN153)</f>
        <v>1629.8314350421501</v>
      </c>
      <c r="AO146" s="445">
        <f>SUM(AO147:AO155)</f>
        <v>1596.24454391142</v>
      </c>
      <c r="AP146" s="445">
        <f>SUM(AP147:AP153)</f>
        <v>1697.73039979151</v>
      </c>
      <c r="AQ146" s="445">
        <f>SUM(AQ147:AQ153)</f>
        <v>1711.8851243564995</v>
      </c>
      <c r="AR146" s="445">
        <f>SUM(AR147:AR155)</f>
        <v>1605.4439731625896</v>
      </c>
      <c r="AS146" s="445">
        <f>SUM(AS147:AS155)</f>
        <v>1581.9486994920005</v>
      </c>
      <c r="AT146" s="445">
        <f>SUM(AT147:AT155)</f>
        <v>1618.62168196989</v>
      </c>
      <c r="AU146" s="445">
        <f>SUM(AU147:AU156)</f>
        <v>1595.2145480030094</v>
      </c>
      <c r="AV146" s="445">
        <f aca="true" t="shared" si="113" ref="AV146:BA146">SUM(AV147:AV158)</f>
        <v>1603.62381981645</v>
      </c>
      <c r="AW146" s="445">
        <f t="shared" si="113"/>
        <v>1617.5429518075198</v>
      </c>
      <c r="AX146" s="511">
        <f t="shared" si="113"/>
        <v>1648.3645261711101</v>
      </c>
      <c r="AY146" s="445">
        <f t="shared" si="113"/>
        <v>1352.0570978658895</v>
      </c>
      <c r="AZ146" s="445">
        <f t="shared" si="113"/>
        <v>1361.5193969058203</v>
      </c>
      <c r="BA146" s="511">
        <f t="shared" si="113"/>
        <v>1341.8596146175998</v>
      </c>
    </row>
    <row r="147" spans="2:53" s="29" customFormat="1" ht="14.25">
      <c r="B147" s="74" t="s">
        <v>129</v>
      </c>
      <c r="C147" s="181">
        <f aca="true" t="shared" si="114" ref="C147:AD147">+C62*C87</f>
        <v>0</v>
      </c>
      <c r="D147" s="204">
        <f t="shared" si="114"/>
        <v>0</v>
      </c>
      <c r="E147" s="204">
        <f t="shared" si="114"/>
        <v>0</v>
      </c>
      <c r="F147" s="203">
        <f t="shared" si="114"/>
        <v>0</v>
      </c>
      <c r="G147" s="181">
        <f t="shared" si="114"/>
        <v>0</v>
      </c>
      <c r="H147" s="204">
        <f t="shared" si="114"/>
        <v>0</v>
      </c>
      <c r="I147" s="204">
        <f t="shared" si="114"/>
        <v>0</v>
      </c>
      <c r="J147" s="203">
        <f t="shared" si="114"/>
        <v>0</v>
      </c>
      <c r="K147" s="181">
        <f t="shared" si="114"/>
        <v>0</v>
      </c>
      <c r="L147" s="204">
        <f t="shared" si="114"/>
        <v>0</v>
      </c>
      <c r="M147" s="204">
        <f t="shared" si="114"/>
        <v>0</v>
      </c>
      <c r="N147" s="203">
        <f t="shared" si="114"/>
        <v>0</v>
      </c>
      <c r="O147" s="181">
        <f t="shared" si="114"/>
        <v>0</v>
      </c>
      <c r="P147" s="204">
        <f t="shared" si="114"/>
        <v>0</v>
      </c>
      <c r="Q147" s="204">
        <f t="shared" si="114"/>
        <v>0</v>
      </c>
      <c r="R147" s="203">
        <f t="shared" si="114"/>
        <v>0</v>
      </c>
      <c r="S147" s="181">
        <f t="shared" si="114"/>
        <v>0</v>
      </c>
      <c r="T147" s="204">
        <f t="shared" si="114"/>
        <v>0</v>
      </c>
      <c r="U147" s="204">
        <f t="shared" si="114"/>
        <v>0</v>
      </c>
      <c r="V147" s="203">
        <f t="shared" si="114"/>
        <v>0</v>
      </c>
      <c r="W147" s="181">
        <f t="shared" si="114"/>
        <v>0</v>
      </c>
      <c r="X147" s="204">
        <f t="shared" si="114"/>
        <v>0</v>
      </c>
      <c r="Y147" s="204">
        <f t="shared" si="114"/>
        <v>0</v>
      </c>
      <c r="Z147" s="203">
        <f t="shared" si="114"/>
        <v>0</v>
      </c>
      <c r="AA147" s="181">
        <f t="shared" si="114"/>
        <v>0</v>
      </c>
      <c r="AB147" s="70">
        <f t="shared" si="114"/>
        <v>1386.5921382300003</v>
      </c>
      <c r="AC147" s="70">
        <f t="shared" si="114"/>
        <v>1383.9430865</v>
      </c>
      <c r="AD147" s="129">
        <f t="shared" si="114"/>
        <v>1402.12419616</v>
      </c>
      <c r="AE147" s="149">
        <f>+AE62/AE87</f>
        <v>1364.99816805</v>
      </c>
      <c r="AF147" s="129">
        <f aca="true" t="shared" si="115" ref="AF147:AW147">+AF62*AF87</f>
        <v>1327.20905598</v>
      </c>
      <c r="AG147" s="129">
        <f t="shared" si="115"/>
        <v>1297.4962285</v>
      </c>
      <c r="AH147" s="129">
        <f t="shared" si="115"/>
        <v>1263.9951432</v>
      </c>
      <c r="AI147" s="440">
        <f t="shared" si="115"/>
        <v>1245.2486099199998</v>
      </c>
      <c r="AJ147" s="129">
        <f t="shared" si="115"/>
        <v>1223.0344523699998</v>
      </c>
      <c r="AK147" s="129">
        <f t="shared" si="115"/>
        <v>1208.5378781</v>
      </c>
      <c r="AL147" s="432">
        <f t="shared" si="115"/>
        <v>1182.91762144</v>
      </c>
      <c r="AM147" s="440">
        <f t="shared" si="115"/>
        <v>1287.0168660600002</v>
      </c>
      <c r="AN147" s="129">
        <f t="shared" si="115"/>
        <v>1287.6539420364502</v>
      </c>
      <c r="AO147" s="129">
        <f t="shared" si="115"/>
        <v>1256.13996419246</v>
      </c>
      <c r="AP147" s="129">
        <f t="shared" si="115"/>
        <v>1338.00709521876</v>
      </c>
      <c r="AQ147" s="129">
        <f t="shared" si="115"/>
        <v>1345.1981011578798</v>
      </c>
      <c r="AR147" s="129">
        <f t="shared" si="115"/>
        <v>1307.60647952495</v>
      </c>
      <c r="AS147" s="129">
        <f t="shared" si="115"/>
        <v>1307.0845671811203</v>
      </c>
      <c r="AT147" s="129">
        <f t="shared" si="115"/>
        <v>1305.4334095315498</v>
      </c>
      <c r="AU147" s="129">
        <f t="shared" si="115"/>
        <v>1270.0550594404197</v>
      </c>
      <c r="AV147" s="129">
        <f t="shared" si="115"/>
        <v>1267.57260807479</v>
      </c>
      <c r="AW147" s="129">
        <f t="shared" si="115"/>
        <v>1267.6870699457597</v>
      </c>
      <c r="AX147" s="432">
        <f>+AX62*AX87</f>
        <v>1232.62691804754</v>
      </c>
      <c r="AY147" s="129">
        <f>+AY62*AY87</f>
        <v>1232.0843920869897</v>
      </c>
      <c r="AZ147" s="129">
        <f>+AZ62*AZ87</f>
        <v>1233.35290608759</v>
      </c>
      <c r="BA147" s="432">
        <f>+BA62*BA87</f>
        <v>1203.1333822975998</v>
      </c>
    </row>
    <row r="148" spans="2:53" s="29" customFormat="1" ht="14.25">
      <c r="B148" s="74" t="s">
        <v>130</v>
      </c>
      <c r="C148" s="181">
        <f aca="true" t="shared" si="116" ref="C148:AD148">+C63*C87</f>
        <v>0</v>
      </c>
      <c r="D148" s="204">
        <f t="shared" si="116"/>
        <v>0</v>
      </c>
      <c r="E148" s="204">
        <f t="shared" si="116"/>
        <v>0</v>
      </c>
      <c r="F148" s="203">
        <f t="shared" si="116"/>
        <v>0</v>
      </c>
      <c r="G148" s="181">
        <f t="shared" si="116"/>
        <v>0</v>
      </c>
      <c r="H148" s="204">
        <f t="shared" si="116"/>
        <v>0</v>
      </c>
      <c r="I148" s="204">
        <f t="shared" si="116"/>
        <v>0</v>
      </c>
      <c r="J148" s="203">
        <f t="shared" si="116"/>
        <v>0</v>
      </c>
      <c r="K148" s="181">
        <f t="shared" si="116"/>
        <v>0</v>
      </c>
      <c r="L148" s="204">
        <f t="shared" si="116"/>
        <v>0</v>
      </c>
      <c r="M148" s="204">
        <f t="shared" si="116"/>
        <v>0</v>
      </c>
      <c r="N148" s="203">
        <f t="shared" si="116"/>
        <v>0</v>
      </c>
      <c r="O148" s="181">
        <f t="shared" si="116"/>
        <v>0</v>
      </c>
      <c r="P148" s="204">
        <f t="shared" si="116"/>
        <v>0</v>
      </c>
      <c r="Q148" s="204">
        <f t="shared" si="116"/>
        <v>0</v>
      </c>
      <c r="R148" s="203">
        <f t="shared" si="116"/>
        <v>0</v>
      </c>
      <c r="S148" s="181">
        <f t="shared" si="116"/>
        <v>0</v>
      </c>
      <c r="T148" s="204">
        <f t="shared" si="116"/>
        <v>0</v>
      </c>
      <c r="U148" s="204">
        <f t="shared" si="116"/>
        <v>0</v>
      </c>
      <c r="V148" s="203">
        <f t="shared" si="116"/>
        <v>0</v>
      </c>
      <c r="W148" s="181">
        <f t="shared" si="116"/>
        <v>0</v>
      </c>
      <c r="X148" s="204">
        <f t="shared" si="116"/>
        <v>0</v>
      </c>
      <c r="Y148" s="204">
        <f t="shared" si="116"/>
        <v>0</v>
      </c>
      <c r="Z148" s="203">
        <f t="shared" si="116"/>
        <v>0</v>
      </c>
      <c r="AA148" s="181">
        <f t="shared" si="116"/>
        <v>0</v>
      </c>
      <c r="AB148" s="70">
        <f t="shared" si="116"/>
        <v>186.25651925999998</v>
      </c>
      <c r="AC148" s="70">
        <f t="shared" si="116"/>
        <v>197.46540364999998</v>
      </c>
      <c r="AD148" s="129">
        <f t="shared" si="116"/>
        <v>208.70882149999997</v>
      </c>
      <c r="AE148" s="149">
        <f>+AE63/AE87</f>
        <v>213.70047680999994</v>
      </c>
      <c r="AF148" s="129">
        <f aca="true" t="shared" si="117" ref="AF148:AW148">+AF63*AF87</f>
        <v>214.42857047</v>
      </c>
      <c r="AG148" s="129">
        <f t="shared" si="117"/>
        <v>249.88694494</v>
      </c>
      <c r="AH148" s="129">
        <f t="shared" si="117"/>
        <v>251.86103864</v>
      </c>
      <c r="AI148" s="440">
        <f t="shared" si="117"/>
        <v>258.08736787</v>
      </c>
      <c r="AJ148" s="129">
        <f t="shared" si="117"/>
        <v>242.59711683999998</v>
      </c>
      <c r="AK148" s="129">
        <f t="shared" si="117"/>
        <v>217.65451506000002</v>
      </c>
      <c r="AL148" s="432">
        <f t="shared" si="117"/>
        <v>202.16426403000003</v>
      </c>
      <c r="AM148" s="440">
        <f t="shared" si="117"/>
        <v>177.22166225</v>
      </c>
      <c r="AN148" s="129">
        <f t="shared" si="117"/>
        <v>177.22166226095</v>
      </c>
      <c r="AO148" s="129">
        <f t="shared" si="117"/>
        <v>177.22166222939</v>
      </c>
      <c r="AP148" s="129">
        <f t="shared" si="117"/>
        <v>177.22166222650998</v>
      </c>
      <c r="AQ148" s="129">
        <f t="shared" si="117"/>
        <v>177.22166223393998</v>
      </c>
      <c r="AR148" s="129">
        <f t="shared" si="117"/>
        <v>99.77040711868999</v>
      </c>
      <c r="AS148" s="129">
        <f t="shared" si="117"/>
        <v>74.82780532080001</v>
      </c>
      <c r="AT148" s="129">
        <f t="shared" si="117"/>
        <v>74.82780531564</v>
      </c>
      <c r="AU148" s="129">
        <f t="shared" si="117"/>
        <v>74.82780531644</v>
      </c>
      <c r="AV148" s="129">
        <f t="shared" si="117"/>
        <v>74.82780533390999</v>
      </c>
      <c r="AW148" s="129">
        <f t="shared" si="117"/>
        <v>74.82780532928</v>
      </c>
      <c r="AX148" s="432">
        <f>+AX63*AX87</f>
        <v>74.82780532132</v>
      </c>
      <c r="AY148" s="203">
        <f>+AY63*AY87</f>
        <v>0</v>
      </c>
      <c r="AZ148" s="203">
        <f>+AZ63*AZ87</f>
        <v>0</v>
      </c>
      <c r="BA148" s="466">
        <f>+BA63*BA87</f>
        <v>0</v>
      </c>
    </row>
    <row r="149" spans="2:53" s="29" customFormat="1" ht="14.25">
      <c r="B149" s="74" t="s">
        <v>131</v>
      </c>
      <c r="C149" s="181">
        <f aca="true" t="shared" si="118" ref="C149:AD149">+C64*C87</f>
        <v>0</v>
      </c>
      <c r="D149" s="204">
        <f t="shared" si="118"/>
        <v>0</v>
      </c>
      <c r="E149" s="204">
        <f t="shared" si="118"/>
        <v>0</v>
      </c>
      <c r="F149" s="203">
        <f t="shared" si="118"/>
        <v>0</v>
      </c>
      <c r="G149" s="181">
        <f t="shared" si="118"/>
        <v>0</v>
      </c>
      <c r="H149" s="204">
        <f t="shared" si="118"/>
        <v>0</v>
      </c>
      <c r="I149" s="204">
        <f t="shared" si="118"/>
        <v>0</v>
      </c>
      <c r="J149" s="203">
        <f t="shared" si="118"/>
        <v>0</v>
      </c>
      <c r="K149" s="181">
        <f t="shared" si="118"/>
        <v>0</v>
      </c>
      <c r="L149" s="204">
        <f t="shared" si="118"/>
        <v>0</v>
      </c>
      <c r="M149" s="204">
        <f t="shared" si="118"/>
        <v>0</v>
      </c>
      <c r="N149" s="203">
        <f t="shared" si="118"/>
        <v>0</v>
      </c>
      <c r="O149" s="181">
        <f t="shared" si="118"/>
        <v>0</v>
      </c>
      <c r="P149" s="204">
        <f t="shared" si="118"/>
        <v>0</v>
      </c>
      <c r="Q149" s="204">
        <f t="shared" si="118"/>
        <v>0</v>
      </c>
      <c r="R149" s="203">
        <f t="shared" si="118"/>
        <v>0</v>
      </c>
      <c r="S149" s="181">
        <f t="shared" si="118"/>
        <v>0</v>
      </c>
      <c r="T149" s="204">
        <f t="shared" si="118"/>
        <v>0</v>
      </c>
      <c r="U149" s="204">
        <f t="shared" si="118"/>
        <v>0</v>
      </c>
      <c r="V149" s="203">
        <f t="shared" si="118"/>
        <v>0</v>
      </c>
      <c r="W149" s="181">
        <f t="shared" si="118"/>
        <v>0</v>
      </c>
      <c r="X149" s="204">
        <f t="shared" si="118"/>
        <v>0</v>
      </c>
      <c r="Y149" s="204">
        <f t="shared" si="118"/>
        <v>0</v>
      </c>
      <c r="Z149" s="203">
        <f t="shared" si="118"/>
        <v>0</v>
      </c>
      <c r="AA149" s="181">
        <f t="shared" si="118"/>
        <v>0</v>
      </c>
      <c r="AB149" s="204">
        <f t="shared" si="118"/>
        <v>0</v>
      </c>
      <c r="AC149" s="204">
        <f t="shared" si="118"/>
        <v>0</v>
      </c>
      <c r="AD149" s="466">
        <f t="shared" si="118"/>
        <v>0</v>
      </c>
      <c r="AE149" s="204">
        <f>+AE64/AE87</f>
        <v>0</v>
      </c>
      <c r="AF149" s="129">
        <f aca="true" t="shared" si="119" ref="AF149:AW149">+AF64*AF87</f>
        <v>3.4</v>
      </c>
      <c r="AG149" s="129">
        <f t="shared" si="119"/>
        <v>3.3999999999999995</v>
      </c>
      <c r="AH149" s="129">
        <f t="shared" si="119"/>
        <v>6.581640999999999</v>
      </c>
      <c r="AI149" s="440">
        <f t="shared" si="119"/>
        <v>7.057041</v>
      </c>
      <c r="AJ149" s="129">
        <f t="shared" si="119"/>
        <v>9.282007</v>
      </c>
      <c r="AK149" s="129">
        <f t="shared" si="119"/>
        <v>8.701881550000001</v>
      </c>
      <c r="AL149" s="432">
        <f t="shared" si="119"/>
        <v>8.121756099999999</v>
      </c>
      <c r="AM149" s="440">
        <f t="shared" si="119"/>
        <v>7.928380949999999</v>
      </c>
      <c r="AN149" s="129">
        <f t="shared" si="119"/>
        <v>7.735005801400002</v>
      </c>
      <c r="AO149" s="129">
        <f t="shared" si="119"/>
        <v>7.54163065499</v>
      </c>
      <c r="AP149" s="129">
        <f t="shared" si="119"/>
        <v>7.3482555006</v>
      </c>
      <c r="AQ149" s="129">
        <f t="shared" si="119"/>
        <v>7.154880351219999</v>
      </c>
      <c r="AR149" s="129">
        <f t="shared" si="119"/>
        <v>6.961505206589999</v>
      </c>
      <c r="AS149" s="129">
        <f t="shared" si="119"/>
        <v>6.768130036080001</v>
      </c>
      <c r="AT149" s="129">
        <f t="shared" si="119"/>
        <v>6.57475489437</v>
      </c>
      <c r="AU149" s="129">
        <f t="shared" si="119"/>
        <v>6.38137975244</v>
      </c>
      <c r="AV149" s="129">
        <f t="shared" si="119"/>
        <v>6.18800459883</v>
      </c>
      <c r="AW149" s="129">
        <f t="shared" si="119"/>
        <v>5.99462944288</v>
      </c>
      <c r="AX149" s="432">
        <f>+AX64*AX87</f>
        <v>5.8012542927299995</v>
      </c>
      <c r="AY149" s="129">
        <f>+AY64*AY87</f>
        <v>5.6078791509</v>
      </c>
      <c r="AZ149" s="129">
        <f>+AZ64*AZ87</f>
        <v>5.41450399423</v>
      </c>
      <c r="BA149" s="432">
        <f>+BA64*BA87</f>
        <v>5.2211288396799995</v>
      </c>
    </row>
    <row r="150" spans="2:53" s="29" customFormat="1" ht="14.25">
      <c r="B150" s="73" t="s">
        <v>132</v>
      </c>
      <c r="C150" s="181">
        <f aca="true" t="shared" si="120" ref="C150:AD150">+C65*C87</f>
        <v>0</v>
      </c>
      <c r="D150" s="204">
        <f t="shared" si="120"/>
        <v>0</v>
      </c>
      <c r="E150" s="204">
        <f t="shared" si="120"/>
        <v>0</v>
      </c>
      <c r="F150" s="203">
        <f t="shared" si="120"/>
        <v>0</v>
      </c>
      <c r="G150" s="181">
        <f t="shared" si="120"/>
        <v>0</v>
      </c>
      <c r="H150" s="204">
        <f t="shared" si="120"/>
        <v>0</v>
      </c>
      <c r="I150" s="204">
        <f t="shared" si="120"/>
        <v>0</v>
      </c>
      <c r="J150" s="203">
        <f t="shared" si="120"/>
        <v>0</v>
      </c>
      <c r="K150" s="181">
        <f t="shared" si="120"/>
        <v>0</v>
      </c>
      <c r="L150" s="204">
        <f t="shared" si="120"/>
        <v>0</v>
      </c>
      <c r="M150" s="204">
        <f t="shared" si="120"/>
        <v>0</v>
      </c>
      <c r="N150" s="203">
        <f t="shared" si="120"/>
        <v>0</v>
      </c>
      <c r="O150" s="181">
        <f t="shared" si="120"/>
        <v>0</v>
      </c>
      <c r="P150" s="204">
        <f t="shared" si="120"/>
        <v>0</v>
      </c>
      <c r="Q150" s="204">
        <f t="shared" si="120"/>
        <v>0</v>
      </c>
      <c r="R150" s="203">
        <f t="shared" si="120"/>
        <v>0</v>
      </c>
      <c r="S150" s="181">
        <f t="shared" si="120"/>
        <v>0</v>
      </c>
      <c r="T150" s="204">
        <f t="shared" si="120"/>
        <v>0</v>
      </c>
      <c r="U150" s="204">
        <f t="shared" si="120"/>
        <v>0</v>
      </c>
      <c r="V150" s="203">
        <f t="shared" si="120"/>
        <v>0</v>
      </c>
      <c r="W150" s="181">
        <f t="shared" si="120"/>
        <v>0</v>
      </c>
      <c r="X150" s="204">
        <f t="shared" si="120"/>
        <v>0</v>
      </c>
      <c r="Y150" s="204">
        <f t="shared" si="120"/>
        <v>0</v>
      </c>
      <c r="Z150" s="203">
        <f t="shared" si="120"/>
        <v>0</v>
      </c>
      <c r="AA150" s="181">
        <f t="shared" si="120"/>
        <v>0</v>
      </c>
      <c r="AB150" s="204">
        <f t="shared" si="120"/>
        <v>0</v>
      </c>
      <c r="AC150" s="204">
        <f t="shared" si="120"/>
        <v>0</v>
      </c>
      <c r="AD150" s="466">
        <f t="shared" si="120"/>
        <v>0</v>
      </c>
      <c r="AE150" s="204">
        <f>+AE65/AE87</f>
        <v>0</v>
      </c>
      <c r="AF150" s="203">
        <f aca="true" t="shared" si="121" ref="AF150:AW150">+AF65*AF87</f>
        <v>0</v>
      </c>
      <c r="AG150" s="129">
        <f t="shared" si="121"/>
        <v>0.79247200708</v>
      </c>
      <c r="AH150" s="129">
        <f t="shared" si="121"/>
        <v>1.4174719870799999</v>
      </c>
      <c r="AI150" s="440">
        <f t="shared" si="121"/>
        <v>9.97400784531</v>
      </c>
      <c r="AJ150" s="129">
        <f t="shared" si="121"/>
        <v>15.37400784324</v>
      </c>
      <c r="AK150" s="129">
        <f t="shared" si="121"/>
        <v>21.587281857239997</v>
      </c>
      <c r="AL150" s="432">
        <f t="shared" si="121"/>
        <v>58.17677392940001</v>
      </c>
      <c r="AM150" s="440">
        <f t="shared" si="121"/>
        <v>58.17677391019999</v>
      </c>
      <c r="AN150" s="129">
        <f t="shared" si="121"/>
        <v>58.8806786305</v>
      </c>
      <c r="AO150" s="129">
        <f t="shared" si="121"/>
        <v>58.17677391746</v>
      </c>
      <c r="AP150" s="129">
        <f t="shared" si="121"/>
        <v>77.98887392424999</v>
      </c>
      <c r="AQ150" s="129">
        <f t="shared" si="121"/>
        <v>80.83315386443999</v>
      </c>
      <c r="AR150" s="129">
        <f t="shared" si="121"/>
        <v>84.34400389426</v>
      </c>
      <c r="AS150" s="129">
        <f t="shared" si="121"/>
        <v>84.34400387112001</v>
      </c>
      <c r="AT150" s="129">
        <f t="shared" si="121"/>
        <v>115.79160069866998</v>
      </c>
      <c r="AU150" s="129">
        <f t="shared" si="121"/>
        <v>115.79160071742999</v>
      </c>
      <c r="AV150" s="129">
        <f t="shared" si="121"/>
        <v>116.3197518494</v>
      </c>
      <c r="AW150" s="129">
        <f t="shared" si="121"/>
        <v>119.35628900975998</v>
      </c>
      <c r="AX150" s="432">
        <f>+AX65*AX87</f>
        <v>149.38507916351</v>
      </c>
      <c r="AY150" s="203">
        <f>+AY65*AY87</f>
        <v>0</v>
      </c>
      <c r="AZ150" s="203">
        <f>+AZ65*AZ87</f>
        <v>0</v>
      </c>
      <c r="BA150" s="466">
        <f>+BA65*BA87</f>
        <v>0</v>
      </c>
    </row>
    <row r="151" spans="2:53" s="29" customFormat="1" ht="14.25">
      <c r="B151" s="261" t="s">
        <v>133</v>
      </c>
      <c r="C151" s="181">
        <f aca="true" t="shared" si="122" ref="C151:AD151">+C66*C87</f>
        <v>0</v>
      </c>
      <c r="D151" s="204">
        <f t="shared" si="122"/>
        <v>0</v>
      </c>
      <c r="E151" s="204">
        <f t="shared" si="122"/>
        <v>0</v>
      </c>
      <c r="F151" s="203">
        <f t="shared" si="122"/>
        <v>0</v>
      </c>
      <c r="G151" s="181">
        <f t="shared" si="122"/>
        <v>0</v>
      </c>
      <c r="H151" s="204">
        <f t="shared" si="122"/>
        <v>0</v>
      </c>
      <c r="I151" s="204">
        <f t="shared" si="122"/>
        <v>0</v>
      </c>
      <c r="J151" s="203">
        <f t="shared" si="122"/>
        <v>0</v>
      </c>
      <c r="K151" s="181">
        <f t="shared" si="122"/>
        <v>0</v>
      </c>
      <c r="L151" s="204">
        <f t="shared" si="122"/>
        <v>0</v>
      </c>
      <c r="M151" s="204">
        <f t="shared" si="122"/>
        <v>0</v>
      </c>
      <c r="N151" s="203">
        <f t="shared" si="122"/>
        <v>0</v>
      </c>
      <c r="O151" s="181">
        <f t="shared" si="122"/>
        <v>0</v>
      </c>
      <c r="P151" s="204">
        <f t="shared" si="122"/>
        <v>0</v>
      </c>
      <c r="Q151" s="204">
        <f t="shared" si="122"/>
        <v>0</v>
      </c>
      <c r="R151" s="203">
        <f t="shared" si="122"/>
        <v>0</v>
      </c>
      <c r="S151" s="181">
        <f t="shared" si="122"/>
        <v>0</v>
      </c>
      <c r="T151" s="204">
        <f t="shared" si="122"/>
        <v>0</v>
      </c>
      <c r="U151" s="204">
        <f t="shared" si="122"/>
        <v>0</v>
      </c>
      <c r="V151" s="203">
        <f t="shared" si="122"/>
        <v>0</v>
      </c>
      <c r="W151" s="181">
        <f t="shared" si="122"/>
        <v>0</v>
      </c>
      <c r="X151" s="204">
        <f t="shared" si="122"/>
        <v>0</v>
      </c>
      <c r="Y151" s="204">
        <f t="shared" si="122"/>
        <v>0</v>
      </c>
      <c r="Z151" s="203">
        <f t="shared" si="122"/>
        <v>0</v>
      </c>
      <c r="AA151" s="181">
        <f t="shared" si="122"/>
        <v>0</v>
      </c>
      <c r="AB151" s="204">
        <f t="shared" si="122"/>
        <v>0</v>
      </c>
      <c r="AC151" s="204">
        <f t="shared" si="122"/>
        <v>0</v>
      </c>
      <c r="AD151" s="466">
        <f t="shared" si="122"/>
        <v>0</v>
      </c>
      <c r="AE151" s="204">
        <f>+AE66/AE87</f>
        <v>0</v>
      </c>
      <c r="AF151" s="203">
        <f aca="true" t="shared" si="123" ref="AF151:AW151">+AF66*AF87</f>
        <v>0</v>
      </c>
      <c r="AG151" s="203">
        <f t="shared" si="123"/>
        <v>0</v>
      </c>
      <c r="AH151" s="129">
        <f t="shared" si="123"/>
        <v>7.90663999692</v>
      </c>
      <c r="AI151" s="440">
        <f t="shared" si="123"/>
        <v>7.90663999722</v>
      </c>
      <c r="AJ151" s="129">
        <f t="shared" si="123"/>
        <v>26.292702840599997</v>
      </c>
      <c r="AK151" s="129">
        <f t="shared" si="123"/>
        <v>41.750827226999995</v>
      </c>
      <c r="AL151" s="432">
        <f t="shared" si="123"/>
        <v>60.07033702313</v>
      </c>
      <c r="AM151" s="440">
        <f t="shared" si="123"/>
        <v>60.07033701921999</v>
      </c>
      <c r="AN151" s="129">
        <f t="shared" si="123"/>
        <v>60.79715273855</v>
      </c>
      <c r="AO151" s="129">
        <f t="shared" si="123"/>
        <v>60.07033701196</v>
      </c>
      <c r="AP151" s="129">
        <f t="shared" si="123"/>
        <v>60.07033702037</v>
      </c>
      <c r="AQ151" s="129">
        <f t="shared" si="123"/>
        <v>60.070337004139994</v>
      </c>
      <c r="AR151" s="129">
        <f t="shared" si="123"/>
        <v>60.070337014379994</v>
      </c>
      <c r="AS151" s="129">
        <f t="shared" si="123"/>
        <v>60.070337024880004</v>
      </c>
      <c r="AT151" s="129">
        <f t="shared" si="123"/>
        <v>60.070337011620005</v>
      </c>
      <c r="AU151" s="129">
        <f t="shared" si="123"/>
        <v>65.29171671187</v>
      </c>
      <c r="AV151" s="129">
        <f t="shared" si="123"/>
        <v>65.29171670484</v>
      </c>
      <c r="AW151" s="129">
        <f t="shared" si="123"/>
        <v>65.29171670848001</v>
      </c>
      <c r="AX151" s="432">
        <f>+AX66*AX87</f>
        <v>79.15601198814</v>
      </c>
      <c r="AY151" s="203">
        <f>+AY66*AY87</f>
        <v>0</v>
      </c>
      <c r="AZ151" s="203">
        <f>+AZ66*AZ87</f>
        <v>0</v>
      </c>
      <c r="BA151" s="466">
        <f>+BA66*BA87</f>
        <v>0</v>
      </c>
    </row>
    <row r="152" spans="2:53" s="29" customFormat="1" ht="14.25">
      <c r="B152" s="261" t="s">
        <v>134</v>
      </c>
      <c r="C152" s="181">
        <f aca="true" t="shared" si="124" ref="C152:AD152">+C67*C87</f>
        <v>0</v>
      </c>
      <c r="D152" s="204">
        <f t="shared" si="124"/>
        <v>0</v>
      </c>
      <c r="E152" s="204">
        <f t="shared" si="124"/>
        <v>0</v>
      </c>
      <c r="F152" s="203">
        <f t="shared" si="124"/>
        <v>0</v>
      </c>
      <c r="G152" s="181">
        <f t="shared" si="124"/>
        <v>0</v>
      </c>
      <c r="H152" s="204">
        <f t="shared" si="124"/>
        <v>0</v>
      </c>
      <c r="I152" s="204">
        <f t="shared" si="124"/>
        <v>0</v>
      </c>
      <c r="J152" s="203">
        <f t="shared" si="124"/>
        <v>0</v>
      </c>
      <c r="K152" s="181">
        <f t="shared" si="124"/>
        <v>0</v>
      </c>
      <c r="L152" s="204">
        <f t="shared" si="124"/>
        <v>0</v>
      </c>
      <c r="M152" s="204">
        <f t="shared" si="124"/>
        <v>0</v>
      </c>
      <c r="N152" s="203">
        <f t="shared" si="124"/>
        <v>0</v>
      </c>
      <c r="O152" s="181">
        <f t="shared" si="124"/>
        <v>0</v>
      </c>
      <c r="P152" s="204">
        <f t="shared" si="124"/>
        <v>0</v>
      </c>
      <c r="Q152" s="204">
        <f t="shared" si="124"/>
        <v>0</v>
      </c>
      <c r="R152" s="203">
        <f t="shared" si="124"/>
        <v>0</v>
      </c>
      <c r="S152" s="181">
        <f t="shared" si="124"/>
        <v>0</v>
      </c>
      <c r="T152" s="204">
        <f t="shared" si="124"/>
        <v>0</v>
      </c>
      <c r="U152" s="204">
        <f t="shared" si="124"/>
        <v>0</v>
      </c>
      <c r="V152" s="203">
        <f t="shared" si="124"/>
        <v>0</v>
      </c>
      <c r="W152" s="181">
        <f t="shared" si="124"/>
        <v>0</v>
      </c>
      <c r="X152" s="204">
        <f t="shared" si="124"/>
        <v>0</v>
      </c>
      <c r="Y152" s="204">
        <f t="shared" si="124"/>
        <v>0</v>
      </c>
      <c r="Z152" s="203">
        <f t="shared" si="124"/>
        <v>0</v>
      </c>
      <c r="AA152" s="181">
        <f t="shared" si="124"/>
        <v>0</v>
      </c>
      <c r="AB152" s="204">
        <f t="shared" si="124"/>
        <v>0</v>
      </c>
      <c r="AC152" s="204">
        <f t="shared" si="124"/>
        <v>0</v>
      </c>
      <c r="AD152" s="466">
        <f t="shared" si="124"/>
        <v>0</v>
      </c>
      <c r="AE152" s="204">
        <f>+AE67/AE87</f>
        <v>0</v>
      </c>
      <c r="AF152" s="203">
        <f aca="true" t="shared" si="125" ref="AF152:AW152">+AF67*AF87</f>
        <v>0</v>
      </c>
      <c r="AG152" s="203">
        <f t="shared" si="125"/>
        <v>0</v>
      </c>
      <c r="AH152" s="196">
        <f t="shared" si="125"/>
        <v>0</v>
      </c>
      <c r="AI152" s="469">
        <f t="shared" si="125"/>
        <v>0</v>
      </c>
      <c r="AJ152" s="129">
        <f t="shared" si="125"/>
        <v>4.6964673426</v>
      </c>
      <c r="AK152" s="129">
        <f t="shared" si="125"/>
        <v>23.35432569816</v>
      </c>
      <c r="AL152" s="432">
        <f t="shared" si="125"/>
        <v>33.637236697190005</v>
      </c>
      <c r="AM152" s="440">
        <f t="shared" si="125"/>
        <v>33.63723669262</v>
      </c>
      <c r="AN152" s="129">
        <f t="shared" si="125"/>
        <v>34.044227457050006</v>
      </c>
      <c r="AO152" s="129">
        <f t="shared" si="125"/>
        <v>33.637236711830006</v>
      </c>
      <c r="AP152" s="129">
        <f t="shared" si="125"/>
        <v>33.63723671875</v>
      </c>
      <c r="AQ152" s="129">
        <f t="shared" si="125"/>
        <v>37.95005055952</v>
      </c>
      <c r="AR152" s="129">
        <f t="shared" si="125"/>
        <v>37.95005053664</v>
      </c>
      <c r="AS152" s="129">
        <f t="shared" si="125"/>
        <v>40.020166191600005</v>
      </c>
      <c r="AT152" s="129">
        <f t="shared" si="125"/>
        <v>40.0201662159</v>
      </c>
      <c r="AU152" s="129">
        <f t="shared" si="125"/>
        <v>43.927893486950005</v>
      </c>
      <c r="AV152" s="129">
        <f t="shared" si="125"/>
        <v>44.17200475943999</v>
      </c>
      <c r="AW152" s="129">
        <f t="shared" si="125"/>
        <v>51.02275474271999</v>
      </c>
      <c r="AX152" s="432">
        <f>+AX67*AX87</f>
        <v>51.022754763799995</v>
      </c>
      <c r="AY152" s="129">
        <f>+AY67*AY87</f>
        <v>51.02275477728</v>
      </c>
      <c r="AZ152" s="129">
        <f>+AZ67*AZ87</f>
        <v>51.022754762770006</v>
      </c>
      <c r="BA152" s="432">
        <f>+BA67*BA87</f>
        <v>51.0227547648</v>
      </c>
    </row>
    <row r="153" spans="2:53" s="29" customFormat="1" ht="14.25">
      <c r="B153" s="556" t="s">
        <v>135</v>
      </c>
      <c r="C153" s="181">
        <f aca="true" t="shared" si="126" ref="C153:H153">+C68*C87</f>
        <v>0</v>
      </c>
      <c r="D153" s="204">
        <f t="shared" si="126"/>
        <v>0</v>
      </c>
      <c r="E153" s="204">
        <f t="shared" si="126"/>
        <v>0</v>
      </c>
      <c r="F153" s="203">
        <f t="shared" si="126"/>
        <v>0</v>
      </c>
      <c r="G153" s="181">
        <f t="shared" si="126"/>
        <v>0</v>
      </c>
      <c r="H153" s="204">
        <f t="shared" si="126"/>
        <v>0</v>
      </c>
      <c r="I153" s="204">
        <v>0</v>
      </c>
      <c r="J153" s="203">
        <f aca="true" t="shared" si="127" ref="J153:AD153">+J68*J87</f>
        <v>0</v>
      </c>
      <c r="K153" s="181">
        <f t="shared" si="127"/>
        <v>0</v>
      </c>
      <c r="L153" s="204">
        <f t="shared" si="127"/>
        <v>0</v>
      </c>
      <c r="M153" s="204">
        <f t="shared" si="127"/>
        <v>0</v>
      </c>
      <c r="N153" s="203">
        <f t="shared" si="127"/>
        <v>0</v>
      </c>
      <c r="O153" s="181">
        <f t="shared" si="127"/>
        <v>0</v>
      </c>
      <c r="P153" s="204">
        <f t="shared" si="127"/>
        <v>0</v>
      </c>
      <c r="Q153" s="204">
        <f t="shared" si="127"/>
        <v>0</v>
      </c>
      <c r="R153" s="203">
        <f t="shared" si="127"/>
        <v>0</v>
      </c>
      <c r="S153" s="181">
        <f t="shared" si="127"/>
        <v>0</v>
      </c>
      <c r="T153" s="204">
        <f t="shared" si="127"/>
        <v>0</v>
      </c>
      <c r="U153" s="204">
        <f t="shared" si="127"/>
        <v>0</v>
      </c>
      <c r="V153" s="203">
        <f t="shared" si="127"/>
        <v>0</v>
      </c>
      <c r="W153" s="181">
        <f t="shared" si="127"/>
        <v>0</v>
      </c>
      <c r="X153" s="204">
        <f t="shared" si="127"/>
        <v>0</v>
      </c>
      <c r="Y153" s="204">
        <f t="shared" si="127"/>
        <v>0</v>
      </c>
      <c r="Z153" s="203">
        <f t="shared" si="127"/>
        <v>0</v>
      </c>
      <c r="AA153" s="181">
        <f t="shared" si="127"/>
        <v>0</v>
      </c>
      <c r="AB153" s="204">
        <f t="shared" si="127"/>
        <v>0</v>
      </c>
      <c r="AC153" s="204">
        <f t="shared" si="127"/>
        <v>0</v>
      </c>
      <c r="AD153" s="203">
        <f t="shared" si="127"/>
        <v>0</v>
      </c>
      <c r="AE153" s="428">
        <f>+AE68/AE87</f>
        <v>0</v>
      </c>
      <c r="AF153" s="203">
        <f aca="true" t="shared" si="128" ref="AF153:AW153">+AF68*AF87</f>
        <v>0</v>
      </c>
      <c r="AG153" s="203">
        <f t="shared" si="128"/>
        <v>0</v>
      </c>
      <c r="AH153" s="196">
        <f t="shared" si="128"/>
        <v>0</v>
      </c>
      <c r="AI153" s="202">
        <f t="shared" si="128"/>
        <v>0</v>
      </c>
      <c r="AJ153" s="203">
        <f t="shared" si="128"/>
        <v>0</v>
      </c>
      <c r="AK153" s="203">
        <f t="shared" si="128"/>
        <v>0</v>
      </c>
      <c r="AL153" s="432">
        <f t="shared" si="128"/>
        <v>1.24838738395</v>
      </c>
      <c r="AM153" s="440">
        <f t="shared" si="128"/>
        <v>3.4569391878999998</v>
      </c>
      <c r="AN153" s="129">
        <f t="shared" si="128"/>
        <v>3.49876611725</v>
      </c>
      <c r="AO153" s="129">
        <f t="shared" si="128"/>
        <v>3.4569391933299993</v>
      </c>
      <c r="AP153" s="129">
        <f t="shared" si="128"/>
        <v>3.4569391822699993</v>
      </c>
      <c r="AQ153" s="129">
        <f t="shared" si="128"/>
        <v>3.4569391853599996</v>
      </c>
      <c r="AR153" s="129">
        <f t="shared" si="128"/>
        <v>8.74118986708</v>
      </c>
      <c r="AS153" s="129">
        <f t="shared" si="128"/>
        <v>8.741189856</v>
      </c>
      <c r="AT153" s="129">
        <f t="shared" si="128"/>
        <v>15.474993409590002</v>
      </c>
      <c r="AU153" s="129">
        <f t="shared" si="128"/>
        <v>17.66332652491</v>
      </c>
      <c r="AV153" s="129">
        <f t="shared" si="128"/>
        <v>27.651701685890004</v>
      </c>
      <c r="AW153" s="129">
        <f t="shared" si="128"/>
        <v>30.579908604799993</v>
      </c>
      <c r="AX153" s="432">
        <f>+AX68*AX87</f>
        <v>43.20103075117</v>
      </c>
      <c r="AY153" s="129">
        <f>+AY68*AY87</f>
        <v>46.94660987718001</v>
      </c>
      <c r="AZ153" s="129">
        <f>+AZ68*AZ87</f>
        <v>46.94660989189</v>
      </c>
      <c r="BA153" s="432">
        <f>+BA68*BA87</f>
        <v>55.798232522239985</v>
      </c>
    </row>
    <row r="154" spans="2:53" s="29" customFormat="1" ht="14.25">
      <c r="B154" s="556" t="s">
        <v>136</v>
      </c>
      <c r="C154" s="181">
        <v>0</v>
      </c>
      <c r="D154" s="204">
        <v>0</v>
      </c>
      <c r="E154" s="204">
        <v>0</v>
      </c>
      <c r="F154" s="203">
        <v>0</v>
      </c>
      <c r="G154" s="181">
        <v>0</v>
      </c>
      <c r="H154" s="204">
        <v>0</v>
      </c>
      <c r="I154" s="204">
        <v>0</v>
      </c>
      <c r="J154" s="203">
        <v>0</v>
      </c>
      <c r="K154" s="181">
        <v>0</v>
      </c>
      <c r="L154" s="204">
        <v>0</v>
      </c>
      <c r="M154" s="204">
        <v>0</v>
      </c>
      <c r="N154" s="203">
        <v>0</v>
      </c>
      <c r="O154" s="181">
        <v>0</v>
      </c>
      <c r="P154" s="204">
        <v>0</v>
      </c>
      <c r="Q154" s="204">
        <v>0</v>
      </c>
      <c r="R154" s="203">
        <v>0</v>
      </c>
      <c r="S154" s="181">
        <v>0</v>
      </c>
      <c r="T154" s="204">
        <v>0</v>
      </c>
      <c r="U154" s="204">
        <v>0</v>
      </c>
      <c r="V154" s="203">
        <v>0</v>
      </c>
      <c r="W154" s="181">
        <v>0</v>
      </c>
      <c r="X154" s="204">
        <v>0</v>
      </c>
      <c r="Y154" s="204">
        <v>0</v>
      </c>
      <c r="Z154" s="203">
        <v>0</v>
      </c>
      <c r="AA154" s="181">
        <f>+AA69*AA88</f>
        <v>0</v>
      </c>
      <c r="AB154" s="204">
        <f>+AB69*AB88</f>
        <v>0</v>
      </c>
      <c r="AC154" s="204">
        <f>+AC69*AC88</f>
        <v>0</v>
      </c>
      <c r="AD154" s="203">
        <f>+AD69*AD88</f>
        <v>0</v>
      </c>
      <c r="AE154" s="428">
        <f>+AE69/AE88</f>
        <v>0</v>
      </c>
      <c r="AF154" s="203">
        <f aca="true" t="shared" si="129" ref="AF154:AK154">+AF69*AF88</f>
        <v>0</v>
      </c>
      <c r="AG154" s="203">
        <f t="shared" si="129"/>
        <v>0</v>
      </c>
      <c r="AH154" s="196">
        <f t="shared" si="129"/>
        <v>0</v>
      </c>
      <c r="AI154" s="202">
        <f t="shared" si="129"/>
        <v>0</v>
      </c>
      <c r="AJ154" s="203">
        <f t="shared" si="129"/>
        <v>0</v>
      </c>
      <c r="AK154" s="203">
        <f t="shared" si="129"/>
        <v>0</v>
      </c>
      <c r="AL154" s="196">
        <v>0</v>
      </c>
      <c r="AM154" s="203">
        <v>0</v>
      </c>
      <c r="AN154" s="203">
        <v>0</v>
      </c>
      <c r="AO154" s="203">
        <f>+AO69*AO88</f>
        <v>0</v>
      </c>
      <c r="AP154" s="203">
        <f>+AP69*AP88</f>
        <v>0</v>
      </c>
      <c r="AQ154" s="203">
        <f>+AQ69*AQ88</f>
        <v>0</v>
      </c>
      <c r="AR154" s="203">
        <v>0</v>
      </c>
      <c r="AS154" s="129">
        <f aca="true" t="shared" si="130" ref="AS154:AX154">+AS69*AS87</f>
        <v>0.0925000104</v>
      </c>
      <c r="AT154" s="129">
        <f t="shared" si="130"/>
        <v>0.09249999408000001</v>
      </c>
      <c r="AU154" s="129">
        <f t="shared" si="130"/>
        <v>0.21496601027000004</v>
      </c>
      <c r="AV154" s="129">
        <f t="shared" si="130"/>
        <v>0.40006599632999995</v>
      </c>
      <c r="AW154" s="129">
        <f t="shared" si="130"/>
        <v>0.40006599296</v>
      </c>
      <c r="AX154" s="432">
        <f t="shared" si="130"/>
        <v>4.5509783304499996</v>
      </c>
      <c r="AY154" s="129">
        <f>+AY69*AY87</f>
        <v>4.55097832488</v>
      </c>
      <c r="AZ154" s="129">
        <f>+AZ69*AZ87</f>
        <v>4.55097832066</v>
      </c>
      <c r="BA154" s="432">
        <f>+BA69*BA87</f>
        <v>4.55097833216</v>
      </c>
    </row>
    <row r="155" spans="2:53" s="29" customFormat="1" ht="14.25">
      <c r="B155" s="556" t="s">
        <v>140</v>
      </c>
      <c r="C155" s="181">
        <v>0</v>
      </c>
      <c r="D155" s="204">
        <v>0</v>
      </c>
      <c r="E155" s="204">
        <v>0</v>
      </c>
      <c r="F155" s="203">
        <v>0</v>
      </c>
      <c r="G155" s="181">
        <v>0</v>
      </c>
      <c r="H155" s="204">
        <v>0</v>
      </c>
      <c r="I155" s="204">
        <v>0</v>
      </c>
      <c r="J155" s="203">
        <v>0</v>
      </c>
      <c r="K155" s="181">
        <v>0</v>
      </c>
      <c r="L155" s="204">
        <v>0</v>
      </c>
      <c r="M155" s="204">
        <v>0</v>
      </c>
      <c r="N155" s="203">
        <v>0</v>
      </c>
      <c r="O155" s="181">
        <v>0</v>
      </c>
      <c r="P155" s="204">
        <v>0</v>
      </c>
      <c r="Q155" s="204">
        <v>0</v>
      </c>
      <c r="R155" s="203">
        <v>0</v>
      </c>
      <c r="S155" s="181">
        <v>0</v>
      </c>
      <c r="T155" s="204">
        <v>0</v>
      </c>
      <c r="U155" s="204">
        <v>0</v>
      </c>
      <c r="V155" s="203">
        <v>0</v>
      </c>
      <c r="W155" s="181">
        <v>0</v>
      </c>
      <c r="X155" s="204">
        <v>0</v>
      </c>
      <c r="Y155" s="204">
        <v>0</v>
      </c>
      <c r="Z155" s="203">
        <v>0</v>
      </c>
      <c r="AA155" s="181">
        <v>0</v>
      </c>
      <c r="AB155" s="204">
        <v>0</v>
      </c>
      <c r="AC155" s="204">
        <v>0</v>
      </c>
      <c r="AD155" s="203">
        <v>0</v>
      </c>
      <c r="AE155" s="428">
        <v>0</v>
      </c>
      <c r="AF155" s="203">
        <v>0</v>
      </c>
      <c r="AG155" s="203">
        <v>0</v>
      </c>
      <c r="AH155" s="196">
        <v>0</v>
      </c>
      <c r="AI155" s="202">
        <v>0</v>
      </c>
      <c r="AJ155" s="203">
        <v>0</v>
      </c>
      <c r="AK155" s="203">
        <v>0</v>
      </c>
      <c r="AL155" s="196">
        <v>0</v>
      </c>
      <c r="AM155" s="203">
        <v>0</v>
      </c>
      <c r="AN155" s="203">
        <v>0</v>
      </c>
      <c r="AO155" s="203">
        <v>0</v>
      </c>
      <c r="AP155" s="203">
        <v>0</v>
      </c>
      <c r="AQ155" s="203"/>
      <c r="AR155" s="203">
        <v>0</v>
      </c>
      <c r="AS155" s="203">
        <v>0</v>
      </c>
      <c r="AT155" s="129">
        <f aca="true" t="shared" si="131" ref="AT155:AY155">+AT70*AT87</f>
        <v>0.33611489847000003</v>
      </c>
      <c r="AU155" s="129">
        <f t="shared" si="131"/>
        <v>0.33611490605</v>
      </c>
      <c r="AV155" s="129">
        <f t="shared" si="131"/>
        <v>0.33611488034000003</v>
      </c>
      <c r="AW155" s="129">
        <f t="shared" si="131"/>
        <v>0.3361148976</v>
      </c>
      <c r="AX155" s="432">
        <f t="shared" si="131"/>
        <v>0.36801488206999994</v>
      </c>
      <c r="AY155" s="129">
        <f t="shared" si="131"/>
        <v>0.36801489231</v>
      </c>
      <c r="AZ155" s="129">
        <f>+AZ70*AZ87</f>
        <v>0.36801490413000004</v>
      </c>
      <c r="BA155" s="432">
        <f>+BA70*BA87</f>
        <v>0.36801489919999997</v>
      </c>
    </row>
    <row r="156" spans="2:53" s="29" customFormat="1" ht="14.25">
      <c r="B156" s="556" t="s">
        <v>141</v>
      </c>
      <c r="C156" s="181">
        <v>0</v>
      </c>
      <c r="D156" s="204">
        <v>0</v>
      </c>
      <c r="E156" s="204">
        <v>0</v>
      </c>
      <c r="F156" s="203">
        <v>0</v>
      </c>
      <c r="G156" s="181">
        <v>0</v>
      </c>
      <c r="H156" s="204">
        <v>0</v>
      </c>
      <c r="I156" s="204">
        <v>0</v>
      </c>
      <c r="J156" s="203">
        <v>0</v>
      </c>
      <c r="K156" s="181">
        <v>0</v>
      </c>
      <c r="L156" s="204">
        <v>0</v>
      </c>
      <c r="M156" s="204">
        <v>0</v>
      </c>
      <c r="N156" s="203">
        <v>0</v>
      </c>
      <c r="O156" s="181">
        <v>0</v>
      </c>
      <c r="P156" s="204">
        <v>0</v>
      </c>
      <c r="Q156" s="204">
        <v>0</v>
      </c>
      <c r="R156" s="203">
        <v>0</v>
      </c>
      <c r="S156" s="181">
        <v>0</v>
      </c>
      <c r="T156" s="204">
        <v>0</v>
      </c>
      <c r="U156" s="204">
        <v>0</v>
      </c>
      <c r="V156" s="203">
        <v>0</v>
      </c>
      <c r="W156" s="181">
        <v>0</v>
      </c>
      <c r="X156" s="204">
        <v>0</v>
      </c>
      <c r="Y156" s="204">
        <v>0</v>
      </c>
      <c r="Z156" s="203">
        <v>0</v>
      </c>
      <c r="AA156" s="181">
        <v>0</v>
      </c>
      <c r="AB156" s="204">
        <v>0</v>
      </c>
      <c r="AC156" s="204">
        <v>0</v>
      </c>
      <c r="AD156" s="203">
        <v>0</v>
      </c>
      <c r="AE156" s="428">
        <v>0</v>
      </c>
      <c r="AF156" s="203">
        <v>0</v>
      </c>
      <c r="AG156" s="203">
        <v>0</v>
      </c>
      <c r="AH156" s="196">
        <v>0</v>
      </c>
      <c r="AI156" s="202">
        <v>0</v>
      </c>
      <c r="AJ156" s="203">
        <v>0</v>
      </c>
      <c r="AK156" s="203">
        <v>0</v>
      </c>
      <c r="AL156" s="196">
        <v>0</v>
      </c>
      <c r="AM156" s="203">
        <v>0</v>
      </c>
      <c r="AN156" s="203">
        <v>0</v>
      </c>
      <c r="AO156" s="203">
        <v>0</v>
      </c>
      <c r="AP156" s="203">
        <v>0</v>
      </c>
      <c r="AQ156" s="203">
        <v>0</v>
      </c>
      <c r="AR156" s="203">
        <v>0</v>
      </c>
      <c r="AS156" s="203">
        <v>0</v>
      </c>
      <c r="AT156" s="203">
        <v>0</v>
      </c>
      <c r="AU156" s="129">
        <f aca="true" t="shared" si="132" ref="AU156:AZ156">+AU71*AU87</f>
        <v>0.72468513623</v>
      </c>
      <c r="AV156" s="129">
        <f t="shared" si="132"/>
        <v>0.7246851529599999</v>
      </c>
      <c r="AW156" s="129">
        <f t="shared" si="132"/>
        <v>1.9072363596800002</v>
      </c>
      <c r="AX156" s="432">
        <f t="shared" si="132"/>
        <v>7.28531785396</v>
      </c>
      <c r="AY156" s="129">
        <f t="shared" si="132"/>
        <v>8.568406782390001</v>
      </c>
      <c r="AZ156" s="129">
        <f t="shared" si="132"/>
        <v>11.35214747713</v>
      </c>
      <c r="BA156" s="432">
        <f>+BA71*BA87</f>
        <v>12.26551552512</v>
      </c>
    </row>
    <row r="157" spans="2:53" s="29" customFormat="1" ht="14.25">
      <c r="B157" s="556" t="s">
        <v>147</v>
      </c>
      <c r="C157" s="181"/>
      <c r="D157" s="204"/>
      <c r="E157" s="204"/>
      <c r="F157" s="203"/>
      <c r="G157" s="181"/>
      <c r="H157" s="204"/>
      <c r="I157" s="204"/>
      <c r="J157" s="203"/>
      <c r="K157" s="181"/>
      <c r="L157" s="204"/>
      <c r="M157" s="204"/>
      <c r="N157" s="203"/>
      <c r="O157" s="181"/>
      <c r="P157" s="204"/>
      <c r="Q157" s="204"/>
      <c r="R157" s="203"/>
      <c r="S157" s="181"/>
      <c r="T157" s="204"/>
      <c r="U157" s="204"/>
      <c r="V157" s="203"/>
      <c r="W157" s="181"/>
      <c r="X157" s="204"/>
      <c r="Y157" s="204"/>
      <c r="Z157" s="203"/>
      <c r="AA157" s="181">
        <v>0</v>
      </c>
      <c r="AB157" s="204">
        <v>0</v>
      </c>
      <c r="AC157" s="204">
        <v>0</v>
      </c>
      <c r="AD157" s="203">
        <v>0</v>
      </c>
      <c r="AE157" s="428">
        <v>0</v>
      </c>
      <c r="AF157" s="203">
        <v>0</v>
      </c>
      <c r="AG157" s="203">
        <v>0</v>
      </c>
      <c r="AH157" s="196">
        <v>0</v>
      </c>
      <c r="AI157" s="202">
        <v>0</v>
      </c>
      <c r="AJ157" s="203">
        <v>0</v>
      </c>
      <c r="AK157" s="203">
        <v>0</v>
      </c>
      <c r="AL157" s="196">
        <v>0</v>
      </c>
      <c r="AM157" s="203"/>
      <c r="AN157" s="203"/>
      <c r="AO157" s="203">
        <v>0</v>
      </c>
      <c r="AP157" s="203"/>
      <c r="AQ157" s="203"/>
      <c r="AR157" s="203">
        <v>0</v>
      </c>
      <c r="AS157" s="203"/>
      <c r="AT157" s="203"/>
      <c r="AU157" s="203">
        <v>0</v>
      </c>
      <c r="AV157" s="203"/>
      <c r="AW157" s="203"/>
      <c r="AX157" s="466">
        <v>0</v>
      </c>
      <c r="AY157" s="129">
        <f>+AY72*AY87</f>
        <v>1.13268119055</v>
      </c>
      <c r="AZ157" s="129">
        <f>+AZ72*AZ87</f>
        <v>6.73610066211</v>
      </c>
      <c r="BA157" s="432">
        <f>+BA72*BA87</f>
        <v>7.323498657279999</v>
      </c>
    </row>
    <row r="158" spans="2:53" s="29" customFormat="1" ht="14.25">
      <c r="B158" s="556" t="s">
        <v>143</v>
      </c>
      <c r="C158" s="181">
        <v>0</v>
      </c>
      <c r="D158" s="204">
        <v>0</v>
      </c>
      <c r="E158" s="204">
        <v>0</v>
      </c>
      <c r="F158" s="203">
        <v>0</v>
      </c>
      <c r="G158" s="181">
        <v>0</v>
      </c>
      <c r="H158" s="204">
        <v>0</v>
      </c>
      <c r="I158" s="204">
        <v>0</v>
      </c>
      <c r="J158" s="203">
        <v>0</v>
      </c>
      <c r="K158" s="181">
        <v>0</v>
      </c>
      <c r="L158" s="204">
        <v>0</v>
      </c>
      <c r="M158" s="204">
        <v>0</v>
      </c>
      <c r="N158" s="203">
        <v>0</v>
      </c>
      <c r="O158" s="181">
        <v>0</v>
      </c>
      <c r="P158" s="204">
        <v>0</v>
      </c>
      <c r="Q158" s="204">
        <v>0</v>
      </c>
      <c r="R158" s="203">
        <v>0</v>
      </c>
      <c r="S158" s="181">
        <v>0</v>
      </c>
      <c r="T158" s="204">
        <v>0</v>
      </c>
      <c r="U158" s="204">
        <v>0</v>
      </c>
      <c r="V158" s="203">
        <v>0</v>
      </c>
      <c r="W158" s="181">
        <v>0</v>
      </c>
      <c r="X158" s="204">
        <v>0</v>
      </c>
      <c r="Y158" s="204">
        <v>0</v>
      </c>
      <c r="Z158" s="203">
        <v>0</v>
      </c>
      <c r="AA158" s="181">
        <v>0</v>
      </c>
      <c r="AB158" s="204">
        <v>0</v>
      </c>
      <c r="AC158" s="204">
        <v>0</v>
      </c>
      <c r="AD158" s="203">
        <v>0</v>
      </c>
      <c r="AE158" s="428">
        <v>0</v>
      </c>
      <c r="AF158" s="203">
        <v>0</v>
      </c>
      <c r="AG158" s="203">
        <v>0</v>
      </c>
      <c r="AH158" s="196">
        <v>0</v>
      </c>
      <c r="AI158" s="202">
        <v>0</v>
      </c>
      <c r="AJ158" s="203">
        <v>0</v>
      </c>
      <c r="AK158" s="203">
        <v>0</v>
      </c>
      <c r="AL158" s="196">
        <v>0</v>
      </c>
      <c r="AM158" s="203">
        <v>0</v>
      </c>
      <c r="AN158" s="203">
        <v>0</v>
      </c>
      <c r="AO158" s="203">
        <v>0</v>
      </c>
      <c r="AP158" s="203">
        <v>0</v>
      </c>
      <c r="AQ158" s="203">
        <v>0</v>
      </c>
      <c r="AR158" s="203">
        <v>0</v>
      </c>
      <c r="AS158" s="203">
        <v>0</v>
      </c>
      <c r="AT158" s="203">
        <v>0</v>
      </c>
      <c r="AU158" s="203">
        <f>+AU73*AU88</f>
        <v>0</v>
      </c>
      <c r="AV158" s="129">
        <f aca="true" t="shared" si="133" ref="AV158:BA158">+AV73*AV87</f>
        <v>0.13936077972</v>
      </c>
      <c r="AW158" s="129">
        <f t="shared" si="133"/>
        <v>0.1393607736</v>
      </c>
      <c r="AX158" s="432">
        <f t="shared" si="133"/>
        <v>0.13936077641999997</v>
      </c>
      <c r="AY158" s="129">
        <f t="shared" si="133"/>
        <v>1.77538078341</v>
      </c>
      <c r="AZ158" s="129">
        <f t="shared" si="133"/>
        <v>1.7753808053100002</v>
      </c>
      <c r="BA158" s="432">
        <f t="shared" si="133"/>
        <v>2.17610877952</v>
      </c>
    </row>
    <row r="159" spans="2:53" s="29" customFormat="1" ht="8.25" customHeight="1">
      <c r="B159" s="50"/>
      <c r="C159" s="426"/>
      <c r="D159" s="397"/>
      <c r="E159" s="397"/>
      <c r="F159" s="460"/>
      <c r="G159" s="426"/>
      <c r="H159" s="397"/>
      <c r="I159" s="397"/>
      <c r="J159" s="460"/>
      <c r="K159" s="426"/>
      <c r="L159" s="397"/>
      <c r="M159" s="397"/>
      <c r="N159" s="460"/>
      <c r="O159" s="426"/>
      <c r="P159" s="397"/>
      <c r="Q159" s="397"/>
      <c r="R159" s="460"/>
      <c r="S159" s="426"/>
      <c r="T159" s="397"/>
      <c r="U159" s="397"/>
      <c r="V159" s="460"/>
      <c r="W159" s="426"/>
      <c r="X159" s="397"/>
      <c r="Y159" s="154"/>
      <c r="Z159" s="492"/>
      <c r="AA159" s="151"/>
      <c r="AB159" s="154"/>
      <c r="AC159" s="143"/>
      <c r="AD159" s="77"/>
      <c r="AE159" s="430"/>
      <c r="AF159" s="77"/>
      <c r="AG159" s="77"/>
      <c r="AH159" s="119"/>
      <c r="AI159" s="439"/>
      <c r="AJ159" s="77"/>
      <c r="AK159" s="77"/>
      <c r="AL159" s="119"/>
      <c r="AM159" s="77"/>
      <c r="AN159" s="77"/>
      <c r="AO159" s="77"/>
      <c r="AP159" s="77"/>
      <c r="AQ159" s="77"/>
      <c r="AR159" s="77"/>
      <c r="AS159" s="77"/>
      <c r="AT159" s="129"/>
      <c r="AU159" s="129"/>
      <c r="AV159" s="129"/>
      <c r="AW159" s="129"/>
      <c r="AX159" s="432"/>
      <c r="AY159" s="129"/>
      <c r="AZ159" s="129"/>
      <c r="BA159" s="432"/>
    </row>
    <row r="160" spans="2:53" s="29" customFormat="1" ht="15.75">
      <c r="B160" s="85" t="s">
        <v>101</v>
      </c>
      <c r="C160" s="428">
        <f aca="true" t="shared" si="134" ref="C160:AQ160">+C161+C162</f>
        <v>0</v>
      </c>
      <c r="D160" s="176">
        <f t="shared" si="134"/>
        <v>0</v>
      </c>
      <c r="E160" s="204">
        <f t="shared" si="134"/>
        <v>0</v>
      </c>
      <c r="F160" s="203">
        <f t="shared" si="134"/>
        <v>0</v>
      </c>
      <c r="G160" s="428">
        <f t="shared" si="134"/>
        <v>0</v>
      </c>
      <c r="H160" s="176">
        <f t="shared" si="134"/>
        <v>0</v>
      </c>
      <c r="I160" s="204">
        <f t="shared" si="134"/>
        <v>0</v>
      </c>
      <c r="J160" s="203">
        <f t="shared" si="134"/>
        <v>0</v>
      </c>
      <c r="K160" s="428">
        <f t="shared" si="134"/>
        <v>0</v>
      </c>
      <c r="L160" s="176">
        <f t="shared" si="134"/>
        <v>0</v>
      </c>
      <c r="M160" s="204">
        <f t="shared" si="134"/>
        <v>0</v>
      </c>
      <c r="N160" s="203">
        <f t="shared" si="134"/>
        <v>0</v>
      </c>
      <c r="O160" s="428">
        <f t="shared" si="134"/>
        <v>0</v>
      </c>
      <c r="P160" s="176">
        <f t="shared" si="134"/>
        <v>0</v>
      </c>
      <c r="Q160" s="204">
        <f t="shared" si="134"/>
        <v>0</v>
      </c>
      <c r="R160" s="203">
        <f t="shared" si="134"/>
        <v>0</v>
      </c>
      <c r="S160" s="428">
        <f t="shared" si="134"/>
        <v>0</v>
      </c>
      <c r="T160" s="176">
        <f t="shared" si="134"/>
        <v>0</v>
      </c>
      <c r="U160" s="204">
        <f t="shared" si="134"/>
        <v>0</v>
      </c>
      <c r="V160" s="203">
        <f t="shared" si="134"/>
        <v>0</v>
      </c>
      <c r="W160" s="428">
        <f t="shared" si="134"/>
        <v>0</v>
      </c>
      <c r="X160" s="204">
        <f t="shared" si="134"/>
        <v>0</v>
      </c>
      <c r="Y160" s="92">
        <f t="shared" si="134"/>
        <v>30.54699544745</v>
      </c>
      <c r="Z160" s="109">
        <f t="shared" si="134"/>
        <v>30.546995445660002</v>
      </c>
      <c r="AA160" s="92">
        <f t="shared" si="134"/>
        <v>45.16558670760001</v>
      </c>
      <c r="AB160" s="92">
        <f t="shared" si="134"/>
        <v>91.27924159105</v>
      </c>
      <c r="AC160" s="92">
        <f t="shared" si="134"/>
        <v>115.85111425253999</v>
      </c>
      <c r="AD160" s="159">
        <f t="shared" si="134"/>
        <v>177.6924932446</v>
      </c>
      <c r="AE160" s="246">
        <f t="shared" si="134"/>
        <v>181.39188079786862</v>
      </c>
      <c r="AF160" s="121">
        <f t="shared" si="134"/>
        <v>201.86400002405998</v>
      </c>
      <c r="AG160" s="121">
        <f t="shared" si="134"/>
        <v>200.72913753385998</v>
      </c>
      <c r="AH160" s="214">
        <f t="shared" si="134"/>
        <v>200.72913747996</v>
      </c>
      <c r="AI160" s="438">
        <f t="shared" si="134"/>
        <v>198.78374100257003</v>
      </c>
      <c r="AJ160" s="121">
        <f t="shared" si="134"/>
        <v>198.78374098967998</v>
      </c>
      <c r="AK160" s="121">
        <f t="shared" si="134"/>
        <v>190.4921115072</v>
      </c>
      <c r="AL160" s="214">
        <f t="shared" si="134"/>
        <v>182.20048196699997</v>
      </c>
      <c r="AM160" s="121">
        <f t="shared" si="134"/>
        <v>182.20048200662</v>
      </c>
      <c r="AN160" s="121">
        <f t="shared" si="134"/>
        <v>184.40500059205</v>
      </c>
      <c r="AO160" s="121">
        <f t="shared" si="134"/>
        <v>182.20048199540997</v>
      </c>
      <c r="AP160" s="121">
        <f t="shared" si="134"/>
        <v>182.20048197687998</v>
      </c>
      <c r="AQ160" s="121">
        <f t="shared" si="134"/>
        <v>182.2004820417</v>
      </c>
      <c r="AR160" s="121">
        <f aca="true" t="shared" si="135" ref="AR160:AW160">+AR161+AR162</f>
        <v>182.20048201454</v>
      </c>
      <c r="AS160" s="121">
        <f t="shared" si="135"/>
        <v>173.90885251824</v>
      </c>
      <c r="AT160" s="121">
        <f t="shared" si="135"/>
        <v>173.90885248854</v>
      </c>
      <c r="AU160" s="121">
        <f t="shared" si="135"/>
        <v>173.90885248758997</v>
      </c>
      <c r="AV160" s="121">
        <f t="shared" si="135"/>
        <v>173.90885248461</v>
      </c>
      <c r="AW160" s="121">
        <f t="shared" si="135"/>
        <v>227.90885251136</v>
      </c>
      <c r="AX160" s="214">
        <f>+AX161+AX162</f>
        <v>257.617222971</v>
      </c>
      <c r="AY160" s="121">
        <f>+AY161+AY162</f>
        <v>257.61722298702</v>
      </c>
      <c r="AZ160" s="121">
        <f>+AZ161+AZ162</f>
        <v>257.61722264816</v>
      </c>
      <c r="BA160" s="214">
        <f>+BA161+BA162</f>
        <v>257.61722298624</v>
      </c>
    </row>
    <row r="161" spans="2:53" s="29" customFormat="1" ht="14.25">
      <c r="B161" s="74" t="s">
        <v>64</v>
      </c>
      <c r="C161" s="428">
        <f aca="true" t="shared" si="136" ref="C161:Y161">+C76*C87</f>
        <v>0</v>
      </c>
      <c r="D161" s="176">
        <f t="shared" si="136"/>
        <v>0</v>
      </c>
      <c r="E161" s="204">
        <f t="shared" si="136"/>
        <v>0</v>
      </c>
      <c r="F161" s="203">
        <f t="shared" si="136"/>
        <v>0</v>
      </c>
      <c r="G161" s="428">
        <f t="shared" si="136"/>
        <v>0</v>
      </c>
      <c r="H161" s="176">
        <f t="shared" si="136"/>
        <v>0</v>
      </c>
      <c r="I161" s="204">
        <f t="shared" si="136"/>
        <v>0</v>
      </c>
      <c r="J161" s="203">
        <f t="shared" si="136"/>
        <v>0</v>
      </c>
      <c r="K161" s="428">
        <f t="shared" si="136"/>
        <v>0</v>
      </c>
      <c r="L161" s="176">
        <f t="shared" si="136"/>
        <v>0</v>
      </c>
      <c r="M161" s="204">
        <f t="shared" si="136"/>
        <v>0</v>
      </c>
      <c r="N161" s="203">
        <f t="shared" si="136"/>
        <v>0</v>
      </c>
      <c r="O161" s="428">
        <f t="shared" si="136"/>
        <v>0</v>
      </c>
      <c r="P161" s="176">
        <f t="shared" si="136"/>
        <v>0</v>
      </c>
      <c r="Q161" s="204">
        <f t="shared" si="136"/>
        <v>0</v>
      </c>
      <c r="R161" s="203">
        <f t="shared" si="136"/>
        <v>0</v>
      </c>
      <c r="S161" s="428">
        <f t="shared" si="136"/>
        <v>0</v>
      </c>
      <c r="T161" s="176">
        <f t="shared" si="136"/>
        <v>0</v>
      </c>
      <c r="U161" s="204">
        <f t="shared" si="136"/>
        <v>0</v>
      </c>
      <c r="V161" s="203">
        <f t="shared" si="136"/>
        <v>0</v>
      </c>
      <c r="W161" s="428">
        <f t="shared" si="136"/>
        <v>0</v>
      </c>
      <c r="X161" s="204">
        <f t="shared" si="136"/>
        <v>0</v>
      </c>
      <c r="Y161" s="96">
        <f t="shared" si="136"/>
        <v>30.54699544745</v>
      </c>
      <c r="Z161" s="129">
        <f>+Z76*$Z$87</f>
        <v>30.546995445660002</v>
      </c>
      <c r="AA161" s="149">
        <f>+AA76*AA87</f>
        <v>45.16558670760001</v>
      </c>
      <c r="AB161" s="156">
        <f>+AB76*$AB$87</f>
        <v>58.206618969999994</v>
      </c>
      <c r="AC161" s="96">
        <f>+AC76*$AC$87</f>
        <v>71.10396150125999</v>
      </c>
      <c r="AD161" s="107">
        <f>+AD76*$AD$87</f>
        <v>92.69249325004</v>
      </c>
      <c r="AE161" s="71">
        <f>+AE76/$AE$87</f>
        <v>96.39188080040584</v>
      </c>
      <c r="AF161" s="125">
        <f>+AF76*$AF$87</f>
        <v>116.86400002321</v>
      </c>
      <c r="AG161" s="125">
        <f>+AG76*$AG$87</f>
        <v>119.00163752047999</v>
      </c>
      <c r="AH161" s="126">
        <f>+AH76*$AH$87</f>
        <v>119.0016374928</v>
      </c>
      <c r="AI161" s="433">
        <f>+AI76*$AI$87</f>
        <v>120.32874100405</v>
      </c>
      <c r="AJ161" s="125">
        <f>+AJ76*$AJ$87</f>
        <v>120.3287409984</v>
      </c>
      <c r="AK161" s="125">
        <f>+AK76*$AK$87</f>
        <v>115.30961149584</v>
      </c>
      <c r="AL161" s="126">
        <f>+AL76*$AL$87</f>
        <v>110.29048196494999</v>
      </c>
      <c r="AM161" s="125">
        <f>+AM76*$AM$87</f>
        <v>110.29048201446001</v>
      </c>
      <c r="AN161" s="125">
        <f>+AN76*$AN$87</f>
        <v>111.62493192765</v>
      </c>
      <c r="AO161" s="125">
        <f>+AO76*$AO$87</f>
        <v>110.29048199569999</v>
      </c>
      <c r="AP161" s="125">
        <f>+AP76*$AP$87</f>
        <v>110.29048198113</v>
      </c>
      <c r="AQ161" s="125">
        <f>+AQ76*$AQ$87</f>
        <v>110.29048202686002</v>
      </c>
      <c r="AR161" s="125">
        <f>+AR76*$AR$87</f>
        <v>110.2904820006</v>
      </c>
      <c r="AS161" s="125">
        <f>+AS76*$AS$87</f>
        <v>105.27135251976</v>
      </c>
      <c r="AT161" s="125">
        <f>+AT76*$AT$87</f>
        <v>105.27135247902</v>
      </c>
      <c r="AU161" s="125">
        <f>+AU76*$AU$87</f>
        <v>105.27135249663999</v>
      </c>
      <c r="AV161" s="125">
        <f>+AV76*$AV$87</f>
        <v>105.27135248517999</v>
      </c>
      <c r="AW161" s="125">
        <f>+AW76*$AW$87</f>
        <v>105.27135250015999</v>
      </c>
      <c r="AX161" s="257">
        <f>+AX76*$AX$87</f>
        <v>100.25222297860999</v>
      </c>
      <c r="AY161" s="125">
        <f>+AY76*$AY$87</f>
        <v>100.25222299286999</v>
      </c>
      <c r="AZ161" s="125">
        <f>+AZ76*$AZ$87</f>
        <v>100.25222298771001</v>
      </c>
      <c r="BA161" s="257">
        <f>+BA76*$BA$87</f>
        <v>100.25222298623999</v>
      </c>
    </row>
    <row r="162" spans="2:53" s="29" customFormat="1" ht="14.25">
      <c r="B162" s="74" t="s">
        <v>65</v>
      </c>
      <c r="C162" s="249">
        <f aca="true" t="shared" si="137" ref="C162:Y162">+C77*C87</f>
        <v>0</v>
      </c>
      <c r="D162" s="176">
        <f t="shared" si="137"/>
        <v>0</v>
      </c>
      <c r="E162" s="204">
        <f t="shared" si="137"/>
        <v>0</v>
      </c>
      <c r="F162" s="203">
        <f t="shared" si="137"/>
        <v>0</v>
      </c>
      <c r="G162" s="249">
        <f t="shared" si="137"/>
        <v>0</v>
      </c>
      <c r="H162" s="176">
        <f t="shared" si="137"/>
        <v>0</v>
      </c>
      <c r="I162" s="204">
        <f t="shared" si="137"/>
        <v>0</v>
      </c>
      <c r="J162" s="203">
        <f t="shared" si="137"/>
        <v>0</v>
      </c>
      <c r="K162" s="249">
        <f t="shared" si="137"/>
        <v>0</v>
      </c>
      <c r="L162" s="176">
        <f t="shared" si="137"/>
        <v>0</v>
      </c>
      <c r="M162" s="204">
        <f t="shared" si="137"/>
        <v>0</v>
      </c>
      <c r="N162" s="203">
        <f t="shared" si="137"/>
        <v>0</v>
      </c>
      <c r="O162" s="249">
        <f t="shared" si="137"/>
        <v>0</v>
      </c>
      <c r="P162" s="176">
        <f t="shared" si="137"/>
        <v>0</v>
      </c>
      <c r="Q162" s="204">
        <f t="shared" si="137"/>
        <v>0</v>
      </c>
      <c r="R162" s="203">
        <f t="shared" si="137"/>
        <v>0</v>
      </c>
      <c r="S162" s="249">
        <f t="shared" si="137"/>
        <v>0</v>
      </c>
      <c r="T162" s="176">
        <f t="shared" si="137"/>
        <v>0</v>
      </c>
      <c r="U162" s="204">
        <f t="shared" si="137"/>
        <v>0</v>
      </c>
      <c r="V162" s="203">
        <f t="shared" si="137"/>
        <v>0</v>
      </c>
      <c r="W162" s="428">
        <f t="shared" si="137"/>
        <v>0</v>
      </c>
      <c r="X162" s="204">
        <f t="shared" si="137"/>
        <v>0</v>
      </c>
      <c r="Y162" s="179">
        <f t="shared" si="137"/>
        <v>0</v>
      </c>
      <c r="Z162" s="203">
        <f>+Z77*$Z$87</f>
        <v>0</v>
      </c>
      <c r="AA162" s="181">
        <f>+AA77*AA87</f>
        <v>0</v>
      </c>
      <c r="AB162" s="156">
        <f>+AB77*$AB$87</f>
        <v>33.07262262105</v>
      </c>
      <c r="AC162" s="96">
        <f>+AC77*$AC$87</f>
        <v>44.74715275128</v>
      </c>
      <c r="AD162" s="107">
        <f>+AD77*$AD$87</f>
        <v>84.99999999456</v>
      </c>
      <c r="AE162" s="71">
        <f>+AE77/$AE$87</f>
        <v>84.99999999746278</v>
      </c>
      <c r="AF162" s="125">
        <f>+AF77*$AF$87</f>
        <v>85.00000000085</v>
      </c>
      <c r="AG162" s="125">
        <f>+AG77*$AG$87</f>
        <v>81.72750001338</v>
      </c>
      <c r="AH162" s="126">
        <f>+AH77*$AH$87</f>
        <v>81.72749998716</v>
      </c>
      <c r="AI162" s="433">
        <f>+AI77*$AI$87</f>
        <v>78.45499999852001</v>
      </c>
      <c r="AJ162" s="125">
        <f>+AJ77*$AJ$87</f>
        <v>78.45499999127999</v>
      </c>
      <c r="AK162" s="125">
        <f>+AK77*$AK$87</f>
        <v>75.18250001136</v>
      </c>
      <c r="AL162" s="126">
        <f>+AL77*$AL$87</f>
        <v>71.91000000205</v>
      </c>
      <c r="AM162" s="125">
        <f>+AM77*$AM$87</f>
        <v>71.90999999216</v>
      </c>
      <c r="AN162" s="125">
        <f>+AN77*$AN$87</f>
        <v>72.7800686644</v>
      </c>
      <c r="AO162" s="125">
        <f>+AO77*$AO$87</f>
        <v>71.90999999971</v>
      </c>
      <c r="AP162" s="125">
        <f>+AP77*$AP$87</f>
        <v>71.90999999575</v>
      </c>
      <c r="AQ162" s="125">
        <f>+AQ77*$AQ$87</f>
        <v>71.91000001484</v>
      </c>
      <c r="AR162" s="125">
        <f>+AR77*$AR$87</f>
        <v>71.91000001393999</v>
      </c>
      <c r="AS162" s="125">
        <f>+AS77*$AS$87</f>
        <v>68.63749999848001</v>
      </c>
      <c r="AT162" s="125">
        <f>+AT77*$AT$87</f>
        <v>68.63750000952</v>
      </c>
      <c r="AU162" s="125">
        <f>+AU77*$AU$87</f>
        <v>68.63749999094999</v>
      </c>
      <c r="AV162" s="125">
        <f>+AV77*$AV$87</f>
        <v>68.63749999943</v>
      </c>
      <c r="AW162" s="125">
        <f>+AW77*$AW$87</f>
        <v>122.6375000112</v>
      </c>
      <c r="AX162" s="257">
        <f>+AX77*$AX$87</f>
        <v>157.36499999238998</v>
      </c>
      <c r="AY162" s="125">
        <f>+AY77*$AY$87</f>
        <v>157.36499999415</v>
      </c>
      <c r="AZ162" s="125">
        <f>+AZ77*$AZ$87</f>
        <v>157.36499966045</v>
      </c>
      <c r="BA162" s="257">
        <f>+BA77*$BA$87</f>
        <v>157.36499999999998</v>
      </c>
    </row>
    <row r="163" spans="2:53" s="29" customFormat="1" ht="6.75" customHeight="1">
      <c r="B163" s="51"/>
      <c r="C163" s="153"/>
      <c r="D163" s="97"/>
      <c r="E163" s="97"/>
      <c r="F163" s="461"/>
      <c r="G163" s="465"/>
      <c r="H163" s="464"/>
      <c r="I163" s="97"/>
      <c r="J163" s="461"/>
      <c r="K163" s="465"/>
      <c r="L163" s="464"/>
      <c r="M163" s="464"/>
      <c r="N163" s="461"/>
      <c r="O163" s="465"/>
      <c r="P163" s="464"/>
      <c r="Q163" s="464"/>
      <c r="R163" s="461"/>
      <c r="S163" s="465"/>
      <c r="T163" s="464"/>
      <c r="U163" s="97"/>
      <c r="V163" s="461"/>
      <c r="W163" s="153"/>
      <c r="X163" s="97"/>
      <c r="Y163" s="97"/>
      <c r="Z163" s="461"/>
      <c r="AA163" s="153"/>
      <c r="AB163" s="97"/>
      <c r="AC163" s="158"/>
      <c r="AD163" s="254"/>
      <c r="AE163" s="84"/>
      <c r="AF163" s="125"/>
      <c r="AG163" s="197"/>
      <c r="AH163" s="192"/>
      <c r="AI163" s="197"/>
      <c r="AJ163" s="197"/>
      <c r="AK163" s="197"/>
      <c r="AL163" s="192"/>
      <c r="AM163" s="197"/>
      <c r="AN163" s="197"/>
      <c r="AO163" s="197"/>
      <c r="AP163" s="197"/>
      <c r="AQ163" s="197"/>
      <c r="AR163" s="197"/>
      <c r="AS163" s="197"/>
      <c r="AT163" s="197"/>
      <c r="AU163" s="197"/>
      <c r="AV163" s="197"/>
      <c r="AW163" s="197"/>
      <c r="AX163" s="585"/>
      <c r="AY163" s="197"/>
      <c r="AZ163" s="197"/>
      <c r="BA163" s="585"/>
    </row>
    <row r="164" spans="2:53" s="29" customFormat="1" ht="15" customHeight="1">
      <c r="B164" s="647" t="s">
        <v>38</v>
      </c>
      <c r="C164" s="707">
        <f aca="true" t="shared" si="138" ref="C164:AW164">+C144+C99</f>
        <v>2696.0301446977405</v>
      </c>
      <c r="D164" s="707">
        <f t="shared" si="138"/>
        <v>2640.6128225580005</v>
      </c>
      <c r="E164" s="707">
        <f t="shared" si="138"/>
        <v>2576.7372049574997</v>
      </c>
      <c r="F164" s="670">
        <f t="shared" si="138"/>
        <v>2556.4878643415595</v>
      </c>
      <c r="G164" s="709">
        <f t="shared" si="138"/>
        <v>2537.33901489696</v>
      </c>
      <c r="H164" s="709">
        <f t="shared" si="138"/>
        <v>2470.4229232796797</v>
      </c>
      <c r="I164" s="644">
        <f t="shared" si="138"/>
        <v>2627.6826853783805</v>
      </c>
      <c r="J164" s="670">
        <f t="shared" si="138"/>
        <v>2505.27119878224</v>
      </c>
      <c r="K164" s="709">
        <f t="shared" si="138"/>
        <v>2408.2941304209794</v>
      </c>
      <c r="L164" s="709">
        <f t="shared" si="138"/>
        <v>2490.47190527478</v>
      </c>
      <c r="M164" s="709">
        <f t="shared" si="138"/>
        <v>2520.79911510765</v>
      </c>
      <c r="N164" s="670">
        <f t="shared" si="138"/>
        <v>2941.9882544902594</v>
      </c>
      <c r="O164" s="709">
        <f t="shared" si="138"/>
        <v>2838.5641368971305</v>
      </c>
      <c r="P164" s="709">
        <f t="shared" si="138"/>
        <v>2777.1791484948703</v>
      </c>
      <c r="Q164" s="709">
        <f t="shared" si="138"/>
        <v>2750.42742371845</v>
      </c>
      <c r="R164" s="670">
        <f t="shared" si="138"/>
        <v>2762.31298462049</v>
      </c>
      <c r="S164" s="709">
        <f t="shared" si="138"/>
        <v>2905.34821947538</v>
      </c>
      <c r="T164" s="709">
        <f t="shared" si="138"/>
        <v>3286.7306770780897</v>
      </c>
      <c r="U164" s="644">
        <f t="shared" si="138"/>
        <v>3391.934563429559</v>
      </c>
      <c r="V164" s="670">
        <f t="shared" si="138"/>
        <v>3657.4365239010613</v>
      </c>
      <c r="W164" s="707">
        <f t="shared" si="138"/>
        <v>3536.9846778981</v>
      </c>
      <c r="X164" s="707">
        <f t="shared" si="138"/>
        <v>3440.1467596099988</v>
      </c>
      <c r="Y164" s="707">
        <f t="shared" si="138"/>
        <v>3584.6639983643704</v>
      </c>
      <c r="Z164" s="711">
        <f t="shared" si="138"/>
        <v>3539.741451985051</v>
      </c>
      <c r="AA164" s="642">
        <f t="shared" si="138"/>
        <v>3371.90416253984</v>
      </c>
      <c r="AB164" s="644">
        <f t="shared" si="138"/>
        <v>5453.719258011109</v>
      </c>
      <c r="AC164" s="644">
        <f t="shared" si="138"/>
        <v>5399.57230506184</v>
      </c>
      <c r="AD164" s="670">
        <f t="shared" si="138"/>
        <v>5274.1209584689595</v>
      </c>
      <c r="AE164" s="644">
        <f t="shared" si="138"/>
        <v>5027.926314577824</v>
      </c>
      <c r="AF164" s="635">
        <f t="shared" si="138"/>
        <v>5179.846840620859</v>
      </c>
      <c r="AG164" s="635">
        <f t="shared" si="138"/>
        <v>5112.54848306954</v>
      </c>
      <c r="AH164" s="623">
        <f t="shared" si="138"/>
        <v>4928.767966525079</v>
      </c>
      <c r="AI164" s="635">
        <f t="shared" si="138"/>
        <v>4985.27793591452</v>
      </c>
      <c r="AJ164" s="635">
        <f t="shared" si="138"/>
        <v>4957.17150822968</v>
      </c>
      <c r="AK164" s="635">
        <f t="shared" si="138"/>
        <v>4820.305931059561</v>
      </c>
      <c r="AL164" s="623">
        <f t="shared" si="138"/>
        <v>4744.61885017251</v>
      </c>
      <c r="AM164" s="635">
        <f t="shared" si="138"/>
        <v>4611.74371833706</v>
      </c>
      <c r="AN164" s="635">
        <f t="shared" si="138"/>
        <v>4626.749960565649</v>
      </c>
      <c r="AO164" s="635">
        <f t="shared" si="138"/>
        <v>4615.683703049659</v>
      </c>
      <c r="AP164" s="635">
        <f t="shared" si="138"/>
        <v>4691.8677057093</v>
      </c>
      <c r="AQ164" s="635">
        <f t="shared" si="138"/>
        <v>4691.7030707737395</v>
      </c>
      <c r="AR164" s="635">
        <f t="shared" si="138"/>
        <v>4641.643316019599</v>
      </c>
      <c r="AS164" s="635">
        <f t="shared" si="138"/>
        <v>4616.359449362641</v>
      </c>
      <c r="AT164" s="635">
        <f t="shared" si="138"/>
        <v>4791.32825149797</v>
      </c>
      <c r="AU164" s="635">
        <f t="shared" si="138"/>
        <v>4696.1373681140585</v>
      </c>
      <c r="AV164" s="635">
        <f t="shared" si="138"/>
        <v>4890.330032029551</v>
      </c>
      <c r="AW164" s="635">
        <f t="shared" si="138"/>
        <v>5181.71319960016</v>
      </c>
      <c r="AX164" s="713">
        <f>+AX144+AX99</f>
        <v>5233.348188993081</v>
      </c>
      <c r="AY164" s="635">
        <f>+AY144+AY99</f>
        <v>5097.64814792025</v>
      </c>
      <c r="AZ164" s="635">
        <f>+AZ144+AZ99</f>
        <v>5258.164311527789</v>
      </c>
      <c r="BA164" s="713">
        <f>+BA144+BA99</f>
        <v>5155.534163187201</v>
      </c>
    </row>
    <row r="165" spans="2:53" s="29" customFormat="1" ht="15" customHeight="1">
      <c r="B165" s="648"/>
      <c r="C165" s="708"/>
      <c r="D165" s="708"/>
      <c r="E165" s="708"/>
      <c r="F165" s="671"/>
      <c r="G165" s="710"/>
      <c r="H165" s="710"/>
      <c r="I165" s="645"/>
      <c r="J165" s="671"/>
      <c r="K165" s="710"/>
      <c r="L165" s="710"/>
      <c r="M165" s="710"/>
      <c r="N165" s="671"/>
      <c r="O165" s="710"/>
      <c r="P165" s="710"/>
      <c r="Q165" s="710"/>
      <c r="R165" s="671"/>
      <c r="S165" s="710"/>
      <c r="T165" s="710"/>
      <c r="U165" s="645"/>
      <c r="V165" s="671"/>
      <c r="W165" s="708"/>
      <c r="X165" s="708"/>
      <c r="Y165" s="708"/>
      <c r="Z165" s="712"/>
      <c r="AA165" s="643"/>
      <c r="AB165" s="645"/>
      <c r="AC165" s="645"/>
      <c r="AD165" s="671"/>
      <c r="AE165" s="645"/>
      <c r="AF165" s="636"/>
      <c r="AG165" s="636"/>
      <c r="AH165" s="624"/>
      <c r="AI165" s="636"/>
      <c r="AJ165" s="636"/>
      <c r="AK165" s="636"/>
      <c r="AL165" s="624"/>
      <c r="AM165" s="636"/>
      <c r="AN165" s="636"/>
      <c r="AO165" s="636"/>
      <c r="AP165" s="636"/>
      <c r="AQ165" s="636"/>
      <c r="AR165" s="636"/>
      <c r="AS165" s="636"/>
      <c r="AT165" s="636"/>
      <c r="AU165" s="636"/>
      <c r="AV165" s="636"/>
      <c r="AW165" s="636"/>
      <c r="AX165" s="714"/>
      <c r="AY165" s="636"/>
      <c r="AZ165" s="636"/>
      <c r="BA165" s="714"/>
    </row>
    <row r="166" spans="2:39" s="29" customFormat="1" ht="7.5" customHeight="1">
      <c r="B166" s="57"/>
      <c r="C166" s="145"/>
      <c r="D166" s="145"/>
      <c r="E166" s="145"/>
      <c r="F166" s="57"/>
      <c r="G166" s="145"/>
      <c r="H166" s="145"/>
      <c r="I166" s="145"/>
      <c r="J166" s="57"/>
      <c r="K166" s="145"/>
      <c r="L166" s="145"/>
      <c r="M166" s="145"/>
      <c r="N166" s="57"/>
      <c r="O166" s="145"/>
      <c r="P166" s="145"/>
      <c r="Q166" s="462"/>
      <c r="R166" s="57"/>
      <c r="S166" s="462"/>
      <c r="T166" s="462"/>
      <c r="U166" s="145"/>
      <c r="V166" s="145"/>
      <c r="W166" s="145"/>
      <c r="X166" s="145"/>
      <c r="Y166" s="145"/>
      <c r="Z166" s="57"/>
      <c r="AA166" s="57"/>
      <c r="AB166" s="57"/>
      <c r="AC166" s="52"/>
      <c r="AD166" s="52"/>
      <c r="AF166" s="83"/>
      <c r="AG166" s="83"/>
      <c r="AH166" s="83"/>
      <c r="AI166" s="83"/>
      <c r="AJ166" s="83"/>
      <c r="AK166" s="83"/>
      <c r="AL166" s="83"/>
      <c r="AM166" s="83"/>
    </row>
    <row r="167" spans="2:39" s="29" customFormat="1" ht="15">
      <c r="B167" s="28" t="s">
        <v>82</v>
      </c>
      <c r="C167" s="377"/>
      <c r="D167" s="377"/>
      <c r="E167" s="377"/>
      <c r="F167" s="28"/>
      <c r="G167" s="377"/>
      <c r="H167" s="377"/>
      <c r="I167" s="377"/>
      <c r="J167" s="28"/>
      <c r="K167" s="377"/>
      <c r="L167" s="377"/>
      <c r="M167" s="377"/>
      <c r="N167" s="28"/>
      <c r="O167" s="377"/>
      <c r="P167" s="377"/>
      <c r="Q167" s="377"/>
      <c r="R167" s="28"/>
      <c r="S167" s="28"/>
      <c r="T167" s="377"/>
      <c r="U167" s="377"/>
      <c r="V167" s="28"/>
      <c r="W167" s="377"/>
      <c r="X167" s="377"/>
      <c r="Y167" s="377"/>
      <c r="Z167" s="28"/>
      <c r="AA167" s="28"/>
      <c r="AB167" s="28"/>
      <c r="AF167" s="83"/>
      <c r="AG167" s="83"/>
      <c r="AH167" s="83"/>
      <c r="AI167" s="83"/>
      <c r="AJ167" s="83"/>
      <c r="AK167" s="83"/>
      <c r="AL167" s="83"/>
      <c r="AM167" s="83"/>
    </row>
    <row r="168" spans="2:39" s="29" customFormat="1" ht="15">
      <c r="B168" s="63" t="s">
        <v>137</v>
      </c>
      <c r="C168" s="382"/>
      <c r="D168" s="382"/>
      <c r="E168" s="382"/>
      <c r="F168" s="42"/>
      <c r="G168" s="382"/>
      <c r="H168" s="382"/>
      <c r="I168" s="382"/>
      <c r="J168" s="42"/>
      <c r="K168" s="382"/>
      <c r="L168" s="382"/>
      <c r="M168" s="382"/>
      <c r="N168" s="42"/>
      <c r="O168" s="382"/>
      <c r="P168" s="382"/>
      <c r="Q168" s="382"/>
      <c r="R168" s="42"/>
      <c r="S168" s="382"/>
      <c r="T168" s="382"/>
      <c r="U168" s="382"/>
      <c r="V168" s="42"/>
      <c r="W168" s="382"/>
      <c r="X168" s="382"/>
      <c r="Y168" s="382"/>
      <c r="Z168" s="42"/>
      <c r="AA168" s="42"/>
      <c r="AB168" s="42"/>
      <c r="AE168" s="83"/>
      <c r="AF168" s="83"/>
      <c r="AG168" s="83"/>
      <c r="AH168" s="83"/>
      <c r="AI168" s="83"/>
      <c r="AJ168" s="83"/>
      <c r="AK168" s="83"/>
      <c r="AL168" s="83"/>
      <c r="AM168" s="83"/>
    </row>
    <row r="169" spans="2:39" s="29" customFormat="1" ht="15">
      <c r="B169" s="63" t="s">
        <v>138</v>
      </c>
      <c r="C169" s="382"/>
      <c r="D169" s="382"/>
      <c r="E169" s="382"/>
      <c r="F169" s="42"/>
      <c r="G169" s="382"/>
      <c r="H169" s="382"/>
      <c r="I169" s="382"/>
      <c r="J169" s="42"/>
      <c r="K169" s="382"/>
      <c r="L169" s="382"/>
      <c r="M169" s="382"/>
      <c r="N169" s="42"/>
      <c r="O169" s="382"/>
      <c r="P169" s="382"/>
      <c r="Q169" s="382"/>
      <c r="R169" s="42"/>
      <c r="S169" s="382"/>
      <c r="T169" s="382"/>
      <c r="U169" s="382"/>
      <c r="V169" s="42"/>
      <c r="W169" s="382"/>
      <c r="X169" s="382"/>
      <c r="Y169" s="382"/>
      <c r="Z169" s="42"/>
      <c r="AA169" s="42"/>
      <c r="AB169" s="42"/>
      <c r="AE169" s="83"/>
      <c r="AF169" s="83"/>
      <c r="AG169" s="83"/>
      <c r="AH169" s="83"/>
      <c r="AI169" s="83"/>
      <c r="AJ169" s="83"/>
      <c r="AK169" s="83"/>
      <c r="AL169" s="83"/>
      <c r="AM169" s="83"/>
    </row>
    <row r="170" spans="2:39" s="133" customFormat="1" ht="15">
      <c r="B170" s="63" t="s">
        <v>139</v>
      </c>
      <c r="C170" s="499"/>
      <c r="D170" s="499"/>
      <c r="E170" s="499"/>
      <c r="F170" s="498"/>
      <c r="G170" s="499"/>
      <c r="H170" s="499"/>
      <c r="I170" s="499"/>
      <c r="J170" s="498"/>
      <c r="K170" s="499"/>
      <c r="L170" s="499"/>
      <c r="M170" s="499"/>
      <c r="N170" s="498"/>
      <c r="O170" s="499"/>
      <c r="P170" s="499"/>
      <c r="Q170" s="499"/>
      <c r="R170" s="498"/>
      <c r="S170" s="499"/>
      <c r="T170" s="499"/>
      <c r="U170" s="499"/>
      <c r="V170" s="498"/>
      <c r="W170" s="499"/>
      <c r="X170" s="499"/>
      <c r="Y170" s="499"/>
      <c r="Z170" s="498"/>
      <c r="AA170" s="498"/>
      <c r="AB170" s="498"/>
      <c r="AE170" s="500"/>
      <c r="AF170" s="500"/>
      <c r="AG170" s="500"/>
      <c r="AH170" s="500"/>
      <c r="AI170" s="500"/>
      <c r="AJ170" s="500"/>
      <c r="AK170" s="500"/>
      <c r="AL170" s="500"/>
      <c r="AM170" s="500"/>
    </row>
    <row r="171" spans="2:39" s="133" customFormat="1" ht="8.25" customHeight="1">
      <c r="B171" s="498"/>
      <c r="C171" s="499"/>
      <c r="D171" s="499"/>
      <c r="E171" s="499"/>
      <c r="F171" s="498"/>
      <c r="G171" s="499"/>
      <c r="H171" s="499"/>
      <c r="I171" s="499"/>
      <c r="J171" s="498"/>
      <c r="K171" s="499"/>
      <c r="L171" s="499"/>
      <c r="M171" s="499"/>
      <c r="N171" s="498"/>
      <c r="O171" s="499"/>
      <c r="P171" s="499"/>
      <c r="Q171" s="499"/>
      <c r="R171" s="498"/>
      <c r="S171" s="499"/>
      <c r="T171" s="499"/>
      <c r="U171" s="499"/>
      <c r="V171" s="498"/>
      <c r="W171" s="499"/>
      <c r="X171" s="499"/>
      <c r="Y171" s="499"/>
      <c r="Z171" s="498"/>
      <c r="AA171" s="498"/>
      <c r="AB171" s="498"/>
      <c r="AE171" s="500"/>
      <c r="AF171" s="500"/>
      <c r="AG171" s="500"/>
      <c r="AH171" s="500"/>
      <c r="AI171" s="500"/>
      <c r="AJ171" s="500"/>
      <c r="AK171" s="500"/>
      <c r="AL171" s="500"/>
      <c r="AM171" s="500"/>
    </row>
    <row r="172" spans="2:28" ht="15">
      <c r="B172" s="88" t="s">
        <v>71</v>
      </c>
      <c r="C172" s="383"/>
      <c r="D172" s="383"/>
      <c r="E172" s="383"/>
      <c r="F172" s="88"/>
      <c r="G172" s="383"/>
      <c r="H172" s="383"/>
      <c r="I172" s="383"/>
      <c r="J172" s="88"/>
      <c r="K172" s="383"/>
      <c r="L172" s="383"/>
      <c r="M172" s="383"/>
      <c r="N172" s="88"/>
      <c r="O172" s="383"/>
      <c r="P172" s="383"/>
      <c r="Q172" s="383"/>
      <c r="R172" s="88"/>
      <c r="S172" s="383"/>
      <c r="T172" s="383"/>
      <c r="U172" s="383"/>
      <c r="V172" s="88"/>
      <c r="W172" s="383"/>
      <c r="X172" s="383"/>
      <c r="Y172" s="383"/>
      <c r="Z172" s="88"/>
      <c r="AA172" s="88"/>
      <c r="AB172" s="88"/>
    </row>
    <row r="173" spans="2:39" ht="15">
      <c r="B173" s="88" t="s">
        <v>72</v>
      </c>
      <c r="C173" s="384"/>
      <c r="D173" s="384"/>
      <c r="E173" s="384"/>
      <c r="F173" s="182"/>
      <c r="G173" s="384"/>
      <c r="H173" s="384"/>
      <c r="I173" s="384"/>
      <c r="J173" s="182"/>
      <c r="K173" s="384"/>
      <c r="L173" s="384"/>
      <c r="M173" s="384"/>
      <c r="N173" s="182"/>
      <c r="O173" s="384"/>
      <c r="P173" s="384"/>
      <c r="Q173" s="384"/>
      <c r="R173" s="182"/>
      <c r="S173" s="384"/>
      <c r="T173" s="384"/>
      <c r="U173" s="384"/>
      <c r="V173" s="182"/>
      <c r="W173" s="384"/>
      <c r="X173" s="384"/>
      <c r="Y173" s="384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233"/>
      <c r="AJ173" s="233"/>
      <c r="AK173" s="233"/>
      <c r="AL173" s="233"/>
      <c r="AM173" s="233"/>
    </row>
    <row r="174" spans="3:39" ht="14.25">
      <c r="C174" s="385"/>
      <c r="D174" s="385"/>
      <c r="E174" s="385"/>
      <c r="F174" s="183"/>
      <c r="G174" s="385"/>
      <c r="H174" s="385"/>
      <c r="I174" s="385"/>
      <c r="J174" s="183"/>
      <c r="K174" s="385"/>
      <c r="L174" s="385"/>
      <c r="M174" s="385"/>
      <c r="N174" s="183"/>
      <c r="O174" s="385"/>
      <c r="P174" s="385"/>
      <c r="Q174" s="385"/>
      <c r="R174" s="183"/>
      <c r="S174" s="385"/>
      <c r="T174" s="385"/>
      <c r="U174" s="385"/>
      <c r="V174" s="183"/>
      <c r="W174" s="385"/>
      <c r="X174" s="385"/>
      <c r="Y174" s="385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3"/>
      <c r="AL174" s="183"/>
      <c r="AM174" s="183"/>
    </row>
    <row r="175" spans="3:32" ht="15">
      <c r="C175" s="386"/>
      <c r="D175" s="386"/>
      <c r="E175" s="386"/>
      <c r="F175" s="212"/>
      <c r="G175" s="386"/>
      <c r="H175" s="386"/>
      <c r="I175" s="386"/>
      <c r="J175" s="212"/>
      <c r="K175" s="386"/>
      <c r="L175" s="386"/>
      <c r="M175" s="386"/>
      <c r="N175" s="212"/>
      <c r="O175" s="386"/>
      <c r="P175" s="386"/>
      <c r="Q175" s="386"/>
      <c r="R175" s="212"/>
      <c r="S175" s="386"/>
      <c r="T175" s="386"/>
      <c r="U175" s="386"/>
      <c r="V175" s="212"/>
      <c r="W175" s="386"/>
      <c r="X175" s="386"/>
      <c r="Y175" s="386"/>
      <c r="Z175" s="212"/>
      <c r="AA175" s="212"/>
      <c r="AB175" s="212"/>
      <c r="AC175" s="212"/>
      <c r="AD175" s="212"/>
      <c r="AE175" s="212"/>
      <c r="AF175" s="212"/>
    </row>
    <row r="176" spans="3:39" ht="14.25">
      <c r="C176" s="387"/>
      <c r="D176" s="387"/>
      <c r="E176" s="387"/>
      <c r="F176" s="160"/>
      <c r="G176" s="387"/>
      <c r="H176" s="387"/>
      <c r="I176" s="387"/>
      <c r="J176" s="160"/>
      <c r="K176" s="387"/>
      <c r="L176" s="387"/>
      <c r="M176" s="387"/>
      <c r="N176" s="160"/>
      <c r="O176" s="387"/>
      <c r="P176" s="387"/>
      <c r="Q176" s="387"/>
      <c r="R176" s="160"/>
      <c r="S176" s="387"/>
      <c r="T176" s="387"/>
      <c r="U176" s="387"/>
      <c r="V176" s="160"/>
      <c r="W176" s="387"/>
      <c r="X176" s="387"/>
      <c r="Y176" s="387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</row>
    <row r="180" spans="2:28" ht="15">
      <c r="B180"/>
      <c r="C180" s="388"/>
      <c r="D180" s="388"/>
      <c r="E180" s="388"/>
      <c r="F180"/>
      <c r="G180" s="388"/>
      <c r="H180" s="388"/>
      <c r="I180" s="388"/>
      <c r="J180"/>
      <c r="K180" s="388"/>
      <c r="L180" s="388"/>
      <c r="M180" s="388"/>
      <c r="N180"/>
      <c r="O180" s="388"/>
      <c r="P180" s="388"/>
      <c r="Q180" s="388"/>
      <c r="R180"/>
      <c r="S180" s="388"/>
      <c r="T180" s="388"/>
      <c r="U180" s="388"/>
      <c r="V180"/>
      <c r="W180" s="388"/>
      <c r="X180" s="388"/>
      <c r="Y180" s="388"/>
      <c r="Z180"/>
      <c r="AA180"/>
      <c r="AB180"/>
    </row>
  </sheetData>
  <sheetProtection/>
  <mergeCells count="230">
    <mergeCell ref="BA11:BA12"/>
    <mergeCell ref="BA79:BA80"/>
    <mergeCell ref="BA96:BA97"/>
    <mergeCell ref="BA164:BA165"/>
    <mergeCell ref="AY10:BA10"/>
    <mergeCell ref="AY95:BA95"/>
    <mergeCell ref="AZ11:AZ12"/>
    <mergeCell ref="AZ79:AZ80"/>
    <mergeCell ref="AZ96:AZ97"/>
    <mergeCell ref="AZ164:AZ165"/>
    <mergeCell ref="AM10:AX10"/>
    <mergeCell ref="AM95:AX95"/>
    <mergeCell ref="AU11:AU12"/>
    <mergeCell ref="AU79:AU80"/>
    <mergeCell ref="AU96:AU97"/>
    <mergeCell ref="AU164:AU165"/>
    <mergeCell ref="AQ11:AQ12"/>
    <mergeCell ref="AR11:AR12"/>
    <mergeCell ref="AS11:AS12"/>
    <mergeCell ref="AR79:AR80"/>
    <mergeCell ref="AR96:AR97"/>
    <mergeCell ref="AS96:AS97"/>
    <mergeCell ref="B10:B12"/>
    <mergeCell ref="C10:F10"/>
    <mergeCell ref="G10:J10"/>
    <mergeCell ref="K10:N10"/>
    <mergeCell ref="O10:R10"/>
    <mergeCell ref="S10:V10"/>
    <mergeCell ref="W10:Z10"/>
    <mergeCell ref="AA10:AD10"/>
    <mergeCell ref="O11:O12"/>
    <mergeCell ref="P11:P12"/>
    <mergeCell ref="Q11:Q12"/>
    <mergeCell ref="R11:R12"/>
    <mergeCell ref="AE10:AH10"/>
    <mergeCell ref="AI10:AL10"/>
    <mergeCell ref="AA11:AA12"/>
    <mergeCell ref="AB11:AB12"/>
    <mergeCell ref="AC11:AC12"/>
    <mergeCell ref="AD11:AD12"/>
    <mergeCell ref="C11:C12"/>
    <mergeCell ref="D11:D12"/>
    <mergeCell ref="E11:E12"/>
    <mergeCell ref="F11:F12"/>
    <mergeCell ref="G11:G12"/>
    <mergeCell ref="L11:L12"/>
    <mergeCell ref="H11:H12"/>
    <mergeCell ref="I11:I12"/>
    <mergeCell ref="J11:J12"/>
    <mergeCell ref="K11:K12"/>
    <mergeCell ref="M11:M12"/>
    <mergeCell ref="N11:N12"/>
    <mergeCell ref="W11:W12"/>
    <mergeCell ref="X11:X12"/>
    <mergeCell ref="Y11:Y12"/>
    <mergeCell ref="Z11:Z12"/>
    <mergeCell ref="S11:S12"/>
    <mergeCell ref="T11:T12"/>
    <mergeCell ref="U11:U12"/>
    <mergeCell ref="V11:V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T79:T80"/>
    <mergeCell ref="U79:U80"/>
    <mergeCell ref="V79:V80"/>
    <mergeCell ref="W79:W80"/>
    <mergeCell ref="X79:X80"/>
    <mergeCell ref="Y79:Y80"/>
    <mergeCell ref="Z79:Z80"/>
    <mergeCell ref="AA79:AA80"/>
    <mergeCell ref="AB79:AB80"/>
    <mergeCell ref="AC79:AC80"/>
    <mergeCell ref="AD79:AD80"/>
    <mergeCell ref="AE79:AE80"/>
    <mergeCell ref="AF79:AF80"/>
    <mergeCell ref="AG79:AG80"/>
    <mergeCell ref="AH79:AH80"/>
    <mergeCell ref="AI79:AI80"/>
    <mergeCell ref="AJ79:AJ80"/>
    <mergeCell ref="AK79:AK80"/>
    <mergeCell ref="AL79:AL80"/>
    <mergeCell ref="AM79:AM80"/>
    <mergeCell ref="AN79:AN80"/>
    <mergeCell ref="AO79:AO80"/>
    <mergeCell ref="AP79:AP80"/>
    <mergeCell ref="AQ79:AQ80"/>
    <mergeCell ref="AS79:AS80"/>
    <mergeCell ref="B95:B97"/>
    <mergeCell ref="C95:F95"/>
    <mergeCell ref="G95:J95"/>
    <mergeCell ref="K95:N95"/>
    <mergeCell ref="O95:R95"/>
    <mergeCell ref="S95:V95"/>
    <mergeCell ref="W95:Z95"/>
    <mergeCell ref="AA95:AD95"/>
    <mergeCell ref="AE95:AH95"/>
    <mergeCell ref="AI95:AL95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O96:O97"/>
    <mergeCell ref="P96:P97"/>
    <mergeCell ref="Q96:Q97"/>
    <mergeCell ref="R96:R97"/>
    <mergeCell ref="S96:S97"/>
    <mergeCell ref="AL96:AL97"/>
    <mergeCell ref="AM96:AM97"/>
    <mergeCell ref="T96:T97"/>
    <mergeCell ref="U96:U97"/>
    <mergeCell ref="V96:V97"/>
    <mergeCell ref="W96:W97"/>
    <mergeCell ref="X96:X97"/>
    <mergeCell ref="Y96:Y97"/>
    <mergeCell ref="AJ96:AJ97"/>
    <mergeCell ref="AK96:AK97"/>
    <mergeCell ref="Z96:Z97"/>
    <mergeCell ref="AA96:AA97"/>
    <mergeCell ref="AB96:AB97"/>
    <mergeCell ref="AC96:AC97"/>
    <mergeCell ref="AD96:AD97"/>
    <mergeCell ref="AE96:AE97"/>
    <mergeCell ref="AF96:AF97"/>
    <mergeCell ref="AG96:AG97"/>
    <mergeCell ref="AH96:AH97"/>
    <mergeCell ref="AI96:AI97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T164:T165"/>
    <mergeCell ref="U164:U165"/>
    <mergeCell ref="V164:V165"/>
    <mergeCell ref="W164:W165"/>
    <mergeCell ref="X164:X165"/>
    <mergeCell ref="Y164:Y165"/>
    <mergeCell ref="Z164:Z165"/>
    <mergeCell ref="AA164:AA165"/>
    <mergeCell ref="AB164:AB165"/>
    <mergeCell ref="AC164:AC165"/>
    <mergeCell ref="AD164:AD165"/>
    <mergeCell ref="AE164:AE165"/>
    <mergeCell ref="AF164:AF165"/>
    <mergeCell ref="AG164:AG165"/>
    <mergeCell ref="AH164:AH165"/>
    <mergeCell ref="AI164:AI165"/>
    <mergeCell ref="AJ164:AJ165"/>
    <mergeCell ref="AK164:AK165"/>
    <mergeCell ref="AP96:AP97"/>
    <mergeCell ref="AQ96:AQ97"/>
    <mergeCell ref="AL164:AL165"/>
    <mergeCell ref="AM164:AM165"/>
    <mergeCell ref="AN164:AN165"/>
    <mergeCell ref="AO164:AO165"/>
    <mergeCell ref="AP164:AP165"/>
    <mergeCell ref="AQ164:AQ165"/>
    <mergeCell ref="AN96:AN97"/>
    <mergeCell ref="AO96:AO97"/>
    <mergeCell ref="AV11:AV12"/>
    <mergeCell ref="AV79:AV80"/>
    <mergeCell ref="AV96:AV97"/>
    <mergeCell ref="AV164:AV165"/>
    <mergeCell ref="AR164:AR165"/>
    <mergeCell ref="AS164:AS165"/>
    <mergeCell ref="AY11:AY12"/>
    <mergeCell ref="AY79:AY80"/>
    <mergeCell ref="AY96:AY97"/>
    <mergeCell ref="AY164:AY165"/>
    <mergeCell ref="AW11:AW12"/>
    <mergeCell ref="AW79:AW80"/>
    <mergeCell ref="AX96:AX97"/>
    <mergeCell ref="AX164:AX165"/>
    <mergeCell ref="AW96:AW97"/>
    <mergeCell ref="AW164:AW165"/>
    <mergeCell ref="AX11:AX12"/>
    <mergeCell ref="AX79:AX80"/>
    <mergeCell ref="AT11:AT12"/>
    <mergeCell ref="AT79:AT80"/>
    <mergeCell ref="AT96:AT97"/>
    <mergeCell ref="AT164:AT165"/>
  </mergeCells>
  <hyperlinks>
    <hyperlink ref="BA4" location="dólares" display="En nuevos soles"/>
  </hyperlinks>
  <printOptions/>
  <pageMargins left="0.1968503937007874" right="0.1968503937007874" top="0.5511811023622047" bottom="0.35433070866141736" header="0.31496062992125984" footer="0.31496062992125984"/>
  <pageSetup fitToHeight="1" fitToWidth="1" horizontalDpi="600" verticalDpi="600" orientation="landscape" paperSize="9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6"/>
  <sheetViews>
    <sheetView showGridLines="0" zoomScale="75" zoomScaleNormal="75" zoomScalePageLayoutView="0" workbookViewId="0" topLeftCell="A1">
      <selection activeCell="E29" sqref="E29"/>
    </sheetView>
  </sheetViews>
  <sheetFormatPr defaultColWidth="11.421875" defaultRowHeight="15"/>
  <cols>
    <col min="1" max="1" width="11.421875" style="509" customWidth="1"/>
    <col min="2" max="2" width="12.7109375" style="509" customWidth="1"/>
    <col min="3" max="3" width="62.57421875" style="509" customWidth="1"/>
    <col min="4" max="15" width="20.7109375" style="514" customWidth="1"/>
    <col min="16" max="20" width="11.421875" style="514" customWidth="1"/>
    <col min="21" max="16384" width="11.421875" style="509" customWidth="1"/>
  </cols>
  <sheetData>
    <row r="2" ht="18">
      <c r="B2" s="44" t="s">
        <v>84</v>
      </c>
    </row>
    <row r="3" ht="15.75">
      <c r="B3" s="505" t="s">
        <v>123</v>
      </c>
    </row>
    <row r="4" spans="2:20" ht="15.75">
      <c r="B4" s="506" t="s">
        <v>119</v>
      </c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</row>
    <row r="5" spans="4:20" ht="8.25" customHeight="1">
      <c r="D5" s="509"/>
      <c r="E5" s="513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</row>
    <row r="6" spans="2:20" ht="15.75">
      <c r="B6" s="726" t="s">
        <v>122</v>
      </c>
      <c r="C6" s="723" t="s">
        <v>121</v>
      </c>
      <c r="D6" s="735">
        <v>2012</v>
      </c>
      <c r="E6" s="736"/>
      <c r="F6" s="736"/>
      <c r="G6" s="735">
        <v>2013</v>
      </c>
      <c r="H6" s="736"/>
      <c r="I6" s="736"/>
      <c r="J6" s="737"/>
      <c r="K6" s="736">
        <v>2014</v>
      </c>
      <c r="L6" s="736"/>
      <c r="M6" s="736"/>
      <c r="N6" s="737"/>
      <c r="O6" s="515">
        <v>2015</v>
      </c>
      <c r="P6" s="509"/>
      <c r="Q6" s="509"/>
      <c r="R6" s="509"/>
      <c r="S6" s="509"/>
      <c r="T6" s="509"/>
    </row>
    <row r="7" spans="2:20" ht="12" customHeight="1">
      <c r="B7" s="727"/>
      <c r="C7" s="724"/>
      <c r="D7" s="738" t="s">
        <v>74</v>
      </c>
      <c r="E7" s="637" t="s">
        <v>77</v>
      </c>
      <c r="F7" s="637" t="s">
        <v>80</v>
      </c>
      <c r="G7" s="738" t="s">
        <v>35</v>
      </c>
      <c r="H7" s="637" t="s">
        <v>74</v>
      </c>
      <c r="I7" s="637" t="s">
        <v>77</v>
      </c>
      <c r="J7" s="690" t="s">
        <v>80</v>
      </c>
      <c r="K7" s="733" t="s">
        <v>35</v>
      </c>
      <c r="L7" s="631" t="s">
        <v>74</v>
      </c>
      <c r="M7" s="631" t="s">
        <v>77</v>
      </c>
      <c r="N7" s="638" t="s">
        <v>80</v>
      </c>
      <c r="O7" s="690" t="s">
        <v>33</v>
      </c>
      <c r="P7" s="509"/>
      <c r="Q7" s="509"/>
      <c r="R7" s="509"/>
      <c r="S7" s="509"/>
      <c r="T7" s="509"/>
    </row>
    <row r="8" spans="2:20" ht="12" customHeight="1">
      <c r="B8" s="728"/>
      <c r="C8" s="725"/>
      <c r="D8" s="734"/>
      <c r="E8" s="632"/>
      <c r="F8" s="632"/>
      <c r="G8" s="734"/>
      <c r="H8" s="632"/>
      <c r="I8" s="632"/>
      <c r="J8" s="660"/>
      <c r="K8" s="734"/>
      <c r="L8" s="632"/>
      <c r="M8" s="632"/>
      <c r="N8" s="660"/>
      <c r="O8" s="660"/>
      <c r="P8" s="509"/>
      <c r="Q8" s="509"/>
      <c r="R8" s="509"/>
      <c r="S8" s="509"/>
      <c r="T8" s="509"/>
    </row>
    <row r="9" spans="2:20" ht="8.25" customHeight="1">
      <c r="B9" s="538"/>
      <c r="C9" s="536"/>
      <c r="D9" s="525"/>
      <c r="E9" s="131"/>
      <c r="F9" s="131"/>
      <c r="G9" s="525"/>
      <c r="H9" s="131"/>
      <c r="I9" s="131"/>
      <c r="J9" s="510"/>
      <c r="K9" s="525"/>
      <c r="L9" s="131"/>
      <c r="M9" s="131"/>
      <c r="N9" s="510"/>
      <c r="O9" s="526"/>
      <c r="P9" s="509"/>
      <c r="Q9" s="509"/>
      <c r="R9" s="509"/>
      <c r="S9" s="509"/>
      <c r="T9" s="509"/>
    </row>
    <row r="10" spans="2:15" ht="15">
      <c r="B10" s="539" t="s">
        <v>107</v>
      </c>
      <c r="C10" s="526" t="s">
        <v>106</v>
      </c>
      <c r="D10" s="543">
        <v>408487076.76</v>
      </c>
      <c r="E10" s="527">
        <v>392776035.32</v>
      </c>
      <c r="F10" s="527">
        <v>377064993.88</v>
      </c>
      <c r="G10" s="529">
        <v>361353952.44</v>
      </c>
      <c r="H10" s="527">
        <v>349952004.55</v>
      </c>
      <c r="I10" s="527">
        <v>334096123.02</v>
      </c>
      <c r="J10" s="528">
        <v>323609179.26</v>
      </c>
      <c r="K10" s="529">
        <v>314382795.33</v>
      </c>
      <c r="L10" s="527">
        <v>307932098.72</v>
      </c>
      <c r="M10" s="527">
        <v>300723601.88</v>
      </c>
      <c r="N10" s="528">
        <v>291610765.47</v>
      </c>
      <c r="O10" s="528">
        <v>291610765.47</v>
      </c>
    </row>
    <row r="11" spans="2:15" ht="15">
      <c r="B11" s="539" t="s">
        <v>108</v>
      </c>
      <c r="C11" s="526" t="s">
        <v>106</v>
      </c>
      <c r="D11" s="543">
        <v>541247779.34</v>
      </c>
      <c r="E11" s="527">
        <v>545017662.32</v>
      </c>
      <c r="F11" s="527">
        <v>548902462.55</v>
      </c>
      <c r="G11" s="529">
        <v>535013867.51</v>
      </c>
      <c r="H11" s="527">
        <v>516767966.99</v>
      </c>
      <c r="I11" s="527">
        <v>513186227.08</v>
      </c>
      <c r="J11" s="528">
        <v>504446034.39</v>
      </c>
      <c r="K11" s="529">
        <v>498006889.07</v>
      </c>
      <c r="L11" s="527">
        <v>490502837.6</v>
      </c>
      <c r="M11" s="527">
        <v>488293060.94</v>
      </c>
      <c r="N11" s="528">
        <v>478965000.74</v>
      </c>
      <c r="O11" s="528">
        <v>479424327.12</v>
      </c>
    </row>
    <row r="12" spans="2:15" ht="15">
      <c r="B12" s="539" t="s">
        <v>109</v>
      </c>
      <c r="C12" s="526" t="s">
        <v>106</v>
      </c>
      <c r="D12" s="543">
        <v>158090252.08</v>
      </c>
      <c r="E12" s="527">
        <v>162125447.08</v>
      </c>
      <c r="F12" s="527">
        <v>184037197.49</v>
      </c>
      <c r="G12" s="529">
        <v>176510805.86</v>
      </c>
      <c r="H12" s="527">
        <v>170654916.74</v>
      </c>
      <c r="I12" s="527">
        <v>163071798.97</v>
      </c>
      <c r="J12" s="528">
        <v>155329074.09</v>
      </c>
      <c r="K12" s="529">
        <v>153270052.52</v>
      </c>
      <c r="L12" s="527">
        <v>149549810.82</v>
      </c>
      <c r="M12" s="527">
        <v>148248650.54</v>
      </c>
      <c r="N12" s="528">
        <v>146995993.14</v>
      </c>
      <c r="O12" s="528">
        <v>251178437.49</v>
      </c>
    </row>
    <row r="13" spans="2:15" ht="15">
      <c r="B13" s="539" t="s">
        <v>110</v>
      </c>
      <c r="C13" s="526" t="s">
        <v>114</v>
      </c>
      <c r="D13" s="543">
        <v>154902510.29</v>
      </c>
      <c r="E13" s="527">
        <v>154902510.29</v>
      </c>
      <c r="F13" s="527">
        <v>139412259.26</v>
      </c>
      <c r="G13" s="529">
        <v>139412259.26</v>
      </c>
      <c r="H13" s="527">
        <v>123922008.23</v>
      </c>
      <c r="I13" s="527">
        <v>123922008.23</v>
      </c>
      <c r="J13" s="528">
        <v>108431757.2</v>
      </c>
      <c r="K13" s="529">
        <v>108431757.2</v>
      </c>
      <c r="L13" s="527">
        <v>92941506.17</v>
      </c>
      <c r="M13" s="527">
        <v>92941506.17</v>
      </c>
      <c r="N13" s="528">
        <v>77451255.14</v>
      </c>
      <c r="O13" s="528">
        <v>77451255.14</v>
      </c>
    </row>
    <row r="14" spans="2:15" ht="15">
      <c r="B14" s="539" t="s">
        <v>111</v>
      </c>
      <c r="C14" s="526" t="s">
        <v>106</v>
      </c>
      <c r="D14" s="543">
        <v>61918030.05</v>
      </c>
      <c r="E14" s="527">
        <v>59225941.78</v>
      </c>
      <c r="F14" s="527">
        <v>53841765.24</v>
      </c>
      <c r="G14" s="529">
        <v>53841765.24</v>
      </c>
      <c r="H14" s="527">
        <v>48457588.7</v>
      </c>
      <c r="I14" s="527">
        <v>45765500.43</v>
      </c>
      <c r="J14" s="528">
        <v>40381323.89</v>
      </c>
      <c r="K14" s="529">
        <v>40381323.89</v>
      </c>
      <c r="L14" s="527">
        <v>34997147.35</v>
      </c>
      <c r="M14" s="527">
        <v>32305059.08</v>
      </c>
      <c r="N14" s="528">
        <v>26920882.54</v>
      </c>
      <c r="O14" s="528">
        <v>26920882.54</v>
      </c>
    </row>
    <row r="15" spans="2:15" ht="15">
      <c r="B15" s="539" t="s">
        <v>113</v>
      </c>
      <c r="C15" s="526" t="s">
        <v>114</v>
      </c>
      <c r="D15" s="529">
        <v>31354008.97</v>
      </c>
      <c r="E15" s="527">
        <v>42562893.36</v>
      </c>
      <c r="F15" s="527">
        <v>69296562.24</v>
      </c>
      <c r="G15" s="529">
        <v>74288217.55</v>
      </c>
      <c r="H15" s="527">
        <v>90506562.24</v>
      </c>
      <c r="I15" s="527">
        <v>125964936.71</v>
      </c>
      <c r="J15" s="528">
        <v>143429281.44</v>
      </c>
      <c r="K15" s="529">
        <v>149655610.67</v>
      </c>
      <c r="L15" s="527">
        <v>149655610.67</v>
      </c>
      <c r="M15" s="527">
        <v>124713008.89</v>
      </c>
      <c r="N15" s="528">
        <v>124713008.89</v>
      </c>
      <c r="O15" s="528">
        <v>99770407.11</v>
      </c>
    </row>
    <row r="16" spans="2:15" ht="15">
      <c r="B16" s="539" t="s">
        <v>115</v>
      </c>
      <c r="C16" s="526" t="s">
        <v>106</v>
      </c>
      <c r="D16" s="530">
        <v>0</v>
      </c>
      <c r="E16" s="527">
        <v>7949000</v>
      </c>
      <c r="F16" s="527">
        <v>21428777</v>
      </c>
      <c r="G16" s="529">
        <v>21428777</v>
      </c>
      <c r="H16" s="527">
        <v>24527579</v>
      </c>
      <c r="I16" s="527">
        <v>24527579</v>
      </c>
      <c r="J16" s="528">
        <v>23380531.57</v>
      </c>
      <c r="K16" s="529">
        <v>22358549.11</v>
      </c>
      <c r="L16" s="527">
        <v>23203557.88</v>
      </c>
      <c r="M16" s="527">
        <v>22118505.66</v>
      </c>
      <c r="N16" s="528">
        <v>21575979.55</v>
      </c>
      <c r="O16" s="528">
        <v>21033453.44</v>
      </c>
    </row>
    <row r="17" spans="2:15" ht="15">
      <c r="B17" s="539" t="s">
        <v>117</v>
      </c>
      <c r="C17" s="526" t="s">
        <v>116</v>
      </c>
      <c r="D17" s="530">
        <v>0</v>
      </c>
      <c r="E17" s="546">
        <v>0</v>
      </c>
      <c r="F17" s="546">
        <v>0</v>
      </c>
      <c r="G17" s="545">
        <v>0</v>
      </c>
      <c r="H17" s="527">
        <v>3400000</v>
      </c>
      <c r="I17" s="527">
        <v>3400000</v>
      </c>
      <c r="J17" s="528">
        <v>6581641</v>
      </c>
      <c r="K17" s="529">
        <v>7057041</v>
      </c>
      <c r="L17" s="527">
        <v>9282007</v>
      </c>
      <c r="M17" s="527">
        <v>8701881.55</v>
      </c>
      <c r="N17" s="528">
        <v>8121756.1</v>
      </c>
      <c r="O17" s="528">
        <v>7928380.95</v>
      </c>
    </row>
    <row r="18" spans="2:15" ht="15">
      <c r="B18" s="539" t="s">
        <v>112</v>
      </c>
      <c r="C18" s="526" t="s">
        <v>106</v>
      </c>
      <c r="D18" s="529">
        <v>216849000</v>
      </c>
      <c r="E18" s="527">
        <v>216849000</v>
      </c>
      <c r="F18" s="527">
        <v>216849000</v>
      </c>
      <c r="G18" s="529">
        <v>216849000</v>
      </c>
      <c r="H18" s="527">
        <v>216849000</v>
      </c>
      <c r="I18" s="527">
        <v>216849000</v>
      </c>
      <c r="J18" s="528">
        <v>216849000</v>
      </c>
      <c r="K18" s="529">
        <v>216849000</v>
      </c>
      <c r="L18" s="527">
        <v>216849000</v>
      </c>
      <c r="M18" s="527">
        <v>216849000</v>
      </c>
      <c r="N18" s="528">
        <v>216849000</v>
      </c>
      <c r="O18" s="528">
        <v>216849000</v>
      </c>
    </row>
    <row r="19" spans="2:15" ht="9.75" customHeight="1">
      <c r="B19" s="540"/>
      <c r="C19" s="537"/>
      <c r="D19" s="532"/>
      <c r="E19" s="533"/>
      <c r="F19" s="533"/>
      <c r="G19" s="532"/>
      <c r="H19" s="533"/>
      <c r="I19" s="533"/>
      <c r="J19" s="534"/>
      <c r="K19" s="532"/>
      <c r="L19" s="533"/>
      <c r="M19" s="533"/>
      <c r="N19" s="534"/>
      <c r="O19" s="534"/>
    </row>
    <row r="20" spans="2:15" ht="15">
      <c r="B20" s="729" t="s">
        <v>120</v>
      </c>
      <c r="C20" s="730"/>
      <c r="D20" s="721">
        <f aca="true" t="shared" si="0" ref="D20:O20">SUM(D10:D18)</f>
        <v>1572848657.49</v>
      </c>
      <c r="E20" s="719">
        <f t="shared" si="0"/>
        <v>1581408490.1499999</v>
      </c>
      <c r="F20" s="717">
        <f t="shared" si="0"/>
        <v>1610833017.66</v>
      </c>
      <c r="G20" s="721">
        <f t="shared" si="0"/>
        <v>1578698644.8600001</v>
      </c>
      <c r="H20" s="719">
        <f t="shared" si="0"/>
        <v>1545037626.45</v>
      </c>
      <c r="I20" s="719">
        <f t="shared" si="0"/>
        <v>1550783173.44</v>
      </c>
      <c r="J20" s="717">
        <f t="shared" si="0"/>
        <v>1522437822.8400002</v>
      </c>
      <c r="K20" s="721">
        <f t="shared" si="0"/>
        <v>1510393018.79</v>
      </c>
      <c r="L20" s="719">
        <f t="shared" si="0"/>
        <v>1474913576.2100003</v>
      </c>
      <c r="M20" s="719">
        <f t="shared" si="0"/>
        <v>1434894274.71</v>
      </c>
      <c r="N20" s="717">
        <f t="shared" si="0"/>
        <v>1393203641.57</v>
      </c>
      <c r="O20" s="717">
        <f t="shared" si="0"/>
        <v>1472166909.26</v>
      </c>
    </row>
    <row r="21" spans="2:15" ht="15">
      <c r="B21" s="731"/>
      <c r="C21" s="732"/>
      <c r="D21" s="722"/>
      <c r="E21" s="720"/>
      <c r="F21" s="718"/>
      <c r="G21" s="722"/>
      <c r="H21" s="720"/>
      <c r="I21" s="720"/>
      <c r="J21" s="718"/>
      <c r="K21" s="722"/>
      <c r="L21" s="720"/>
      <c r="M21" s="720"/>
      <c r="N21" s="718"/>
      <c r="O21" s="718"/>
    </row>
    <row r="22" spans="2:15" ht="15.75">
      <c r="B22" s="541"/>
      <c r="C22" s="541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</row>
    <row r="23" spans="4:15" ht="15.75">
      <c r="D23" s="552">
        <v>2.671</v>
      </c>
      <c r="E23" s="552">
        <v>2.598</v>
      </c>
      <c r="F23" s="552">
        <v>2.551</v>
      </c>
      <c r="G23" s="553">
        <v>2.589000000000694</v>
      </c>
      <c r="H23" s="554">
        <v>2.783</v>
      </c>
      <c r="I23" s="554">
        <v>2.782</v>
      </c>
      <c r="J23" s="554">
        <v>2.796</v>
      </c>
      <c r="K23" s="555">
        <v>2.809</v>
      </c>
      <c r="L23" s="555">
        <v>2.796</v>
      </c>
      <c r="M23" s="555">
        <v>2.892</v>
      </c>
      <c r="N23" s="555">
        <v>2.989</v>
      </c>
      <c r="O23" s="555">
        <v>3.058</v>
      </c>
    </row>
    <row r="24" spans="4:15" ht="15.75">
      <c r="D24" s="552"/>
      <c r="E24" s="552"/>
      <c r="F24" s="552"/>
      <c r="G24" s="553"/>
      <c r="H24" s="554"/>
      <c r="I24" s="554"/>
      <c r="J24" s="554"/>
      <c r="K24" s="555"/>
      <c r="L24" s="555"/>
      <c r="M24" s="555"/>
      <c r="N24" s="555"/>
      <c r="O24" s="555"/>
    </row>
    <row r="25" spans="4:15" ht="15.75">
      <c r="D25" s="552"/>
      <c r="E25" s="552"/>
      <c r="F25" s="552"/>
      <c r="G25" s="553"/>
      <c r="H25" s="554"/>
      <c r="I25" s="554"/>
      <c r="J25" s="554"/>
      <c r="K25" s="555"/>
      <c r="L25" s="555"/>
      <c r="M25" s="555"/>
      <c r="N25" s="555"/>
      <c r="O25" s="555"/>
    </row>
    <row r="26" spans="4:15" ht="15.75">
      <c r="D26" s="552"/>
      <c r="E26" s="552"/>
      <c r="F26" s="552"/>
      <c r="G26" s="553"/>
      <c r="H26" s="554"/>
      <c r="I26" s="554"/>
      <c r="J26" s="554"/>
      <c r="K26" s="555"/>
      <c r="L26" s="555"/>
      <c r="M26" s="555"/>
      <c r="N26" s="555"/>
      <c r="O26" s="555"/>
    </row>
    <row r="27" spans="4:15" ht="15.75">
      <c r="D27" s="521"/>
      <c r="E27" s="521"/>
      <c r="F27" s="521"/>
      <c r="G27" s="522"/>
      <c r="H27" s="523"/>
      <c r="I27" s="523"/>
      <c r="J27" s="523"/>
      <c r="K27" s="524"/>
      <c r="L27" s="524"/>
      <c r="M27" s="524"/>
      <c r="N27" s="524"/>
      <c r="O27" s="524"/>
    </row>
    <row r="28" spans="4:15" ht="15.75">
      <c r="D28" s="521"/>
      <c r="E28" s="521"/>
      <c r="F28" s="521"/>
      <c r="G28" s="522"/>
      <c r="H28" s="523"/>
      <c r="I28" s="523"/>
      <c r="J28" s="523"/>
      <c r="K28" s="524"/>
      <c r="L28" s="524"/>
      <c r="M28" s="524"/>
      <c r="N28" s="524"/>
      <c r="O28" s="524"/>
    </row>
    <row r="29" spans="2:15" ht="18">
      <c r="B29" s="44" t="s">
        <v>84</v>
      </c>
      <c r="D29" s="521"/>
      <c r="E29" s="521"/>
      <c r="F29" s="521"/>
      <c r="G29" s="522"/>
      <c r="H29" s="523"/>
      <c r="I29" s="523"/>
      <c r="J29" s="523"/>
      <c r="K29" s="524"/>
      <c r="L29" s="524"/>
      <c r="M29" s="524"/>
      <c r="N29" s="524"/>
      <c r="O29" s="524"/>
    </row>
    <row r="30" spans="2:15" ht="15.75">
      <c r="B30" s="505" t="s">
        <v>123</v>
      </c>
      <c r="D30" s="521"/>
      <c r="E30" s="521"/>
      <c r="F30" s="521"/>
      <c r="G30" s="522"/>
      <c r="H30" s="523"/>
      <c r="I30" s="523"/>
      <c r="J30" s="523"/>
      <c r="K30" s="524"/>
      <c r="L30" s="524"/>
      <c r="M30" s="524"/>
      <c r="N30" s="524"/>
      <c r="O30" s="524"/>
    </row>
    <row r="31" ht="15.75">
      <c r="B31" s="506" t="s">
        <v>118</v>
      </c>
    </row>
    <row r="32" ht="6.75" customHeight="1">
      <c r="B32" s="506"/>
    </row>
    <row r="33" spans="2:15" ht="15.75">
      <c r="B33" s="726" t="s">
        <v>122</v>
      </c>
      <c r="C33" s="723" t="s">
        <v>121</v>
      </c>
      <c r="D33" s="735">
        <v>2012</v>
      </c>
      <c r="E33" s="736"/>
      <c r="F33" s="736"/>
      <c r="G33" s="735">
        <v>2013</v>
      </c>
      <c r="H33" s="736"/>
      <c r="I33" s="736"/>
      <c r="J33" s="737"/>
      <c r="K33" s="735">
        <v>2014</v>
      </c>
      <c r="L33" s="736"/>
      <c r="M33" s="736"/>
      <c r="N33" s="737"/>
      <c r="O33" s="535">
        <v>2015</v>
      </c>
    </row>
    <row r="34" spans="2:15" ht="12" customHeight="1">
      <c r="B34" s="727"/>
      <c r="C34" s="724"/>
      <c r="D34" s="738" t="s">
        <v>74</v>
      </c>
      <c r="E34" s="637" t="s">
        <v>77</v>
      </c>
      <c r="F34" s="637" t="s">
        <v>80</v>
      </c>
      <c r="G34" s="738" t="s">
        <v>35</v>
      </c>
      <c r="H34" s="637" t="s">
        <v>74</v>
      </c>
      <c r="I34" s="637" t="s">
        <v>77</v>
      </c>
      <c r="J34" s="690" t="s">
        <v>80</v>
      </c>
      <c r="K34" s="733" t="s">
        <v>35</v>
      </c>
      <c r="L34" s="631" t="s">
        <v>74</v>
      </c>
      <c r="M34" s="631" t="s">
        <v>77</v>
      </c>
      <c r="N34" s="638" t="s">
        <v>80</v>
      </c>
      <c r="O34" s="690" t="s">
        <v>33</v>
      </c>
    </row>
    <row r="35" spans="2:15" ht="12" customHeight="1">
      <c r="B35" s="728"/>
      <c r="C35" s="725"/>
      <c r="D35" s="734"/>
      <c r="E35" s="632"/>
      <c r="F35" s="632"/>
      <c r="G35" s="734"/>
      <c r="H35" s="632"/>
      <c r="I35" s="632"/>
      <c r="J35" s="660"/>
      <c r="K35" s="734"/>
      <c r="L35" s="632"/>
      <c r="M35" s="632"/>
      <c r="N35" s="660"/>
      <c r="O35" s="660"/>
    </row>
    <row r="36" spans="2:15" ht="6" customHeight="1">
      <c r="B36" s="538"/>
      <c r="C36" s="536"/>
      <c r="D36" s="529"/>
      <c r="E36" s="527"/>
      <c r="F36" s="527"/>
      <c r="G36" s="529"/>
      <c r="H36" s="527"/>
      <c r="I36" s="527"/>
      <c r="J36" s="528"/>
      <c r="K36" s="529"/>
      <c r="L36" s="527"/>
      <c r="M36" s="527"/>
      <c r="N36" s="528"/>
      <c r="O36" s="528"/>
    </row>
    <row r="37" spans="2:15" ht="15">
      <c r="B37" s="539" t="s">
        <v>107</v>
      </c>
      <c r="C37" s="526" t="s">
        <v>106</v>
      </c>
      <c r="D37" s="529">
        <f aca="true" t="shared" si="1" ref="D37:D45">+D10/$D$23</f>
        <v>152934135.81430176</v>
      </c>
      <c r="E37" s="527">
        <f aca="true" t="shared" si="2" ref="E37:E45">+E10/$E$23</f>
        <v>151184001.2779061</v>
      </c>
      <c r="F37" s="527">
        <f aca="true" t="shared" si="3" ref="F37:F45">+F10/$F$23</f>
        <v>147810660.08624068</v>
      </c>
      <c r="G37" s="529">
        <f aca="true" t="shared" si="4" ref="G37:G45">+G10/$G$23</f>
        <v>139572789.6639255</v>
      </c>
      <c r="H37" s="527">
        <f aca="true" t="shared" si="5" ref="H37:H45">+H10/$H$23</f>
        <v>125746318.55910888</v>
      </c>
      <c r="I37" s="527">
        <f aca="true" t="shared" si="6" ref="I37:I45">+I10/$I$23</f>
        <v>120092064.34938893</v>
      </c>
      <c r="J37" s="528">
        <f aca="true" t="shared" si="7" ref="J37:J45">+J10/$J$23</f>
        <v>115740049.80686696</v>
      </c>
      <c r="K37" s="529">
        <f aca="true" t="shared" si="8" ref="K37:K45">+K10/$K$23</f>
        <v>111919827.45817016</v>
      </c>
      <c r="L37" s="527">
        <f aca="true" t="shared" si="9" ref="L37:L45">+L10/$L$23</f>
        <v>110133082.5178827</v>
      </c>
      <c r="M37" s="527">
        <f aca="true" t="shared" si="10" ref="M37:M45">+M10/$M$23</f>
        <v>103984647.95297372</v>
      </c>
      <c r="N37" s="528">
        <f aca="true" t="shared" si="11" ref="N37:N45">+N10/$N$23</f>
        <v>97561313.30545335</v>
      </c>
      <c r="O37" s="528">
        <f aca="true" t="shared" si="12" ref="O37:O45">+O10/$O$23</f>
        <v>95359962.54741663</v>
      </c>
    </row>
    <row r="38" spans="2:15" ht="15">
      <c r="B38" s="539" t="s">
        <v>108</v>
      </c>
      <c r="C38" s="526" t="s">
        <v>106</v>
      </c>
      <c r="D38" s="529">
        <f t="shared" si="1"/>
        <v>202638629.4795957</v>
      </c>
      <c r="E38" s="527">
        <f t="shared" si="2"/>
        <v>209783549.77675137</v>
      </c>
      <c r="F38" s="527">
        <f t="shared" si="3"/>
        <v>215171486.6914935</v>
      </c>
      <c r="G38" s="529">
        <f t="shared" si="4"/>
        <v>206648848.0146221</v>
      </c>
      <c r="H38" s="527">
        <f t="shared" si="5"/>
        <v>185687375.84980237</v>
      </c>
      <c r="I38" s="527">
        <f t="shared" si="6"/>
        <v>184466652.4370956</v>
      </c>
      <c r="J38" s="528">
        <f t="shared" si="7"/>
        <v>180417036.62017167</v>
      </c>
      <c r="K38" s="529">
        <f t="shared" si="8"/>
        <v>177289743.3499466</v>
      </c>
      <c r="L38" s="527">
        <f t="shared" si="9"/>
        <v>175430199.42775396</v>
      </c>
      <c r="M38" s="527">
        <f t="shared" si="10"/>
        <v>168842690.50484094</v>
      </c>
      <c r="N38" s="528">
        <f t="shared" si="11"/>
        <v>160242556.28638342</v>
      </c>
      <c r="O38" s="528">
        <f t="shared" si="12"/>
        <v>156777085.38914323</v>
      </c>
    </row>
    <row r="39" spans="2:15" ht="15">
      <c r="B39" s="539" t="s">
        <v>109</v>
      </c>
      <c r="C39" s="526" t="s">
        <v>106</v>
      </c>
      <c r="D39" s="529">
        <f t="shared" si="1"/>
        <v>59187664.57506553</v>
      </c>
      <c r="E39" s="527">
        <f t="shared" si="2"/>
        <v>62403944.218629725</v>
      </c>
      <c r="F39" s="527">
        <f t="shared" si="3"/>
        <v>72143158.56134848</v>
      </c>
      <c r="G39" s="529">
        <f t="shared" si="4"/>
        <v>68177213.5418898</v>
      </c>
      <c r="H39" s="527">
        <f t="shared" si="5"/>
        <v>61320487.50988143</v>
      </c>
      <c r="I39" s="527">
        <f t="shared" si="6"/>
        <v>58616750.168943204</v>
      </c>
      <c r="J39" s="528">
        <f t="shared" si="7"/>
        <v>55554032.22103005</v>
      </c>
      <c r="K39" s="529">
        <f t="shared" si="8"/>
        <v>54563920.441438235</v>
      </c>
      <c r="L39" s="527">
        <f t="shared" si="9"/>
        <v>53487056.80257511</v>
      </c>
      <c r="M39" s="527">
        <f t="shared" si="10"/>
        <v>51261635.73305671</v>
      </c>
      <c r="N39" s="528">
        <f t="shared" si="11"/>
        <v>49178987.33355637</v>
      </c>
      <c r="O39" s="528">
        <f t="shared" si="12"/>
        <v>82138141.75604971</v>
      </c>
    </row>
    <row r="40" spans="2:15" ht="15">
      <c r="B40" s="539" t="s">
        <v>110</v>
      </c>
      <c r="C40" s="526" t="s">
        <v>114</v>
      </c>
      <c r="D40" s="529">
        <f t="shared" si="1"/>
        <v>57994200.782478474</v>
      </c>
      <c r="E40" s="527">
        <f t="shared" si="2"/>
        <v>59623752.99846035</v>
      </c>
      <c r="F40" s="527">
        <f t="shared" si="3"/>
        <v>54650042.83026264</v>
      </c>
      <c r="G40" s="529">
        <f t="shared" si="4"/>
        <v>53847917.82926328</v>
      </c>
      <c r="H40" s="527">
        <f t="shared" si="5"/>
        <v>44528209.92813511</v>
      </c>
      <c r="I40" s="527">
        <f t="shared" si="6"/>
        <v>44544215.75485262</v>
      </c>
      <c r="J40" s="528">
        <f t="shared" si="7"/>
        <v>38781029.04148784</v>
      </c>
      <c r="K40" s="529">
        <f t="shared" si="8"/>
        <v>38601551.15699537</v>
      </c>
      <c r="L40" s="527">
        <f t="shared" si="9"/>
        <v>33240882.035050076</v>
      </c>
      <c r="M40" s="527">
        <f t="shared" si="10"/>
        <v>32137450.26625173</v>
      </c>
      <c r="N40" s="528">
        <f t="shared" si="11"/>
        <v>25912096.06557377</v>
      </c>
      <c r="O40" s="528">
        <f t="shared" si="12"/>
        <v>25327421.56311315</v>
      </c>
    </row>
    <row r="41" spans="2:15" ht="15">
      <c r="B41" s="539" t="s">
        <v>111</v>
      </c>
      <c r="C41" s="526" t="s">
        <v>106</v>
      </c>
      <c r="D41" s="529">
        <f t="shared" si="1"/>
        <v>23181591.1830775</v>
      </c>
      <c r="E41" s="527">
        <f t="shared" si="2"/>
        <v>22796744.33410316</v>
      </c>
      <c r="F41" s="527">
        <f t="shared" si="3"/>
        <v>21106140.823206585</v>
      </c>
      <c r="G41" s="529">
        <f t="shared" si="4"/>
        <v>20796355.82849964</v>
      </c>
      <c r="H41" s="527">
        <f t="shared" si="5"/>
        <v>17411997.37693137</v>
      </c>
      <c r="I41" s="527">
        <f t="shared" si="6"/>
        <v>16450575.280373832</v>
      </c>
      <c r="J41" s="528">
        <f t="shared" si="7"/>
        <v>14442533.58011445</v>
      </c>
      <c r="K41" s="529">
        <f t="shared" si="8"/>
        <v>14375693.802064791</v>
      </c>
      <c r="L41" s="527">
        <f t="shared" si="9"/>
        <v>12516862.428469243</v>
      </c>
      <c r="M41" s="527">
        <f t="shared" si="10"/>
        <v>11170490.691562932</v>
      </c>
      <c r="N41" s="528">
        <f t="shared" si="11"/>
        <v>9006651.903646704</v>
      </c>
      <c r="O41" s="528">
        <f t="shared" si="12"/>
        <v>8803427.907128843</v>
      </c>
    </row>
    <row r="42" spans="2:15" ht="15">
      <c r="B42" s="539" t="s">
        <v>113</v>
      </c>
      <c r="C42" s="526" t="s">
        <v>114</v>
      </c>
      <c r="D42" s="529">
        <f t="shared" si="1"/>
        <v>11738678.011980532</v>
      </c>
      <c r="E42" s="527">
        <f t="shared" si="2"/>
        <v>16382945.86605081</v>
      </c>
      <c r="F42" s="527">
        <f t="shared" si="3"/>
        <v>27164469.713837706</v>
      </c>
      <c r="G42" s="529">
        <f t="shared" si="4"/>
        <v>28693788.161444604</v>
      </c>
      <c r="H42" s="527">
        <f t="shared" si="5"/>
        <v>32521222.5080848</v>
      </c>
      <c r="I42" s="527">
        <f t="shared" si="6"/>
        <v>45278553.81380302</v>
      </c>
      <c r="J42" s="528">
        <f t="shared" si="7"/>
        <v>51298026.266094424</v>
      </c>
      <c r="K42" s="529">
        <f t="shared" si="8"/>
        <v>53277184.28978283</v>
      </c>
      <c r="L42" s="527">
        <f t="shared" si="9"/>
        <v>53524896.52002861</v>
      </c>
      <c r="M42" s="527">
        <f t="shared" si="10"/>
        <v>43123447.05739973</v>
      </c>
      <c r="N42" s="528">
        <f t="shared" si="11"/>
        <v>41723990.93007695</v>
      </c>
      <c r="O42" s="528">
        <f t="shared" si="12"/>
        <v>32626032.410071943</v>
      </c>
    </row>
    <row r="43" spans="2:15" ht="15">
      <c r="B43" s="539" t="s">
        <v>115</v>
      </c>
      <c r="C43" s="526" t="s">
        <v>106</v>
      </c>
      <c r="D43" s="530">
        <f t="shared" si="1"/>
        <v>0</v>
      </c>
      <c r="E43" s="527">
        <f t="shared" si="2"/>
        <v>3059661.2779060816</v>
      </c>
      <c r="F43" s="527">
        <f t="shared" si="3"/>
        <v>8400147.78518228</v>
      </c>
      <c r="G43" s="529">
        <f t="shared" si="4"/>
        <v>8276854.770179318</v>
      </c>
      <c r="H43" s="527">
        <f t="shared" si="5"/>
        <v>8813359.324469997</v>
      </c>
      <c r="I43" s="527">
        <f t="shared" si="6"/>
        <v>8816527.318475917</v>
      </c>
      <c r="J43" s="528">
        <f t="shared" si="7"/>
        <v>8362135.7546495</v>
      </c>
      <c r="K43" s="529">
        <f t="shared" si="8"/>
        <v>7959611.64471342</v>
      </c>
      <c r="L43" s="527">
        <f t="shared" si="9"/>
        <v>8298840.443490701</v>
      </c>
      <c r="M43" s="527">
        <f t="shared" si="10"/>
        <v>7648169.315352698</v>
      </c>
      <c r="N43" s="528">
        <f t="shared" si="11"/>
        <v>7218460.87320174</v>
      </c>
      <c r="O43" s="528">
        <f t="shared" si="12"/>
        <v>6878173.132766515</v>
      </c>
    </row>
    <row r="44" spans="2:15" ht="15">
      <c r="B44" s="539" t="s">
        <v>117</v>
      </c>
      <c r="C44" s="526" t="s">
        <v>116</v>
      </c>
      <c r="D44" s="530">
        <f t="shared" si="1"/>
        <v>0</v>
      </c>
      <c r="E44" s="531">
        <f t="shared" si="2"/>
        <v>0</v>
      </c>
      <c r="F44" s="544">
        <f t="shared" si="3"/>
        <v>0</v>
      </c>
      <c r="G44" s="545">
        <f t="shared" si="4"/>
        <v>0</v>
      </c>
      <c r="H44" s="527">
        <f t="shared" si="5"/>
        <v>1221703.197987783</v>
      </c>
      <c r="I44" s="527">
        <f t="shared" si="6"/>
        <v>1222142.3436376706</v>
      </c>
      <c r="J44" s="528">
        <f t="shared" si="7"/>
        <v>2353948.8555078683</v>
      </c>
      <c r="K44" s="529">
        <f t="shared" si="8"/>
        <v>2512296.5468138126</v>
      </c>
      <c r="L44" s="527">
        <f t="shared" si="9"/>
        <v>3319744.9928469243</v>
      </c>
      <c r="M44" s="527">
        <f t="shared" si="10"/>
        <v>3008949.360304288</v>
      </c>
      <c r="N44" s="528">
        <f t="shared" si="11"/>
        <v>2717215.155570425</v>
      </c>
      <c r="O44" s="528">
        <f t="shared" si="12"/>
        <v>2592668.721386527</v>
      </c>
    </row>
    <row r="45" spans="2:15" ht="15">
      <c r="B45" s="539" t="s">
        <v>112</v>
      </c>
      <c r="C45" s="526" t="s">
        <v>106</v>
      </c>
      <c r="D45" s="529">
        <f t="shared" si="1"/>
        <v>81186447.02358668</v>
      </c>
      <c r="E45" s="527">
        <f t="shared" si="2"/>
        <v>83467667.43648961</v>
      </c>
      <c r="F45" s="527">
        <f t="shared" si="3"/>
        <v>85005488.04390435</v>
      </c>
      <c r="G45" s="529">
        <f t="shared" si="4"/>
        <v>83757821.55270061</v>
      </c>
      <c r="H45" s="527">
        <f t="shared" si="5"/>
        <v>77919151.9942508</v>
      </c>
      <c r="I45" s="527">
        <f t="shared" si="6"/>
        <v>77947160.3163192</v>
      </c>
      <c r="J45" s="528">
        <f t="shared" si="7"/>
        <v>77556866.95278971</v>
      </c>
      <c r="K45" s="529">
        <f t="shared" si="8"/>
        <v>77197935.20825917</v>
      </c>
      <c r="L45" s="527">
        <f t="shared" si="9"/>
        <v>77556866.95278971</v>
      </c>
      <c r="M45" s="527">
        <f t="shared" si="10"/>
        <v>74982365.14522822</v>
      </c>
      <c r="N45" s="528">
        <f t="shared" si="11"/>
        <v>72549013.04784209</v>
      </c>
      <c r="O45" s="528">
        <f t="shared" si="12"/>
        <v>70912034.00915632</v>
      </c>
    </row>
    <row r="46" spans="2:15" ht="9" customHeight="1">
      <c r="B46" s="540"/>
      <c r="C46" s="537"/>
      <c r="D46" s="532"/>
      <c r="E46" s="533"/>
      <c r="F46" s="533"/>
      <c r="G46" s="532"/>
      <c r="H46" s="533"/>
      <c r="I46" s="533"/>
      <c r="J46" s="534"/>
      <c r="K46" s="532"/>
      <c r="L46" s="533"/>
      <c r="M46" s="533"/>
      <c r="N46" s="534"/>
      <c r="O46" s="534"/>
    </row>
    <row r="47" spans="2:15" ht="15.75" customHeight="1">
      <c r="B47" s="729" t="s">
        <v>120</v>
      </c>
      <c r="C47" s="730"/>
      <c r="D47" s="721">
        <f aca="true" t="shared" si="13" ref="D47:O47">SUM(D37:D45)</f>
        <v>588861346.8700862</v>
      </c>
      <c r="E47" s="719">
        <f t="shared" si="13"/>
        <v>608702267.1862972</v>
      </c>
      <c r="F47" s="717">
        <f t="shared" si="13"/>
        <v>631451594.5354762</v>
      </c>
      <c r="G47" s="721">
        <f t="shared" si="13"/>
        <v>609771589.3625249</v>
      </c>
      <c r="H47" s="719">
        <f t="shared" si="13"/>
        <v>555169826.2486525</v>
      </c>
      <c r="I47" s="719">
        <f t="shared" si="13"/>
        <v>557434641.78289</v>
      </c>
      <c r="J47" s="717">
        <f t="shared" si="13"/>
        <v>544505659.0987124</v>
      </c>
      <c r="K47" s="721">
        <f t="shared" si="13"/>
        <v>537697763.8981843</v>
      </c>
      <c r="L47" s="719">
        <f t="shared" si="13"/>
        <v>527508432.120887</v>
      </c>
      <c r="M47" s="719">
        <f t="shared" si="13"/>
        <v>496159846.02697104</v>
      </c>
      <c r="N47" s="717">
        <f t="shared" si="13"/>
        <v>466110284.9013048</v>
      </c>
      <c r="O47" s="717">
        <f t="shared" si="13"/>
        <v>481414947.4362329</v>
      </c>
    </row>
    <row r="48" spans="2:15" ht="15">
      <c r="B48" s="731"/>
      <c r="C48" s="732"/>
      <c r="D48" s="722"/>
      <c r="E48" s="720"/>
      <c r="F48" s="718"/>
      <c r="G48" s="722"/>
      <c r="H48" s="720"/>
      <c r="I48" s="720"/>
      <c r="J48" s="718"/>
      <c r="K48" s="722"/>
      <c r="L48" s="720"/>
      <c r="M48" s="720"/>
      <c r="N48" s="718"/>
      <c r="O48" s="718"/>
    </row>
    <row r="50" spans="3:15" ht="15">
      <c r="C50" s="526" t="s">
        <v>106</v>
      </c>
      <c r="D50" s="514">
        <f>+D37+D38+D39+D41+D43+D45</f>
        <v>519128468.0756272</v>
      </c>
      <c r="E50" s="514">
        <f aca="true" t="shared" si="14" ref="E50:N50">+E37+E38+E39+E41+E43+E45</f>
        <v>532695568.32178605</v>
      </c>
      <c r="F50" s="514">
        <f t="shared" si="14"/>
        <v>549637081.9913759</v>
      </c>
      <c r="G50" s="514">
        <f t="shared" si="14"/>
        <v>527229883.371817</v>
      </c>
      <c r="H50" s="514">
        <f t="shared" si="14"/>
        <v>476898690.61444485</v>
      </c>
      <c r="I50" s="514">
        <f t="shared" si="14"/>
        <v>466389729.87059665</v>
      </c>
      <c r="J50" s="514">
        <f t="shared" si="14"/>
        <v>452072654.93562233</v>
      </c>
      <c r="K50" s="514">
        <f t="shared" si="14"/>
        <v>443306731.90459234</v>
      </c>
      <c r="L50" s="514">
        <f t="shared" si="14"/>
        <v>437422908.5729614</v>
      </c>
      <c r="M50" s="514">
        <f t="shared" si="14"/>
        <v>417889999.34301525</v>
      </c>
      <c r="N50" s="514">
        <f t="shared" si="14"/>
        <v>395756982.7500836</v>
      </c>
      <c r="O50" s="514">
        <f>+O37+O38+O39+O41+O43+O45</f>
        <v>420868824.7416613</v>
      </c>
    </row>
    <row r="51" spans="4:15" ht="15">
      <c r="D51" s="514">
        <f>+D50/1000000</f>
        <v>519.1284680756272</v>
      </c>
      <c r="E51" s="514">
        <f aca="true" t="shared" si="15" ref="E51:O51">+E50/1000000</f>
        <v>532.695568321786</v>
      </c>
      <c r="F51" s="514">
        <f t="shared" si="15"/>
        <v>549.6370819913759</v>
      </c>
      <c r="G51" s="514">
        <f t="shared" si="15"/>
        <v>527.229883371817</v>
      </c>
      <c r="H51" s="514">
        <f t="shared" si="15"/>
        <v>476.89869061444483</v>
      </c>
      <c r="I51" s="514">
        <f t="shared" si="15"/>
        <v>466.3897298705966</v>
      </c>
      <c r="J51" s="514">
        <f t="shared" si="15"/>
        <v>452.0726549356223</v>
      </c>
      <c r="K51" s="514">
        <f t="shared" si="15"/>
        <v>443.3067319045923</v>
      </c>
      <c r="L51" s="514">
        <f t="shared" si="15"/>
        <v>437.4229085729614</v>
      </c>
      <c r="M51" s="514">
        <f t="shared" si="15"/>
        <v>417.88999934301523</v>
      </c>
      <c r="N51" s="514">
        <f t="shared" si="15"/>
        <v>395.75698275008364</v>
      </c>
      <c r="O51" s="514">
        <f t="shared" si="15"/>
        <v>420.8688247416613</v>
      </c>
    </row>
    <row r="53" spans="3:18" ht="15">
      <c r="C53" s="526" t="s">
        <v>114</v>
      </c>
      <c r="D53" s="514">
        <f>+D40+D42</f>
        <v>69732878.794459</v>
      </c>
      <c r="E53" s="514">
        <f aca="true" t="shared" si="16" ref="E53:R53">+E40+E42</f>
        <v>76006698.86451116</v>
      </c>
      <c r="F53" s="514">
        <f t="shared" si="16"/>
        <v>81814512.54410034</v>
      </c>
      <c r="G53" s="514">
        <f t="shared" si="16"/>
        <v>82541705.99070787</v>
      </c>
      <c r="H53" s="514">
        <f t="shared" si="16"/>
        <v>77049432.43621992</v>
      </c>
      <c r="I53" s="514">
        <f t="shared" si="16"/>
        <v>89822769.56865564</v>
      </c>
      <c r="J53" s="514">
        <f t="shared" si="16"/>
        <v>90079055.30758226</v>
      </c>
      <c r="K53" s="514">
        <f t="shared" si="16"/>
        <v>91878735.44677821</v>
      </c>
      <c r="L53" s="514">
        <f t="shared" si="16"/>
        <v>86765778.55507869</v>
      </c>
      <c r="M53" s="514">
        <f t="shared" si="16"/>
        <v>75260897.32365146</v>
      </c>
      <c r="N53" s="514">
        <f t="shared" si="16"/>
        <v>67636086.99565072</v>
      </c>
      <c r="O53" s="514">
        <f>+O40+O42</f>
        <v>57953453.97318509</v>
      </c>
      <c r="P53" s="514">
        <f t="shared" si="16"/>
        <v>0</v>
      </c>
      <c r="Q53" s="514">
        <f t="shared" si="16"/>
        <v>0</v>
      </c>
      <c r="R53" s="514">
        <f t="shared" si="16"/>
        <v>0</v>
      </c>
    </row>
    <row r="54" spans="4:18" ht="15">
      <c r="D54" s="514">
        <f>+D53/1000000</f>
        <v>69.732878794459</v>
      </c>
      <c r="E54" s="514">
        <f aca="true" t="shared" si="17" ref="E54:R54">+E53/1000000</f>
        <v>76.00669886451116</v>
      </c>
      <c r="F54" s="514">
        <f t="shared" si="17"/>
        <v>81.81451254410034</v>
      </c>
      <c r="G54" s="514">
        <f t="shared" si="17"/>
        <v>82.54170599070787</v>
      </c>
      <c r="H54" s="514">
        <f t="shared" si="17"/>
        <v>77.04943243621992</v>
      </c>
      <c r="I54" s="514">
        <f t="shared" si="17"/>
        <v>89.82276956865564</v>
      </c>
      <c r="J54" s="514">
        <f t="shared" si="17"/>
        <v>90.07905530758227</v>
      </c>
      <c r="K54" s="514">
        <f t="shared" si="17"/>
        <v>91.87873544677821</v>
      </c>
      <c r="L54" s="514">
        <f t="shared" si="17"/>
        <v>86.76577855507868</v>
      </c>
      <c r="M54" s="514">
        <f t="shared" si="17"/>
        <v>75.26089732365146</v>
      </c>
      <c r="N54" s="514">
        <f t="shared" si="17"/>
        <v>67.63608699565073</v>
      </c>
      <c r="O54" s="514">
        <f>+O53/1000000</f>
        <v>57.95345397318509</v>
      </c>
      <c r="P54" s="514">
        <f t="shared" si="17"/>
        <v>0</v>
      </c>
      <c r="Q54" s="514">
        <f t="shared" si="17"/>
        <v>0</v>
      </c>
      <c r="R54" s="514">
        <f t="shared" si="17"/>
        <v>0</v>
      </c>
    </row>
    <row r="56" spans="3:15" ht="15">
      <c r="C56" s="526" t="s">
        <v>116</v>
      </c>
      <c r="D56" s="514">
        <f>+D44/1000000</f>
        <v>0</v>
      </c>
      <c r="E56" s="514">
        <f aca="true" t="shared" si="18" ref="E56:N56">+E44/1000000</f>
        <v>0</v>
      </c>
      <c r="F56" s="514">
        <f t="shared" si="18"/>
        <v>0</v>
      </c>
      <c r="G56" s="514">
        <f t="shared" si="18"/>
        <v>0</v>
      </c>
      <c r="H56" s="514">
        <f t="shared" si="18"/>
        <v>1.221703197987783</v>
      </c>
      <c r="I56" s="514">
        <f t="shared" si="18"/>
        <v>1.2221423436376706</v>
      </c>
      <c r="J56" s="514">
        <f t="shared" si="18"/>
        <v>2.3539488555078685</v>
      </c>
      <c r="K56" s="514">
        <f t="shared" si="18"/>
        <v>2.5122965468138125</v>
      </c>
      <c r="L56" s="514">
        <f t="shared" si="18"/>
        <v>3.3197449928469243</v>
      </c>
      <c r="M56" s="514">
        <f t="shared" si="18"/>
        <v>3.008949360304288</v>
      </c>
      <c r="N56" s="514">
        <f t="shared" si="18"/>
        <v>2.717215155570425</v>
      </c>
      <c r="O56" s="514">
        <f>+O44/1000000</f>
        <v>2.592668721386527</v>
      </c>
    </row>
  </sheetData>
  <sheetProtection/>
  <mergeCells count="60">
    <mergeCell ref="D7:D8"/>
    <mergeCell ref="E7:E8"/>
    <mergeCell ref="F7:F8"/>
    <mergeCell ref="D6:F6"/>
    <mergeCell ref="H7:H8"/>
    <mergeCell ref="I7:I8"/>
    <mergeCell ref="J7:J8"/>
    <mergeCell ref="G7:G8"/>
    <mergeCell ref="G6:J6"/>
    <mergeCell ref="K6:N6"/>
    <mergeCell ref="K7:K8"/>
    <mergeCell ref="L7:L8"/>
    <mergeCell ref="M7:M8"/>
    <mergeCell ref="N7:N8"/>
    <mergeCell ref="O7:O8"/>
    <mergeCell ref="D33:F33"/>
    <mergeCell ref="G33:J33"/>
    <mergeCell ref="K33:N33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B47:C48"/>
    <mergeCell ref="D47:D48"/>
    <mergeCell ref="E47:E48"/>
    <mergeCell ref="F47:F48"/>
    <mergeCell ref="G47:G48"/>
    <mergeCell ref="G20:G21"/>
    <mergeCell ref="H47:H48"/>
    <mergeCell ref="I47:I48"/>
    <mergeCell ref="J47:J48"/>
    <mergeCell ref="K47:K48"/>
    <mergeCell ref="L47:L48"/>
    <mergeCell ref="M47:M48"/>
    <mergeCell ref="N47:N48"/>
    <mergeCell ref="O47:O48"/>
    <mergeCell ref="C33:C35"/>
    <mergeCell ref="B33:B35"/>
    <mergeCell ref="B6:B8"/>
    <mergeCell ref="C6:C8"/>
    <mergeCell ref="B20:C21"/>
    <mergeCell ref="D20:D21"/>
    <mergeCell ref="E20:E21"/>
    <mergeCell ref="F20:F21"/>
    <mergeCell ref="N20:N21"/>
    <mergeCell ref="O20:O21"/>
    <mergeCell ref="H20:H21"/>
    <mergeCell ref="I20:I21"/>
    <mergeCell ref="J20:J21"/>
    <mergeCell ref="K20:K21"/>
    <mergeCell ref="L20:L21"/>
    <mergeCell ref="M20:M21"/>
  </mergeCells>
  <printOptions/>
  <pageMargins left="0.17" right="0.17" top="0.44" bottom="0.7480314960629921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yaymara</dc:creator>
  <cp:keywords/>
  <dc:description/>
  <cp:lastModifiedBy>Maguiña Cacha, Christian</cp:lastModifiedBy>
  <cp:lastPrinted>2016-04-28T15:06:35Z</cp:lastPrinted>
  <dcterms:created xsi:type="dcterms:W3CDTF">2013-04-05T19:51:55Z</dcterms:created>
  <dcterms:modified xsi:type="dcterms:W3CDTF">2016-04-28T16:00:02Z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