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'DEP-C1'!$B$1:$V$46</definedName>
    <definedName name="_xlnm.Print_Area" localSheetId="5">'DEP-C2'!$B$1:$D$46</definedName>
    <definedName name="_xlnm.Print_Area" localSheetId="6">'DEP-C3'!$B$5:$D$65</definedName>
    <definedName name="_xlnm.Print_Area" localSheetId="7">'DEP-C4'!$B$1:$D$80</definedName>
    <definedName name="_xlnm.Print_Area" localSheetId="8">'DEP-C5'!$B$1:$D$50</definedName>
    <definedName name="_xlnm.Print_Area" localSheetId="9">'DEP-C6'!$B$1:$E$87</definedName>
    <definedName name="_xlnm.Print_Area" localSheetId="10">'DEP-C7'!$B$1:$E$84</definedName>
    <definedName name="_xlnm.Print_Area" localSheetId="11">'DEP-C8'!$B$1:$D$134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'[3]DSG_HIST_ADEUDADO'!#REF!</definedName>
    <definedName name="ENTIDAD" localSheetId="5">'[3]DSG_HIST_ADEUDADO'!#REF!</definedName>
    <definedName name="ENTIDAD" localSheetId="6">'[3]DSG_HIST_ADEUDADO'!#REF!</definedName>
    <definedName name="ENTIDAD" localSheetId="7">'[3]DSG_HIST_ADEUDADO'!#REF!</definedName>
    <definedName name="ENTIDAD" localSheetId="8">'[3]DSG_HIST_ADEUDADO'!#REF!</definedName>
    <definedName name="ENTIDAD" localSheetId="9">'[3]DSG_HIST_ADEUDADO'!#REF!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'[5]SERV. ATENDIDO'!$F$2:$F$5010</definedName>
    <definedName name="M_OI">'[2]SERV. ATENDIDO'!$F$2:$F$5010</definedName>
    <definedName name="P_C" localSheetId="11">'[5]SERV. ATENDIDO'!$E$2:$E$5010</definedName>
    <definedName name="P_C">'[2]SERV. ATENDIDO'!$E$2:$E$5010</definedName>
    <definedName name="pepe" localSheetId="11">#REF!</definedName>
    <definedName name="pepe">#REF!</definedName>
    <definedName name="Principal" localSheetId="11">'[5]SERV. ATENDIDO'!$C$2:$C$5010</definedName>
    <definedName name="Principal">'[2]SERV. ATENDIDO'!$C$2:$C$5010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<sst xmlns="http://schemas.openxmlformats.org/spreadsheetml/2006/main" count="634" uniqueCount="255">
  <si>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</si>
  <si>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</si>
  <si>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</si>
  <si>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</si>
  <si>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</si>
  <si>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</si>
  <si>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</si>
  <si>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</si>
  <si>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</si>
  <si>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</si>
  <si>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</si>
  <si>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</si>
  <si>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</si>
  <si>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</si>
  <si>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</si>
  <si>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</si>
  <si>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</si>
  <si>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</si>
  <si>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</si>
  <si>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</si>
  <si>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</si>
  <si>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</si>
  <si>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</si>
  <si>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</si>
  <si>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</si>
  <si>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</si>
  <si>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</si>
  <si>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</si>
  <si>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</si>
  <si>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</si>
  <si>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</si>
  <si>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</si>
  <si>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</si>
  <si>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</si>
  <si>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</si>
  <si>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</si>
  <si>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</si>
  <si>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</si>
  <si>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</si>
  <si>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</si>
  <si>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</si>
  <si>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</si>
  <si>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</si>
  <si>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</si>
  <si>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</si>
  <si>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</si>
  <si>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</si>
  <si>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</si>
  <si>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</si>
  <si>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</si>
  <si>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</si>
  <si>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</si>
  <si>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</si>
  <si>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</si>
  <si>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</si>
  <si>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</si>
  <si>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</si>
  <si>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</si>
  <si>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</si>
  <si>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</si>
  <si>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</si>
  <si>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</si>
  <si>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</si>
  <si>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</si>
  <si>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</si>
  <si>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</si>
  <si>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</si>
  <si>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 xml:space="preserve">  Empresas Financieras</t>
  </si>
  <si>
    <t>PORTADA</t>
  </si>
  <si>
    <t>GRUPO DEL ACREEDOR</t>
  </si>
  <si>
    <t>Empresa de Generación Eléctrica Machupicchu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</si>
  <si>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</si>
  <si>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</si>
  <si>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</si>
  <si>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</si>
  <si>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</si>
  <si>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</si>
  <si>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</si>
  <si>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</si>
  <si>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</si>
  <si>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</si>
  <si>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</si>
  <si>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</si>
  <si>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</si>
  <si>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</si>
  <si>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</si>
  <si>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</si>
  <si>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</si>
  <si>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</si>
  <si>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</si>
  <si>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</si>
  <si>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</si>
  <si>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</si>
  <si>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</si>
  <si>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</si>
  <si>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</si>
  <si>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</si>
  <si>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</si>
  <si>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</si>
  <si>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</si>
  <si>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</si>
  <si>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</si>
  <si>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</si>
  <si>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</si>
  <si>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</si>
  <si>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</si>
  <si>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</si>
  <si>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</si>
  <si>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</si>
  <si>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</si>
  <si>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</si>
  <si>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</si>
  <si>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</si>
  <si>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</si>
  <si>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</si>
  <si>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</si>
  <si>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</si>
  <si>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</si>
  <si>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</si>
  <si>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</si>
  <si>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</si>
  <si>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</si>
  <si>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</si>
  <si>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</si>
  <si>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</si>
  <si>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</si>
  <si>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</si>
  <si>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</si>
  <si>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</si>
  <si>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</si>
  <si>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</si>
  <si>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</si>
  <si>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</si>
  <si>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</si>
  <si>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</si>
  <si>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</si>
  <si>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</si>
  <si>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</si>
  <si>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</si>
  <si>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</si>
  <si>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</si>
  <si>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</si>
  <si>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</si>
  <si>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</si>
  <si>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</si>
  <si>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</si>
  <si>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</si>
  <si>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</si>
  <si>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</si>
  <si>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</si>
  <si>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</si>
  <si>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</si>
  <si>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</si>
  <si>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</si>
  <si>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</si>
  <si>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Franco Suizo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</si>
  <si>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</si>
  <si>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</si>
  <si>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</si>
  <si>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</si>
  <si>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</si>
  <si>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</si>
  <si>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ICBC Perú Bank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</si>
  <si>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</si>
  <si>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</si>
  <si>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</si>
  <si>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</si>
  <si>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</si>
  <si>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</si>
  <si>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Abril</t>
  </si>
  <si>
    <t>DE CORTO, MEDIANO Y LARGO PLAZO</t>
  </si>
  <si>
    <t>Agencia Francesa De Desarrollo</t>
  </si>
  <si>
    <t>Corporacion Andina De Fomento</t>
  </si>
  <si>
    <t>Citibank, N.A.</t>
  </si>
  <si>
    <t>Banco Wiese Sudameris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</si>
  <si>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</si>
  <si>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</si>
  <si>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</si>
  <si>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</si>
  <si>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Mayo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</si>
  <si>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</si>
  <si>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</si>
  <si>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</si>
  <si>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</si>
  <si>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</si>
  <si>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</si>
  <si>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Franco Suizo (SZL)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</si>
  <si>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</si>
  <si>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</si>
  <si>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</si>
  <si>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</si>
  <si>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</si>
  <si>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</si>
  <si>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</si>
  <si>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</si>
  <si>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Banco Latinoamericano de Comercio Exterior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</si>
  <si>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</si>
  <si>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</si>
  <si>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</si>
  <si>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</si>
  <si>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</si>
  <si>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</si>
  <si>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</si>
  <si>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</si>
  <si>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</si>
  <si>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</si>
  <si>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</si>
  <si>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Agua Potable y Alcantarillado de Chincha</t>
  </si>
  <si>
    <t>Empresa Municipal de Agua Potable y Alcantarillado Virgen de Guadalupe del Sur</t>
  </si>
  <si>
    <t>Empresa Municipal de Servicio Eléctrico de Tocache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</si>
  <si>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</si>
  <si>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</si>
  <si>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</si>
  <si>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Servicios Público de Electricidad del Centro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</si>
  <si>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</si>
  <si>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</si>
  <si>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</si>
  <si>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</si>
  <si>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</si>
  <si>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</si>
  <si>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</si>
  <si>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Prestadora de Servicios de Saneamiento de Cajamarca</t>
  </si>
  <si>
    <t>Entidad Prestadora de Servicios de Saneamiento de Ayacucho</t>
  </si>
  <si>
    <t>Empresa Municipal Prestadora de Servicios de Saneamiento de las Provincias Alto Andinas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</si>
  <si>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</si>
  <si>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</si>
  <si>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</si>
  <si>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</si>
  <si>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</si>
  <si>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>Corporación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</si>
  <si>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</si>
  <si>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</si>
  <si>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</si>
  <si>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</si>
  <si>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</si>
  <si>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</si>
  <si>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 xml:space="preserve">Empresa Regional de Servicio Público de Electricidad Electronoroeste </t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</si>
  <si>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</si>
  <si>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</si>
  <si>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</si>
  <si>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</si>
  <si>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t xml:space="preserve"> 1/  Incluye: Bonos PETROPERU por US$ 2 000,0 millones.</t>
  </si>
  <si>
    <t xml:space="preserve"> 2/  Incluye deuda contratada por el Gobierno Nacional y trasladada a las Empresas Públicas con Convenio de Traspaso de Recursos.</t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</si>
  <si>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</si>
  <si>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</si>
  <si>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</si>
  <si>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</si>
  <si>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</si>
  <si>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</si>
  <si>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AL 31 DE JULIO 2017</t>
  </si>
  <si>
    <t>Al 31 de julio de 2017</t>
  </si>
  <si>
    <t xml:space="preserve"> 4/  Incluye: Bonos COFIDE por US$ 314,6 millones y Bonos Fondo MIVIVIENDA por US$ 131,4 millones.</t>
  </si>
  <si>
    <t xml:space="preserve"> 3/  Incluye: Bonos COFIDE por US$ 1 900,0 millones y Bonos Fondo MIVIVIENDA por US$ 1 678,1 millones.</t>
  </si>
  <si>
    <t>Banco Financiero</t>
  </si>
  <si>
    <t>Período: De 2009 al 31 de Julio de 2017</t>
  </si>
</sst>
</file>

<file path=xl/styles.xml><?xml version="1.0" encoding="utf-8"?>
<styleSheet xmlns="http://schemas.openxmlformats.org/spreadsheetml/2006/main">
  <numFmts count="6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S/.&quot;\ * #,##0_ ;_ &quot;S/.&quot;\ * \-#,##0_ ;_ &quot;S/.&quot;\ * &quot;-&quot;_ ;_ @_ "/>
    <numFmt numFmtId="165" formatCode="_ * #,##0_ ;_ * \-#,##0_ ;_ * &quot;-&quot;_ ;_ @_ "/>
    <numFmt numFmtId="166" formatCode="_ &quot;S/.&quot;\ * #,##0.00_ ;_ &quot;S/.&quot;\ * \-#,##0.00_ ;_ &quot;S/.&quot;\ * &quot;-&quot;??_ ;_ @_ "/>
    <numFmt numFmtId="167" formatCode="_ * #,##0.00_ ;_ * \-#,##0.00_ ;_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_);[Red]\(#,##0.00000\)"/>
    <numFmt numFmtId="218" formatCode="#,##0.0000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7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/>
      <right/>
      <top/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indexed="23"/>
      </left>
      <right style="thin">
        <color rgb="FF808080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indexed="23"/>
      </left>
      <right/>
      <top style="thin">
        <color rgb="FF808080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6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05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7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7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38" fontId="33" fillId="48" borderId="22" xfId="300" applyNumberFormat="1" applyFont="1" applyFill="1" applyBorder="1" applyAlignment="1">
      <alignment horizontal="right" vertical="center" indent="2"/>
    </xf>
    <xf numFmtId="0" fontId="8" fillId="48" borderId="0" xfId="323" applyFont="1" applyFill="1">
      <alignment/>
      <protection/>
    </xf>
    <xf numFmtId="38" fontId="0" fillId="48" borderId="22" xfId="300" applyNumberFormat="1" applyFont="1" applyFill="1" applyBorder="1" applyAlignment="1">
      <alignment horizontal="right" vertical="center" indent="2"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38" fontId="6" fillId="48" borderId="22" xfId="300" applyNumberFormat="1" applyFont="1" applyFill="1" applyBorder="1" applyAlignment="1">
      <alignment horizontal="right" vertical="center" indent="2"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173" fontId="0" fillId="48" borderId="31" xfId="350" applyNumberFormat="1" applyFont="1" applyFill="1" applyBorder="1" applyAlignment="1">
      <alignment horizontal="center" vertical="center"/>
    </xf>
    <xf numFmtId="0" fontId="3" fillId="48" borderId="32" xfId="331" applyFont="1" applyFill="1" applyBorder="1" applyAlignment="1">
      <alignment horizontal="center" vertical="center"/>
      <protection/>
    </xf>
    <xf numFmtId="173" fontId="3" fillId="48" borderId="33" xfId="350" applyNumberFormat="1" applyFont="1" applyFill="1" applyBorder="1" applyAlignment="1">
      <alignment horizontal="center" vertical="center"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4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4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5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7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6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37" fontId="33" fillId="48" borderId="22" xfId="300" applyNumberFormat="1" applyFont="1" applyFill="1" applyBorder="1" applyAlignment="1">
      <alignment horizontal="right" vertical="center" wrapText="1" indent="2"/>
    </xf>
    <xf numFmtId="37" fontId="33" fillId="48" borderId="0" xfId="300" applyNumberFormat="1" applyFont="1" applyFill="1" applyBorder="1" applyAlignment="1">
      <alignment horizontal="right" vertical="center" wrapText="1" indent="2"/>
    </xf>
    <xf numFmtId="0" fontId="33" fillId="48" borderId="24" xfId="323" applyFont="1" applyFill="1" applyBorder="1" applyAlignment="1">
      <alignment horizontal="left" vertical="center" wrapText="1" indent="1"/>
      <protection/>
    </xf>
    <xf numFmtId="37" fontId="8" fillId="48" borderId="23" xfId="300" applyNumberFormat="1" applyFont="1" applyFill="1" applyBorder="1" applyAlignment="1">
      <alignment horizontal="right" vertical="center" wrapText="1" indent="2"/>
    </xf>
    <xf numFmtId="37" fontId="8" fillId="48" borderId="37" xfId="300" applyNumberFormat="1" applyFont="1" applyFill="1" applyBorder="1" applyAlignment="1">
      <alignment horizontal="right" vertical="center" wrapText="1" indent="2"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188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7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7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6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7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91" fontId="0" fillId="48" borderId="0" xfId="308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194" fontId="35" fillId="48" borderId="0" xfId="323" applyNumberFormat="1" applyFont="1" applyFill="1" applyAlignment="1">
      <alignment vertical="top"/>
      <protection/>
    </xf>
    <xf numFmtId="180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188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3" fontId="33" fillId="48" borderId="0" xfId="300" applyNumberFormat="1" applyFont="1" applyFill="1" applyBorder="1" applyAlignment="1">
      <alignment horizontal="right" vertical="center" indent="2"/>
    </xf>
    <xf numFmtId="3" fontId="33" fillId="48" borderId="22" xfId="300" applyNumberFormat="1" applyFont="1" applyFill="1" applyBorder="1" applyAlignment="1">
      <alignment horizontal="right" vertical="center" indent="2"/>
    </xf>
    <xf numFmtId="0" fontId="43" fillId="48" borderId="0" xfId="289" applyFont="1" applyFill="1" applyAlignment="1" applyProtection="1">
      <alignment vertical="center"/>
      <protection/>
    </xf>
    <xf numFmtId="174" fontId="90" fillId="48" borderId="0" xfId="0" applyNumberFormat="1" applyFont="1" applyFill="1" applyAlignment="1">
      <alignment horizontal="center" vertical="center"/>
    </xf>
    <xf numFmtId="38" fontId="6" fillId="48" borderId="19" xfId="300" applyNumberFormat="1" applyFont="1" applyFill="1" applyBorder="1" applyAlignment="1">
      <alignment horizontal="right" vertical="center" indent="2"/>
    </xf>
    <xf numFmtId="38" fontId="33" fillId="48" borderId="19" xfId="300" applyNumberFormat="1" applyFont="1" applyFill="1" applyBorder="1" applyAlignment="1">
      <alignment horizontal="right" vertical="center" indent="2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7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8" fontId="91" fillId="47" borderId="0" xfId="0" applyNumberFormat="1" applyFont="1" applyFill="1" applyAlignment="1">
      <alignment/>
    </xf>
    <xf numFmtId="186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81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38" fontId="92" fillId="48" borderId="0" xfId="0" applyNumberFormat="1" applyFont="1" applyFill="1" applyAlignment="1">
      <alignment/>
    </xf>
    <xf numFmtId="0" fontId="92" fillId="48" borderId="0" xfId="0" applyFont="1" applyFill="1" applyAlignment="1" applyProtection="1">
      <alignment/>
      <protection/>
    </xf>
    <xf numFmtId="179" fontId="92" fillId="48" borderId="0" xfId="0" applyNumberFormat="1" applyFont="1" applyFill="1" applyAlignment="1">
      <alignment/>
    </xf>
    <xf numFmtId="201" fontId="92" fillId="48" borderId="0" xfId="0" applyNumberFormat="1" applyFont="1" applyFill="1" applyAlignment="1">
      <alignment/>
    </xf>
    <xf numFmtId="209" fontId="92" fillId="47" borderId="0" xfId="0" applyNumberFormat="1" applyFont="1" applyFill="1" applyAlignment="1">
      <alignment/>
    </xf>
    <xf numFmtId="180" fontId="92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194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3" fontId="6" fillId="48" borderId="27" xfId="300" applyNumberFormat="1" applyFont="1" applyFill="1" applyBorder="1" applyAlignment="1">
      <alignment horizontal="right" vertical="center" indent="2"/>
    </xf>
    <xf numFmtId="3" fontId="6" fillId="48" borderId="22" xfId="300" applyNumberFormat="1" applyFont="1" applyFill="1" applyBorder="1" applyAlignment="1">
      <alignment horizontal="right" vertical="center" indent="2"/>
    </xf>
    <xf numFmtId="3" fontId="33" fillId="48" borderId="27" xfId="300" applyNumberFormat="1" applyFont="1" applyFill="1" applyBorder="1" applyAlignment="1">
      <alignment horizontal="right" vertical="center" indent="2"/>
    </xf>
    <xf numFmtId="3" fontId="8" fillId="48" borderId="27" xfId="300" applyNumberFormat="1" applyFont="1" applyFill="1" applyBorder="1" applyAlignment="1">
      <alignment horizontal="right" vertical="center" indent="2"/>
    </xf>
    <xf numFmtId="3" fontId="8" fillId="48" borderId="22" xfId="300" applyNumberFormat="1" applyFont="1" applyFill="1" applyBorder="1" applyAlignment="1">
      <alignment horizontal="right" vertical="center" indent="2"/>
    </xf>
    <xf numFmtId="3" fontId="11" fillId="48" borderId="27" xfId="300" applyNumberFormat="1" applyFont="1" applyFill="1" applyBorder="1" applyAlignment="1">
      <alignment horizontal="right" vertical="center" indent="2"/>
    </xf>
    <xf numFmtId="3" fontId="11" fillId="48" borderId="22" xfId="300" applyNumberFormat="1" applyFont="1" applyFill="1" applyBorder="1" applyAlignment="1">
      <alignment horizontal="right" vertical="center" indent="2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3" fontId="5" fillId="48" borderId="22" xfId="300" applyNumberFormat="1" applyFont="1" applyFill="1" applyBorder="1" applyAlignment="1">
      <alignment horizontal="right" vertical="center" indent="2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6" fontId="77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4" fontId="92" fillId="48" borderId="0" xfId="0" applyNumberFormat="1" applyFont="1" applyFill="1" applyAlignment="1">
      <alignment/>
    </xf>
    <xf numFmtId="0" fontId="94" fillId="48" borderId="0" xfId="0" applyFont="1" applyFill="1" applyAlignment="1">
      <alignment/>
    </xf>
    <xf numFmtId="206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3" fontId="8" fillId="48" borderId="0" xfId="300" applyNumberFormat="1" applyFont="1" applyFill="1" applyBorder="1" applyAlignment="1">
      <alignment horizontal="right" vertical="center" indent="2"/>
    </xf>
    <xf numFmtId="3" fontId="11" fillId="48" borderId="0" xfId="300" applyNumberFormat="1" applyFont="1" applyFill="1" applyBorder="1" applyAlignment="1">
      <alignment horizontal="right" vertical="center" indent="2"/>
    </xf>
    <xf numFmtId="3" fontId="11" fillId="48" borderId="38" xfId="300" applyNumberFormat="1" applyFont="1" applyFill="1" applyBorder="1" applyAlignment="1">
      <alignment horizontal="right" vertical="center" indent="2"/>
    </xf>
    <xf numFmtId="3" fontId="8" fillId="48" borderId="37" xfId="300" applyNumberFormat="1" applyFont="1" applyFill="1" applyBorder="1" applyAlignment="1">
      <alignment horizontal="right" vertical="center" indent="2"/>
    </xf>
    <xf numFmtId="3" fontId="8" fillId="48" borderId="23" xfId="300" applyNumberFormat="1" applyFont="1" applyFill="1" applyBorder="1" applyAlignment="1">
      <alignment horizontal="right" vertical="center" indent="2"/>
    </xf>
    <xf numFmtId="206" fontId="92" fillId="48" borderId="0" xfId="0" applyNumberFormat="1" applyFont="1" applyFill="1" applyAlignment="1">
      <alignment/>
    </xf>
    <xf numFmtId="174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213" fontId="6" fillId="48" borderId="22" xfId="300" applyNumberFormat="1" applyFont="1" applyFill="1" applyBorder="1" applyAlignment="1">
      <alignment horizontal="right" vertical="center" indent="1"/>
    </xf>
    <xf numFmtId="213" fontId="11" fillId="48" borderId="22" xfId="300" applyNumberFormat="1" applyFont="1" applyFill="1" applyBorder="1" applyAlignment="1">
      <alignment horizontal="right" vertical="center" indent="1"/>
    </xf>
    <xf numFmtId="213" fontId="8" fillId="48" borderId="22" xfId="300" applyNumberFormat="1" applyFont="1" applyFill="1" applyBorder="1" applyAlignment="1">
      <alignment horizontal="right" vertical="center" indent="1"/>
    </xf>
    <xf numFmtId="213" fontId="0" fillId="48" borderId="22" xfId="300" applyNumberFormat="1" applyFont="1" applyFill="1" applyBorder="1" applyAlignment="1">
      <alignment horizontal="right" vertical="center" indent="1"/>
    </xf>
    <xf numFmtId="213" fontId="33" fillId="48" borderId="22" xfId="300" applyNumberFormat="1" applyFont="1" applyFill="1" applyBorder="1" applyAlignment="1">
      <alignment horizontal="right" vertical="center" indent="1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6" fillId="48" borderId="23" xfId="323" applyFont="1" applyFill="1" applyBorder="1" applyAlignment="1">
      <alignment horizontal="center" vertical="center"/>
      <protection/>
    </xf>
    <xf numFmtId="0" fontId="0" fillId="48" borderId="22" xfId="0" applyFont="1" applyFill="1" applyBorder="1" applyAlignment="1">
      <alignment horizontal="left" vertical="center" indent="3"/>
    </xf>
    <xf numFmtId="0" fontId="6" fillId="48" borderId="39" xfId="0" applyFont="1" applyFill="1" applyBorder="1" applyAlignment="1">
      <alignment horizontal="left" vertical="center" indent="10"/>
    </xf>
    <xf numFmtId="0" fontId="6" fillId="48" borderId="40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7" fillId="47" borderId="34" xfId="323" applyFont="1" applyFill="1" applyBorder="1">
      <alignment/>
      <protection/>
    </xf>
    <xf numFmtId="37" fontId="33" fillId="47" borderId="27" xfId="300" applyNumberFormat="1" applyFont="1" applyFill="1" applyBorder="1" applyAlignment="1">
      <alignment horizontal="right" vertical="center" wrapText="1" indent="1"/>
    </xf>
    <xf numFmtId="37" fontId="8" fillId="47" borderId="26" xfId="300" applyNumberFormat="1" applyFont="1" applyFill="1" applyBorder="1" applyAlignment="1">
      <alignment horizontal="right" vertical="center" wrapText="1" indent="1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6" fillId="47" borderId="41" xfId="323" applyFont="1" applyFill="1" applyBorder="1" applyAlignment="1">
      <alignment horizontal="center" vertical="center"/>
      <protection/>
    </xf>
    <xf numFmtId="0" fontId="7" fillId="47" borderId="42" xfId="323" applyFont="1" applyFill="1" applyBorder="1">
      <alignment/>
      <protection/>
    </xf>
    <xf numFmtId="0" fontId="7" fillId="47" borderId="43" xfId="323" applyFont="1" applyFill="1" applyBorder="1">
      <alignment/>
      <protection/>
    </xf>
    <xf numFmtId="37" fontId="33" fillId="47" borderId="44" xfId="300" applyNumberFormat="1" applyFont="1" applyFill="1" applyBorder="1" applyAlignment="1">
      <alignment horizontal="right" vertical="center" wrapText="1" indent="1"/>
    </xf>
    <xf numFmtId="37" fontId="33" fillId="47" borderId="45" xfId="300" applyNumberFormat="1" applyFont="1" applyFill="1" applyBorder="1" applyAlignment="1">
      <alignment horizontal="right" vertical="center" wrapText="1" indent="1"/>
    </xf>
    <xf numFmtId="37" fontId="8" fillId="47" borderId="46" xfId="300" applyNumberFormat="1" applyFont="1" applyFill="1" applyBorder="1" applyAlignment="1">
      <alignment horizontal="right" vertical="center" wrapText="1" indent="1"/>
    </xf>
    <xf numFmtId="37" fontId="8" fillId="47" borderId="41" xfId="300" applyNumberFormat="1" applyFont="1" applyFill="1" applyBorder="1" applyAlignment="1">
      <alignment horizontal="right" vertical="center" wrapText="1" indent="1"/>
    </xf>
    <xf numFmtId="0" fontId="6" fillId="47" borderId="47" xfId="323" applyFont="1" applyFill="1" applyBorder="1" applyAlignment="1">
      <alignment vertical="center" wrapText="1"/>
      <protection/>
    </xf>
    <xf numFmtId="0" fontId="6" fillId="47" borderId="48" xfId="323" applyFont="1" applyFill="1" applyBorder="1" applyAlignment="1">
      <alignment vertical="center" wrapText="1"/>
      <protection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0" fontId="44" fillId="48" borderId="31" xfId="331" applyFont="1" applyFill="1" applyBorder="1" applyAlignment="1">
      <alignment horizontal="center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5" xfId="307" applyNumberFormat="1" applyFont="1" applyFill="1" applyBorder="1" applyAlignment="1">
      <alignment vertical="center"/>
    </xf>
    <xf numFmtId="173" fontId="44" fillId="48" borderId="31" xfId="331" applyNumberFormat="1" applyFont="1" applyFill="1" applyBorder="1" applyAlignment="1">
      <alignment horizontal="right" vertical="center" indent="2"/>
      <protection/>
    </xf>
    <xf numFmtId="173" fontId="0" fillId="48" borderId="31" xfId="350" applyNumberFormat="1" applyFont="1" applyFill="1" applyBorder="1" applyAlignment="1">
      <alignment horizontal="right" vertical="center" indent="1"/>
    </xf>
    <xf numFmtId="173" fontId="3" fillId="48" borderId="33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31" xfId="331" applyFont="1" applyFill="1" applyBorder="1" applyAlignment="1">
      <alignment horizontal="right" vertical="center" indent="2"/>
      <protection/>
    </xf>
    <xf numFmtId="0" fontId="3" fillId="48" borderId="3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6" fillId="48" borderId="26" xfId="323" applyFont="1" applyFill="1" applyBorder="1" applyAlignment="1">
      <alignment horizontal="center" vertical="center"/>
      <protection/>
    </xf>
    <xf numFmtId="0" fontId="8" fillId="48" borderId="0" xfId="0" applyFont="1" applyFill="1" applyBorder="1" applyAlignment="1">
      <alignment horizontal="left" vertical="center" indent="1"/>
    </xf>
    <xf numFmtId="206" fontId="0" fillId="48" borderId="0" xfId="300" applyNumberFormat="1" applyFont="1" applyFill="1" applyBorder="1" applyAlignment="1">
      <alignment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37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37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37" xfId="323" applyFont="1" applyFill="1" applyBorder="1" applyAlignment="1">
      <alignment horizontal="center" vertical="center"/>
      <protection/>
    </xf>
    <xf numFmtId="215" fontId="92" fillId="48" borderId="0" xfId="0" applyNumberFormat="1" applyFont="1" applyFill="1" applyAlignment="1">
      <alignment/>
    </xf>
    <xf numFmtId="217" fontId="0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213" fontId="8" fillId="0" borderId="22" xfId="300" applyNumberFormat="1" applyFont="1" applyFill="1" applyBorder="1" applyAlignment="1">
      <alignment horizontal="right" vertical="center" indent="1"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9" xfId="323" applyFont="1" applyFill="1" applyBorder="1" applyAlignment="1">
      <alignment horizontal="center" vertical="center"/>
      <protection/>
    </xf>
    <xf numFmtId="0" fontId="7" fillId="47" borderId="50" xfId="323" applyFont="1" applyFill="1" applyBorder="1">
      <alignment/>
      <protection/>
    </xf>
    <xf numFmtId="37" fontId="33" fillId="47" borderId="51" xfId="300" applyNumberFormat="1" applyFont="1" applyFill="1" applyBorder="1" applyAlignment="1">
      <alignment horizontal="right" vertical="center" wrapText="1" indent="1"/>
    </xf>
    <xf numFmtId="37" fontId="8" fillId="47" borderId="49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3" fontId="8" fillId="48" borderId="19" xfId="0" applyNumberFormat="1" applyFont="1" applyFill="1" applyBorder="1" applyAlignment="1">
      <alignment horizontal="left" vertical="center" indent="3"/>
    </xf>
    <xf numFmtId="0" fontId="8" fillId="48" borderId="0" xfId="0" applyFont="1" applyFill="1" applyBorder="1" applyAlignment="1">
      <alignment/>
    </xf>
    <xf numFmtId="0" fontId="8" fillId="48" borderId="19" xfId="323" applyFont="1" applyFill="1" applyBorder="1" applyAlignment="1">
      <alignment horizontal="left" vertical="center" indent="3"/>
      <protection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14" fontId="0" fillId="47" borderId="0" xfId="0" applyNumberFormat="1" applyFont="1" applyFill="1" applyAlignment="1">
      <alignment horizontal="left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7" fillId="48" borderId="0" xfId="0" applyNumberFormat="1" applyFont="1" applyFill="1" applyAlignment="1">
      <alignment horizontal="center" vertical="center" wrapTex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3" fillId="48" borderId="52" xfId="331" applyFont="1" applyFill="1" applyBorder="1" applyAlignment="1">
      <alignment horizontal="center" vertical="center"/>
      <protection/>
    </xf>
    <xf numFmtId="0" fontId="3" fillId="48" borderId="53" xfId="331" applyFont="1" applyFill="1" applyBorder="1" applyAlignment="1">
      <alignment horizontal="center" vertical="center"/>
      <protection/>
    </xf>
    <xf numFmtId="0" fontId="3" fillId="48" borderId="54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37" fontId="6" fillId="47" borderId="43" xfId="300" applyNumberFormat="1" applyFont="1" applyFill="1" applyBorder="1" applyAlignment="1">
      <alignment horizontal="right" vertical="center" wrapText="1" indent="1"/>
    </xf>
    <xf numFmtId="37" fontId="6" fillId="47" borderId="41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7" borderId="55" xfId="323" applyFont="1" applyFill="1" applyBorder="1" applyAlignment="1">
      <alignment horizontal="center" vertical="center"/>
      <protection/>
    </xf>
    <xf numFmtId="0" fontId="6" fillId="47" borderId="46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5" xfId="300" applyNumberFormat="1" applyFont="1" applyFill="1" applyBorder="1" applyAlignment="1">
      <alignment horizontal="right" vertical="center" wrapText="1" indent="2"/>
    </xf>
    <xf numFmtId="37" fontId="6" fillId="48" borderId="37" xfId="300" applyNumberFormat="1" applyFont="1" applyFill="1" applyBorder="1" applyAlignment="1">
      <alignment horizontal="right" vertical="center" wrapText="1" indent="2"/>
    </xf>
    <xf numFmtId="37" fontId="6" fillId="47" borderId="25" xfId="300" applyNumberFormat="1" applyFont="1" applyFill="1" applyBorder="1" applyAlignment="1">
      <alignment horizontal="right" vertical="center" wrapText="1" indent="1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20" xfId="300" applyNumberFormat="1" applyFont="1" applyFill="1" applyBorder="1" applyAlignment="1">
      <alignment horizontal="right" vertical="center" wrapText="1" indent="1"/>
    </xf>
    <xf numFmtId="37" fontId="6" fillId="47" borderId="24" xfId="300" applyNumberFormat="1" applyFont="1" applyFill="1" applyBorder="1" applyAlignment="1">
      <alignment horizontal="right" vertical="center" wrapText="1" indent="1"/>
    </xf>
    <xf numFmtId="37" fontId="6" fillId="47" borderId="50" xfId="300" applyNumberFormat="1" applyFont="1" applyFill="1" applyBorder="1" applyAlignment="1">
      <alignment horizontal="right" vertical="center" wrapText="1" indent="1"/>
    </xf>
    <xf numFmtId="37" fontId="6" fillId="47" borderId="49" xfId="300" applyNumberFormat="1" applyFont="1" applyFill="1" applyBorder="1" applyAlignment="1">
      <alignment horizontal="right" vertical="center" wrapText="1" indent="1"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37" fontId="6" fillId="47" borderId="42" xfId="300" applyNumberFormat="1" applyFont="1" applyFill="1" applyBorder="1" applyAlignment="1">
      <alignment horizontal="right" vertical="center" wrapText="1" indent="1"/>
    </xf>
    <xf numFmtId="37" fontId="6" fillId="47" borderId="46" xfId="300" applyNumberFormat="1" applyFont="1" applyFill="1" applyBorder="1" applyAlignment="1">
      <alignment horizontal="right" vertical="center" wrapText="1" indent="1"/>
    </xf>
    <xf numFmtId="0" fontId="6" fillId="47" borderId="56" xfId="323" applyFont="1" applyFill="1" applyBorder="1" applyAlignment="1">
      <alignment horizontal="center" vertical="center" wrapText="1"/>
      <protection/>
    </xf>
    <xf numFmtId="0" fontId="6" fillId="47" borderId="47" xfId="323" applyFont="1" applyFill="1" applyBorder="1" applyAlignment="1">
      <alignment horizontal="center" vertical="center" wrapText="1"/>
      <protection/>
    </xf>
    <xf numFmtId="0" fontId="6" fillId="47" borderId="48" xfId="323" applyFont="1" applyFill="1" applyBorder="1" applyAlignment="1">
      <alignment horizontal="center" vertical="center" wrapText="1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37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11" fillId="48" borderId="57" xfId="0" applyFont="1" applyFill="1" applyBorder="1" applyAlignment="1">
      <alignment horizontal="center" vertical="center" wrapText="1"/>
    </xf>
    <xf numFmtId="0" fontId="11" fillId="48" borderId="58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2"/>
    </xf>
    <xf numFmtId="38" fontId="6" fillId="48" borderId="23" xfId="300" applyNumberFormat="1" applyFont="1" applyFill="1" applyBorder="1" applyAlignment="1">
      <alignment horizontal="right" vertical="center" indent="2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2"/>
    </xf>
    <xf numFmtId="3" fontId="6" fillId="48" borderId="23" xfId="300" applyNumberFormat="1" applyFont="1" applyFill="1" applyBorder="1" applyAlignment="1">
      <alignment horizontal="right" vertical="center" indent="2"/>
    </xf>
    <xf numFmtId="0" fontId="11" fillId="48" borderId="59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2"/>
    </xf>
    <xf numFmtId="3" fontId="6" fillId="48" borderId="37" xfId="300" applyNumberFormat="1" applyFont="1" applyFill="1" applyBorder="1" applyAlignment="1">
      <alignment horizontal="right" vertical="center" indent="2"/>
    </xf>
    <xf numFmtId="0" fontId="11" fillId="48" borderId="0" xfId="0" applyFont="1" applyFill="1" applyBorder="1" applyAlignment="1">
      <alignment horizontal="left" vertical="center" wrapText="1"/>
    </xf>
    <xf numFmtId="0" fontId="6" fillId="48" borderId="57" xfId="0" applyFont="1" applyFill="1" applyBorder="1" applyAlignment="1">
      <alignment horizontal="center" vertical="center" wrapText="1"/>
    </xf>
    <xf numFmtId="0" fontId="6" fillId="48" borderId="58" xfId="0" applyFont="1" applyFill="1" applyBorder="1" applyAlignment="1">
      <alignment horizontal="center" vertical="center" wrapText="1"/>
    </xf>
    <xf numFmtId="0" fontId="11" fillId="48" borderId="60" xfId="0" applyFont="1" applyFill="1" applyBorder="1" applyAlignment="1">
      <alignment horizontal="center" vertical="center" wrapText="1"/>
    </xf>
    <xf numFmtId="0" fontId="11" fillId="48" borderId="61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2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2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213" fontId="6" fillId="48" borderId="21" xfId="300" applyNumberFormat="1" applyFont="1" applyFill="1" applyBorder="1" applyAlignment="1">
      <alignment horizontal="right" vertical="center" indent="1"/>
    </xf>
    <xf numFmtId="213" fontId="6" fillId="48" borderId="23" xfId="300" applyNumberFormat="1" applyFont="1" applyFill="1" applyBorder="1" applyAlignment="1">
      <alignment horizontal="right" vertical="center" indent="1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5886.871283129999</c:v>
                </c:pt>
                <c:pt idx="1">
                  <c:v>2606.5523488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4672.41240689</c:v>
                </c:pt>
                <c:pt idx="1">
                  <c:v>3821.0112250399998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7802.2333731</c:v>
                </c:pt>
                <c:pt idx="1">
                  <c:v>691.1902588299997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2469.3058034200003</c:v>
                </c:pt>
                <c:pt idx="1">
                  <c:v>6024.1178285099995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6024.1178285099995</c:v>
                </c:pt>
                <c:pt idx="1">
                  <c:v>959.6134404000001</c:v>
                </c:pt>
                <c:pt idx="2">
                  <c:v>1076.58223963</c:v>
                </c:pt>
                <c:pt idx="3">
                  <c:v>36.91020624</c:v>
                </c:pt>
                <c:pt idx="4">
                  <c:v>396.19991715000003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7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Resumen!$G$20:$G$24</c:f>
              <c:strCache>
                <c:ptCount val="5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Franco Suizo</c:v>
                </c:pt>
                <c:pt idx="4">
                  <c:v>Euros</c:v>
                </c:pt>
              </c:strCache>
            </c:strRef>
          </c:cat>
          <c:val>
            <c:numRef>
              <c:f>Resumen!$H$20:$H$24</c:f>
              <c:numCache>
                <c:ptCount val="5"/>
                <c:pt idx="0">
                  <c:v>5542.025557399999</c:v>
                </c:pt>
                <c:pt idx="1">
                  <c:v>1932.73119265</c:v>
                </c:pt>
                <c:pt idx="2">
                  <c:v>573.0240250099998</c:v>
                </c:pt>
                <c:pt idx="3">
                  <c:v>265.42257866</c:v>
                </c:pt>
                <c:pt idx="4">
                  <c:v>180.22027820999995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55"/>
          <c:y val="0.12375"/>
          <c:w val="0.758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'DEP-C1'!$C$12:$AG$13</c:f>
              <c:multiLvlStrCache/>
            </c:multiLvlStrRef>
          </c:cat>
          <c:val>
            <c:numRef>
              <c:f>'DEP-C1'!$C$15:$AG$15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'DEP-C1'!$C$12:$AG$13</c:f>
              <c:multiLvlStrCache/>
            </c:multiLvlStrRef>
          </c:cat>
          <c:val>
            <c:numRef>
              <c:f>'DEP-C1'!$C$16:$AG$16</c:f>
              <c:numCache/>
            </c:numRef>
          </c:val>
        </c:ser>
        <c:axId val="17850527"/>
        <c:axId val="26437016"/>
      </c:barChart>
      <c:catAx>
        <c:axId val="1785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7016"/>
        <c:crosses val="autoZero"/>
        <c:auto val="1"/>
        <c:lblOffset val="100"/>
        <c:tickLblSkip val="1"/>
        <c:noMultiLvlLbl val="0"/>
      </c:catAx>
      <c:valAx>
        <c:axId val="26437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0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48875"/>
          <c:w val="0.1927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72017.xls#Indice!B6" /><Relationship Id="rId4" Type="http://schemas.openxmlformats.org/officeDocument/2006/relationships/hyperlink" Target="#Reporte_Deuda_Empresas_SG_31072017.xls#Indice!B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72017.xls#Indice!B6" /><Relationship Id="rId4" Type="http://schemas.openxmlformats.org/officeDocument/2006/relationships/hyperlink" Target="#Reporte_Deuda_Empresas_SG_31072017.xls#Indice!B6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72017.xls#Indice!B6" /><Relationship Id="rId4" Type="http://schemas.openxmlformats.org/officeDocument/2006/relationships/hyperlink" Target="#Reporte_Deuda_Empresas_SG_31072017.xls#Indice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72017.xls#Indice!B6" /><Relationship Id="rId4" Type="http://schemas.openxmlformats.org/officeDocument/2006/relationships/hyperlink" Target="#Reporte_Deuda_Empresas_SG_31072017.xls#Indice!B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72017.xls#Indice!B6" /><Relationship Id="rId4" Type="http://schemas.openxmlformats.org/officeDocument/2006/relationships/hyperlink" Target="#Reporte_Deuda_Empresas_SG_31072017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Reporte_Deuda_Empresas_SG_31072017.xls#Indice!B6" /><Relationship Id="rId10" Type="http://schemas.openxmlformats.org/officeDocument/2006/relationships/hyperlink" Target="#Reporte_Deuda_Empresas_SG_31072017.xls#Indice!B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72017.xls#Indice!B6" /><Relationship Id="rId4" Type="http://schemas.openxmlformats.org/officeDocument/2006/relationships/hyperlink" Target="#Reporte_Deuda_Empresas_SG_31072017.xls#Indice!B6" /><Relationship Id="rId5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72017.xls#Indice!B6" /><Relationship Id="rId4" Type="http://schemas.openxmlformats.org/officeDocument/2006/relationships/hyperlink" Target="#Reporte_Deuda_Empresas_SG_31072017.xls#Indice!B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72017.xls#Indice!B6" /><Relationship Id="rId4" Type="http://schemas.openxmlformats.org/officeDocument/2006/relationships/hyperlink" Target="#Reporte_Deuda_Empresas_SG_31072017.xls#Indice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72017.xls#Indice!B6" /><Relationship Id="rId4" Type="http://schemas.openxmlformats.org/officeDocument/2006/relationships/hyperlink" Target="#Reporte_Deuda_Empresas_SG_31072017.xls#Indice!B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72017.xls#Indice!B6" /><Relationship Id="rId4" Type="http://schemas.openxmlformats.org/officeDocument/2006/relationships/hyperlink" Target="#Reporte_Deuda_Empresas_SG_31072017.xls#Indice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857250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7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5829300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582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6038850</xdr:colOff>
      <xdr:row>0</xdr:row>
      <xdr:rowOff>133350</xdr:rowOff>
    </xdr:from>
    <xdr:to>
      <xdr:col>1</xdr:col>
      <xdr:colOff>6438900</xdr:colOff>
      <xdr:row>2</xdr:row>
      <xdr:rowOff>152400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33350"/>
          <a:ext cx="4000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609600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772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0</xdr:row>
      <xdr:rowOff>104775</xdr:rowOff>
    </xdr:from>
    <xdr:to>
      <xdr:col>3</xdr:col>
      <xdr:colOff>1171575</xdr:colOff>
      <xdr:row>1</xdr:row>
      <xdr:rowOff>190500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104775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5962650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5943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6076950</xdr:colOff>
      <xdr:row>0</xdr:row>
      <xdr:rowOff>95250</xdr:rowOff>
    </xdr:from>
    <xdr:to>
      <xdr:col>1</xdr:col>
      <xdr:colOff>6477000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95250"/>
          <a:ext cx="4000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85725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540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76200</xdr:rowOff>
    </xdr:from>
    <xdr:to>
      <xdr:col>6</xdr:col>
      <xdr:colOff>695325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76200"/>
          <a:ext cx="4095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4</xdr:col>
      <xdr:colOff>609600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486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0</xdr:row>
      <xdr:rowOff>104775</xdr:rowOff>
    </xdr:from>
    <xdr:to>
      <xdr:col>6</xdr:col>
      <xdr:colOff>257175</xdr:colOff>
      <xdr:row>2</xdr:row>
      <xdr:rowOff>152400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04775"/>
          <a:ext cx="4286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1133475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705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2" name="2 Gráfico"/>
        <xdr:cNvGraphicFramePr/>
      </xdr:nvGraphicFramePr>
      <xdr:xfrm>
        <a:off x="190500" y="218122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161925" y="8439150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4" name="1 Gráfico"/>
        <xdr:cNvGraphicFramePr/>
      </xdr:nvGraphicFramePr>
      <xdr:xfrm>
        <a:off x="4772025" y="8410575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5" name="2 Gráfico"/>
        <xdr:cNvGraphicFramePr/>
      </xdr:nvGraphicFramePr>
      <xdr:xfrm>
        <a:off x="4810125" y="218122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6" name="1 Gráfico"/>
        <xdr:cNvGraphicFramePr/>
      </xdr:nvGraphicFramePr>
      <xdr:xfrm>
        <a:off x="171450" y="5276850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7" name="1 Gráfico"/>
        <xdr:cNvGraphicFramePr/>
      </xdr:nvGraphicFramePr>
      <xdr:xfrm>
        <a:off x="4772025" y="527685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5</xdr:col>
      <xdr:colOff>1238250</xdr:colOff>
      <xdr:row>0</xdr:row>
      <xdr:rowOff>38100</xdr:rowOff>
    </xdr:from>
    <xdr:to>
      <xdr:col>6</xdr:col>
      <xdr:colOff>314325</xdr:colOff>
      <xdr:row>2</xdr:row>
      <xdr:rowOff>76200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10275" y="3810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5</xdr:col>
      <xdr:colOff>733425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78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0</xdr:row>
      <xdr:rowOff>161925</xdr:rowOff>
    </xdr:from>
    <xdr:to>
      <xdr:col>17</xdr:col>
      <xdr:colOff>295275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61925"/>
          <a:ext cx="4191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219075</xdr:colOff>
      <xdr:row>21</xdr:row>
      <xdr:rowOff>38100</xdr:rowOff>
    </xdr:from>
    <xdr:to>
      <xdr:col>22</xdr:col>
      <xdr:colOff>0</xdr:colOff>
      <xdr:row>45</xdr:row>
      <xdr:rowOff>28575</xdr:rowOff>
    </xdr:to>
    <xdr:graphicFrame>
      <xdr:nvGraphicFramePr>
        <xdr:cNvPr id="3" name="7 Gráfico"/>
        <xdr:cNvGraphicFramePr/>
      </xdr:nvGraphicFramePr>
      <xdr:xfrm>
        <a:off x="2609850" y="4038600"/>
        <a:ext cx="7943850" cy="4314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1047750</xdr:colOff>
      <xdr:row>0</xdr:row>
      <xdr:rowOff>66675</xdr:rowOff>
    </xdr:from>
    <xdr:to>
      <xdr:col>4</xdr:col>
      <xdr:colOff>142875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66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695325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724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0</xdr:row>
      <xdr:rowOff>104775</xdr:rowOff>
    </xdr:from>
    <xdr:to>
      <xdr:col>3</xdr:col>
      <xdr:colOff>1247775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104775"/>
          <a:ext cx="4000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19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0</xdr:row>
      <xdr:rowOff>76200</xdr:rowOff>
    </xdr:from>
    <xdr:to>
      <xdr:col>2</xdr:col>
      <xdr:colOff>1123950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76200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428625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20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76200</xdr:rowOff>
    </xdr:from>
    <xdr:to>
      <xdr:col>3</xdr:col>
      <xdr:colOff>933450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762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\cmaguina\CONFIG~1\Temp\_Consultor\Consultoria%20DNEP%20Walter\Informes%20Pagos\2009\Informe%2011\Trimestre%20III\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5"/>
      <c r="C4" s="135"/>
      <c r="D4" s="232"/>
    </row>
    <row r="5" spans="2:4" s="4" customFormat="1" ht="12.75" customHeight="1">
      <c r="B5" s="135"/>
      <c r="C5" s="135"/>
      <c r="D5" s="135"/>
    </row>
    <row r="6" spans="2:7" s="4" customFormat="1" ht="24.75" customHeight="1">
      <c r="B6" s="503" t="str">
        <f>+Portada!$B$6</f>
        <v>DEUDA DE LAS EMPRESAS PÚBLICAS</v>
      </c>
      <c r="C6" s="503"/>
      <c r="D6" s="503"/>
      <c r="E6" s="503"/>
      <c r="F6" s="503"/>
      <c r="G6" s="503"/>
    </row>
    <row r="7" spans="2:7" s="4" customFormat="1" ht="24.75" customHeight="1">
      <c r="B7" s="504" t="s">
        <v>249</v>
      </c>
      <c r="C7" s="504"/>
      <c r="D7" s="504"/>
      <c r="E7" s="504"/>
      <c r="F7" s="504"/>
      <c r="G7" s="504"/>
    </row>
    <row r="8" spans="2:5" s="4" customFormat="1" ht="15.75" customHeight="1">
      <c r="B8" s="260"/>
      <c r="C8" s="260"/>
      <c r="D8" s="260"/>
      <c r="E8" s="135"/>
    </row>
    <row r="9" spans="2:5" ht="19.5" customHeight="1">
      <c r="B9" s="89"/>
      <c r="C9" s="89"/>
      <c r="D9" s="454" t="s">
        <v>68</v>
      </c>
      <c r="E9" s="89"/>
    </row>
    <row r="10" spans="2:5" s="7" customFormat="1" ht="19.5" customHeight="1">
      <c r="B10" s="192"/>
      <c r="C10" s="192"/>
      <c r="D10" s="454" t="s">
        <v>182</v>
      </c>
      <c r="E10" s="71"/>
    </row>
    <row r="11" spans="2:5" s="7" customFormat="1" ht="19.5" customHeight="1">
      <c r="B11" s="193"/>
      <c r="C11" s="192"/>
      <c r="D11" s="454" t="s">
        <v>183</v>
      </c>
      <c r="E11" s="71"/>
    </row>
    <row r="12" spans="2:5" s="7" customFormat="1" ht="9.75" customHeight="1">
      <c r="B12" s="193"/>
      <c r="C12" s="192"/>
      <c r="D12" s="333"/>
      <c r="E12" s="71"/>
    </row>
    <row r="13" spans="2:8" s="7" customFormat="1" ht="19.5" customHeight="1">
      <c r="B13" s="192" t="s">
        <v>11</v>
      </c>
      <c r="C13" s="192" t="s">
        <v>8</v>
      </c>
      <c r="D13" s="502" t="s">
        <v>234</v>
      </c>
      <c r="E13" s="502"/>
      <c r="F13" s="502"/>
      <c r="G13" s="502"/>
      <c r="H13" s="502"/>
    </row>
    <row r="14" spans="2:6" s="7" customFormat="1" ht="19.5" customHeight="1">
      <c r="B14" s="192" t="s">
        <v>12</v>
      </c>
      <c r="C14" s="192" t="s">
        <v>8</v>
      </c>
      <c r="D14" s="502" t="s">
        <v>156</v>
      </c>
      <c r="E14" s="502"/>
      <c r="F14" s="502"/>
    </row>
    <row r="15" spans="2:6" s="7" customFormat="1" ht="19.5" customHeight="1">
      <c r="B15" s="192" t="s">
        <v>13</v>
      </c>
      <c r="C15" s="192" t="s">
        <v>8</v>
      </c>
      <c r="D15" s="505" t="s">
        <v>37</v>
      </c>
      <c r="E15" s="505"/>
      <c r="F15" s="505"/>
    </row>
    <row r="16" spans="2:6" s="7" customFormat="1" ht="19.5" customHeight="1">
      <c r="B16" s="192" t="s">
        <v>14</v>
      </c>
      <c r="C16" s="192" t="s">
        <v>8</v>
      </c>
      <c r="D16" s="505" t="s">
        <v>32</v>
      </c>
      <c r="E16" s="505"/>
      <c r="F16" s="505"/>
    </row>
    <row r="17" spans="2:6" s="7" customFormat="1" ht="19.5" customHeight="1">
      <c r="B17" s="192" t="s">
        <v>93</v>
      </c>
      <c r="C17" s="192" t="s">
        <v>8</v>
      </c>
      <c r="D17" s="505" t="s">
        <v>1</v>
      </c>
      <c r="E17" s="505"/>
      <c r="F17" s="505"/>
    </row>
    <row r="18" spans="2:6" s="7" customFormat="1" ht="19.5" customHeight="1">
      <c r="B18" s="192" t="s">
        <v>60</v>
      </c>
      <c r="C18" s="192" t="s">
        <v>8</v>
      </c>
      <c r="D18" s="505" t="s">
        <v>58</v>
      </c>
      <c r="E18" s="505"/>
      <c r="F18" s="505"/>
    </row>
    <row r="19" spans="2:6" s="7" customFormat="1" ht="19.5" customHeight="1">
      <c r="B19" s="192" t="s">
        <v>15</v>
      </c>
      <c r="C19" s="192" t="s">
        <v>8</v>
      </c>
      <c r="D19" s="505" t="s">
        <v>107</v>
      </c>
      <c r="E19" s="505"/>
      <c r="F19" s="505"/>
    </row>
    <row r="20" spans="2:6" s="7" customFormat="1" ht="19.5" customHeight="1">
      <c r="B20" s="192" t="s">
        <v>16</v>
      </c>
      <c r="C20" s="192" t="s">
        <v>8</v>
      </c>
      <c r="D20" s="505" t="s">
        <v>59</v>
      </c>
      <c r="E20" s="505"/>
      <c r="F20" s="505"/>
    </row>
    <row r="21" spans="2:5" ht="15">
      <c r="B21" s="89"/>
      <c r="C21" s="89"/>
      <c r="D21" s="194"/>
      <c r="E21" s="89"/>
    </row>
    <row r="22" spans="2:5" ht="12.75">
      <c r="B22" s="89"/>
      <c r="C22" s="89"/>
      <c r="D22" s="195"/>
      <c r="E22" s="89"/>
    </row>
    <row r="23" spans="2:5" ht="12.75">
      <c r="B23" s="89"/>
      <c r="C23" s="89"/>
      <c r="D23" s="195"/>
      <c r="E23" s="89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072017.xls#Resumen!B5" display="CUADROS RESUMEN"/>
    <hyperlink ref="D11" location="Reporte_Deuda_Empresas_SG_31072017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072017.xls#Portada!B6" display="PORTADA"/>
    <hyperlink ref="D19" location="'Grupo Acreedor'!A1" display="POR GRUPO DEL ACREEDOR"/>
    <hyperlink ref="D14:F14" location="Reporte_Deuda_Empresas_SG_31072017.xls#'DEP-C2'!B5" display="POR TIPO DE DEUDA Y TIPO DE EMPRESA"/>
    <hyperlink ref="D16:F16" location="Reporte_Deuda_Empresas_SG_31072017.xls#'DEP-C4'!B5" display="POR TIPO DE EMPRESA Y ACREEDOR"/>
    <hyperlink ref="D15:F15" location="Reporte_Deuda_Empresas_SG_31072017.xls#'DEP-C3'!B5" display="POR TIPO DE MONEDA"/>
    <hyperlink ref="D17:F17" location="Reporte_Deuda_Empresas_SG_31072017.xls#'DEP-C5'!B5" display="POR GRUPO EMPRESARIAL DEL DEUDOR"/>
    <hyperlink ref="D18:F18" location="Reporte_Deuda_Empresas_SG_31072017.xls#'DEP-C6'!B5" display="POR GRUPO EMPRESARIAL Y ENTIDAD DEUDORA"/>
    <hyperlink ref="D20:F20" location="Reporte_Deuda_Empresas_SG_31072017.xls#'DEP-C8'!B5" display="POR TIPO DE CONCERTACIÓN Y TIPO DE EMPRESA"/>
    <hyperlink ref="D19:F19" location="Reporte_Deuda_Empresas_SG_31072017.xls#'DEP-C7'!B5" display="POR TIPO DE EMPRESA Y GRUPO DEL ACREEDOR "/>
    <hyperlink ref="D13:F13" r:id="rId1" display="EVOLUCIÓN DE LA DEUDA DE LAS EMPRESAS PÚBLICAS"/>
    <hyperlink ref="D13:H13" location="Reporte_Deuda_Empresas_SG_31072017.xls#'DEP-C1'!B5" display="EVOLUCIÓN DE LA DEUDA DE LAS EMPRESAS PÚBLICAS - POR TIPO DE DEUD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92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90" customWidth="1"/>
    <col min="2" max="2" width="106.8515625" style="90" customWidth="1"/>
    <col min="3" max="3" width="18.57421875" style="90" customWidth="1"/>
    <col min="4" max="5" width="20.7109375" style="90" customWidth="1"/>
    <col min="6" max="6" width="11.421875" style="89" customWidth="1"/>
    <col min="7" max="16384" width="11.421875" style="90" customWidth="1"/>
  </cols>
  <sheetData>
    <row r="1" spans="2:3" ht="12.75">
      <c r="B1" s="106"/>
      <c r="C1" s="106"/>
    </row>
    <row r="2" spans="2:3" ht="12.75">
      <c r="B2" s="106"/>
      <c r="C2" s="106"/>
    </row>
    <row r="3" spans="2:3" ht="12.75">
      <c r="B3" s="106"/>
      <c r="C3" s="106"/>
    </row>
    <row r="4" spans="2:3" ht="19.5" customHeight="1">
      <c r="B4" s="106"/>
      <c r="C4" s="106"/>
    </row>
    <row r="5" spans="2:5" ht="18">
      <c r="B5" s="134" t="s">
        <v>60</v>
      </c>
      <c r="C5" s="134"/>
      <c r="D5" s="134"/>
      <c r="E5" s="134"/>
    </row>
    <row r="6" spans="2:6" s="92" customFormat="1" ht="18.75">
      <c r="B6" s="337" t="s">
        <v>138</v>
      </c>
      <c r="C6" s="337"/>
      <c r="D6" s="337"/>
      <c r="E6" s="337"/>
      <c r="F6" s="91"/>
    </row>
    <row r="7" spans="2:6" s="92" customFormat="1" ht="18.75">
      <c r="B7" s="337" t="s">
        <v>137</v>
      </c>
      <c r="C7" s="337"/>
      <c r="D7" s="337"/>
      <c r="E7" s="275"/>
      <c r="F7" s="91"/>
    </row>
    <row r="8" spans="2:6" s="92" customFormat="1" ht="18.75">
      <c r="B8" s="363" t="s">
        <v>58</v>
      </c>
      <c r="C8" s="392"/>
      <c r="D8" s="392"/>
      <c r="E8" s="392"/>
      <c r="F8" s="91"/>
    </row>
    <row r="9" spans="2:6" s="92" customFormat="1" ht="18.75">
      <c r="B9" s="138" t="str">
        <f>+'DEP-C2'!B9</f>
        <v>Al 31 de julio de 2017</v>
      </c>
      <c r="C9" s="393"/>
      <c r="D9" s="280"/>
      <c r="E9" s="280"/>
      <c r="F9" s="334">
        <f>+Portada!H39</f>
        <v>3.242</v>
      </c>
    </row>
    <row r="10" spans="2:5" ht="9.75" customHeight="1">
      <c r="B10" s="573"/>
      <c r="C10" s="573"/>
      <c r="D10" s="573"/>
      <c r="E10" s="573"/>
    </row>
    <row r="11" spans="2:5" ht="18" customHeight="1">
      <c r="B11" s="571" t="s">
        <v>98</v>
      </c>
      <c r="C11" s="571" t="s">
        <v>26</v>
      </c>
      <c r="D11" s="576" t="s">
        <v>89</v>
      </c>
      <c r="E11" s="577" t="s">
        <v>168</v>
      </c>
    </row>
    <row r="12" spans="2:6" s="84" customFormat="1" ht="18" customHeight="1">
      <c r="B12" s="572"/>
      <c r="C12" s="572"/>
      <c r="D12" s="566"/>
      <c r="E12" s="578"/>
      <c r="F12" s="93"/>
    </row>
    <row r="13" spans="2:6" s="84" customFormat="1" ht="9.75" customHeight="1">
      <c r="B13" s="113"/>
      <c r="C13" s="278"/>
      <c r="D13" s="97"/>
      <c r="E13" s="281"/>
      <c r="F13" s="93"/>
    </row>
    <row r="14" spans="2:6" s="65" customFormat="1" ht="16.5" customHeight="1">
      <c r="B14" s="398" t="s">
        <v>235</v>
      </c>
      <c r="C14" s="399"/>
      <c r="D14" s="401">
        <f>SUM(D15:D28)</f>
        <v>5663385.266269998</v>
      </c>
      <c r="E14" s="370">
        <f>SUM(E15:E28)</f>
        <v>18360695.03324734</v>
      </c>
      <c r="F14" s="71"/>
    </row>
    <row r="15" spans="2:6" s="65" customFormat="1" ht="16.5" customHeight="1">
      <c r="B15" s="96" t="s">
        <v>228</v>
      </c>
      <c r="C15" s="86" t="s">
        <v>94</v>
      </c>
      <c r="D15" s="400">
        <v>2540524.84445</v>
      </c>
      <c r="E15" s="368">
        <f aca="true" t="shared" si="0" ref="E15:E28">ROUND(D15*$F$9,8)</f>
        <v>8236381.5457069</v>
      </c>
      <c r="F15" s="96"/>
    </row>
    <row r="16" spans="2:6" s="65" customFormat="1" ht="16.5" customHeight="1">
      <c r="B16" s="96" t="s">
        <v>177</v>
      </c>
      <c r="C16" s="86" t="s">
        <v>94</v>
      </c>
      <c r="D16" s="400">
        <v>1869415.48427</v>
      </c>
      <c r="E16" s="368">
        <f t="shared" si="0"/>
        <v>6060645.00000334</v>
      </c>
      <c r="F16" s="96"/>
    </row>
    <row r="17" spans="2:6" s="65" customFormat="1" ht="16.5" customHeight="1">
      <c r="B17" s="96" t="s">
        <v>226</v>
      </c>
      <c r="C17" s="86" t="s">
        <v>95</v>
      </c>
      <c r="D17" s="400">
        <v>755448.32176</v>
      </c>
      <c r="E17" s="368">
        <f t="shared" si="0"/>
        <v>2449163.45914592</v>
      </c>
      <c r="F17" s="96"/>
    </row>
    <row r="18" spans="2:6" s="65" customFormat="1" ht="16.5" customHeight="1">
      <c r="B18" s="96" t="s">
        <v>126</v>
      </c>
      <c r="C18" s="86" t="s">
        <v>94</v>
      </c>
      <c r="D18" s="400">
        <v>262472.07817</v>
      </c>
      <c r="E18" s="368">
        <f t="shared" si="0"/>
        <v>850934.47742714</v>
      </c>
      <c r="F18" s="96"/>
    </row>
    <row r="19" spans="2:6" s="65" customFormat="1" ht="16.5" customHeight="1">
      <c r="B19" s="96" t="s">
        <v>38</v>
      </c>
      <c r="C19" s="86" t="s">
        <v>95</v>
      </c>
      <c r="D19" s="400">
        <v>71559.38309</v>
      </c>
      <c r="E19" s="368">
        <f t="shared" si="0"/>
        <v>231995.51997778</v>
      </c>
      <c r="F19" s="96"/>
    </row>
    <row r="20" spans="2:6" s="65" customFormat="1" ht="16.5" customHeight="1">
      <c r="B20" s="96" t="s">
        <v>205</v>
      </c>
      <c r="C20" s="86" t="s">
        <v>95</v>
      </c>
      <c r="D20" s="400">
        <v>40196.99993</v>
      </c>
      <c r="E20" s="368">
        <f t="shared" si="0"/>
        <v>130318.67377306</v>
      </c>
      <c r="F20" s="96"/>
    </row>
    <row r="21" spans="2:6" s="65" customFormat="1" ht="16.5" customHeight="1">
      <c r="B21" s="96" t="s">
        <v>176</v>
      </c>
      <c r="C21" s="86" t="s">
        <v>95</v>
      </c>
      <c r="D21" s="400">
        <v>37727.59961999999</v>
      </c>
      <c r="E21" s="368">
        <f t="shared" si="0"/>
        <v>122312.87796804</v>
      </c>
      <c r="F21" s="96"/>
    </row>
    <row r="22" spans="2:6" s="65" customFormat="1" ht="16.5" customHeight="1">
      <c r="B22" s="96" t="s">
        <v>70</v>
      </c>
      <c r="C22" s="86" t="s">
        <v>95</v>
      </c>
      <c r="D22" s="400">
        <v>23080.54905</v>
      </c>
      <c r="E22" s="368">
        <f>ROUND(D22*$F$9,8)</f>
        <v>74827.1400201</v>
      </c>
      <c r="F22" s="96"/>
    </row>
    <row r="23" spans="2:6" s="65" customFormat="1" ht="16.5" customHeight="1">
      <c r="B23" s="96" t="s">
        <v>203</v>
      </c>
      <c r="C23" s="86" t="s">
        <v>95</v>
      </c>
      <c r="D23" s="400">
        <v>21451.12493</v>
      </c>
      <c r="E23" s="368">
        <f>ROUND(D23*$F$9,8)</f>
        <v>69544.54702306</v>
      </c>
      <c r="F23" s="96"/>
    </row>
    <row r="24" spans="2:6" s="65" customFormat="1" ht="16.5" customHeight="1">
      <c r="B24" s="96" t="s">
        <v>175</v>
      </c>
      <c r="C24" s="86" t="s">
        <v>95</v>
      </c>
      <c r="D24" s="400">
        <v>18093.19034</v>
      </c>
      <c r="E24" s="368">
        <f>ROUND(D24*$F$9,8)</f>
        <v>58658.12308228</v>
      </c>
      <c r="F24" s="96"/>
    </row>
    <row r="25" spans="2:6" s="65" customFormat="1" ht="16.5" customHeight="1">
      <c r="B25" s="96" t="s">
        <v>178</v>
      </c>
      <c r="C25" s="86" t="s">
        <v>95</v>
      </c>
      <c r="D25" s="400">
        <v>12535.47951</v>
      </c>
      <c r="E25" s="368">
        <f>ROUND(D25*$F$9,8)</f>
        <v>40640.02457142</v>
      </c>
      <c r="F25" s="96"/>
    </row>
    <row r="26" spans="2:6" s="65" customFormat="1" ht="16.5" customHeight="1">
      <c r="B26" s="96" t="s">
        <v>206</v>
      </c>
      <c r="C26" s="86" t="s">
        <v>95</v>
      </c>
      <c r="D26" s="400">
        <v>6089.273099999999</v>
      </c>
      <c r="E26" s="368">
        <f t="shared" si="0"/>
        <v>19741.4233902</v>
      </c>
      <c r="F26" s="96"/>
    </row>
    <row r="27" spans="2:7" s="65" customFormat="1" ht="16.5" customHeight="1">
      <c r="B27" s="66" t="s">
        <v>204</v>
      </c>
      <c r="C27" s="86" t="s">
        <v>95</v>
      </c>
      <c r="D27" s="400">
        <v>3231.23021</v>
      </c>
      <c r="E27" s="368">
        <f t="shared" si="0"/>
        <v>10475.64834082</v>
      </c>
      <c r="F27" s="96"/>
      <c r="G27" s="498"/>
    </row>
    <row r="28" spans="2:7" s="65" customFormat="1" ht="16.5" customHeight="1">
      <c r="B28" s="66" t="s">
        <v>161</v>
      </c>
      <c r="C28" s="86" t="s">
        <v>95</v>
      </c>
      <c r="D28" s="400">
        <v>1559.70784</v>
      </c>
      <c r="E28" s="368">
        <f t="shared" si="0"/>
        <v>5056.57281728</v>
      </c>
      <c r="F28" s="96"/>
      <c r="G28" s="498"/>
    </row>
    <row r="29" spans="2:6" s="65" customFormat="1" ht="12" customHeight="1">
      <c r="B29" s="96"/>
      <c r="C29" s="86"/>
      <c r="D29" s="400"/>
      <c r="E29" s="368"/>
      <c r="F29" s="71"/>
    </row>
    <row r="30" spans="2:6" s="65" customFormat="1" ht="16.5" customHeight="1">
      <c r="B30" s="398" t="s">
        <v>117</v>
      </c>
      <c r="C30" s="399"/>
      <c r="D30" s="401">
        <f>SUM(D31:D55)</f>
        <v>138848.10683</v>
      </c>
      <c r="E30" s="370">
        <f>SUM(E31:E55)</f>
        <v>450145.56234286004</v>
      </c>
      <c r="F30" s="94"/>
    </row>
    <row r="31" spans="2:8" s="95" customFormat="1" ht="16.5" customHeight="1">
      <c r="B31" s="96" t="s">
        <v>212</v>
      </c>
      <c r="C31" s="86" t="s">
        <v>95</v>
      </c>
      <c r="D31" s="400">
        <v>48185.673670000004</v>
      </c>
      <c r="E31" s="368">
        <f aca="true" t="shared" si="1" ref="E31:E55">ROUND(D31*$F$9,8)</f>
        <v>156217.95403814</v>
      </c>
      <c r="F31" s="96"/>
      <c r="G31" s="498"/>
      <c r="H31" s="65"/>
    </row>
    <row r="32" spans="2:8" s="95" customFormat="1" ht="16.5" customHeight="1">
      <c r="B32" s="96" t="s">
        <v>220</v>
      </c>
      <c r="C32" s="86" t="s">
        <v>95</v>
      </c>
      <c r="D32" s="400">
        <v>25059.01049</v>
      </c>
      <c r="E32" s="368">
        <f t="shared" si="1"/>
        <v>81241.31200858</v>
      </c>
      <c r="F32" s="96"/>
      <c r="G32" s="498"/>
      <c r="H32" s="65"/>
    </row>
    <row r="33" spans="2:8" s="95" customFormat="1" ht="16.5" customHeight="1">
      <c r="B33" s="96" t="s">
        <v>211</v>
      </c>
      <c r="C33" s="86" t="s">
        <v>95</v>
      </c>
      <c r="D33" s="400">
        <v>14152.68704</v>
      </c>
      <c r="E33" s="368">
        <f t="shared" si="1"/>
        <v>45883.01138368</v>
      </c>
      <c r="F33" s="96"/>
      <c r="G33" s="498"/>
      <c r="H33" s="65"/>
    </row>
    <row r="34" spans="2:8" s="95" customFormat="1" ht="16.5" customHeight="1">
      <c r="B34" s="96" t="s">
        <v>147</v>
      </c>
      <c r="C34" s="86" t="s">
        <v>95</v>
      </c>
      <c r="D34" s="400">
        <v>7847.17296</v>
      </c>
      <c r="E34" s="368">
        <f t="shared" si="1"/>
        <v>25440.53473632</v>
      </c>
      <c r="F34" s="96"/>
      <c r="G34" s="498"/>
      <c r="H34" s="65"/>
    </row>
    <row r="35" spans="2:8" s="95" customFormat="1" ht="16.5" customHeight="1">
      <c r="B35" s="96" t="s">
        <v>40</v>
      </c>
      <c r="C35" s="86" t="s">
        <v>95</v>
      </c>
      <c r="D35" s="400">
        <v>6604.67342</v>
      </c>
      <c r="E35" s="368">
        <f t="shared" si="1"/>
        <v>21412.35122764</v>
      </c>
      <c r="F35" s="96"/>
      <c r="G35" s="498"/>
      <c r="H35" s="65"/>
    </row>
    <row r="36" spans="2:8" s="95" customFormat="1" ht="16.5" customHeight="1">
      <c r="B36" s="96" t="s">
        <v>210</v>
      </c>
      <c r="C36" s="86" t="s">
        <v>95</v>
      </c>
      <c r="D36" s="400">
        <v>6303.9002900000005</v>
      </c>
      <c r="E36" s="368">
        <f t="shared" si="1"/>
        <v>20437.24474018</v>
      </c>
      <c r="F36" s="96"/>
      <c r="G36" s="498"/>
      <c r="H36" s="65"/>
    </row>
    <row r="37" spans="2:8" s="95" customFormat="1" ht="16.5" customHeight="1">
      <c r="B37" s="96" t="s">
        <v>221</v>
      </c>
      <c r="C37" s="86" t="s">
        <v>95</v>
      </c>
      <c r="D37" s="400">
        <v>5570.6433799999995</v>
      </c>
      <c r="E37" s="368">
        <f t="shared" si="1"/>
        <v>18060.02583796</v>
      </c>
      <c r="F37" s="96"/>
      <c r="G37" s="498"/>
      <c r="H37" s="65"/>
    </row>
    <row r="38" spans="2:8" s="95" customFormat="1" ht="16.5" customHeight="1">
      <c r="B38" s="66" t="s">
        <v>71</v>
      </c>
      <c r="C38" s="86" t="s">
        <v>95</v>
      </c>
      <c r="D38" s="400">
        <v>4396.78946</v>
      </c>
      <c r="E38" s="368">
        <f t="shared" si="1"/>
        <v>14254.39142932</v>
      </c>
      <c r="F38" s="96"/>
      <c r="G38" s="498"/>
      <c r="H38" s="65"/>
    </row>
    <row r="39" spans="2:8" s="95" customFormat="1" ht="16.5" customHeight="1">
      <c r="B39" s="66" t="s">
        <v>47</v>
      </c>
      <c r="C39" s="86" t="s">
        <v>95</v>
      </c>
      <c r="D39" s="400">
        <v>4078.72801</v>
      </c>
      <c r="E39" s="368">
        <f t="shared" si="1"/>
        <v>13223.23620842</v>
      </c>
      <c r="F39" s="96"/>
      <c r="G39" s="498"/>
      <c r="H39" s="65"/>
    </row>
    <row r="40" spans="2:8" s="95" customFormat="1" ht="16.5" customHeight="1">
      <c r="B40" s="66" t="s">
        <v>42</v>
      </c>
      <c r="C40" s="86" t="s">
        <v>95</v>
      </c>
      <c r="D40" s="400">
        <v>3420.26199</v>
      </c>
      <c r="E40" s="368">
        <f t="shared" si="1"/>
        <v>11088.48937158</v>
      </c>
      <c r="F40" s="96"/>
      <c r="G40" s="498"/>
      <c r="H40" s="65"/>
    </row>
    <row r="41" spans="2:8" s="95" customFormat="1" ht="16.5" customHeight="1">
      <c r="B41" s="66" t="s">
        <v>44</v>
      </c>
      <c r="C41" s="86" t="s">
        <v>95</v>
      </c>
      <c r="D41" s="400">
        <v>3245.8808799999997</v>
      </c>
      <c r="E41" s="368">
        <f t="shared" si="1"/>
        <v>10523.14581296</v>
      </c>
      <c r="F41" s="96"/>
      <c r="G41" s="498"/>
      <c r="H41" s="65"/>
    </row>
    <row r="42" spans="2:8" s="95" customFormat="1" ht="16.5" customHeight="1">
      <c r="B42" s="66" t="s">
        <v>222</v>
      </c>
      <c r="C42" s="86" t="s">
        <v>95</v>
      </c>
      <c r="D42" s="400">
        <v>2401.6675699999996</v>
      </c>
      <c r="E42" s="368">
        <f>ROUND(D42*$F$9,8)</f>
        <v>7786.20626194</v>
      </c>
      <c r="F42" s="96"/>
      <c r="G42" s="498"/>
      <c r="H42" s="65"/>
    </row>
    <row r="43" spans="2:8" s="95" customFormat="1" ht="16.5" customHeight="1">
      <c r="B43" s="66" t="s">
        <v>49</v>
      </c>
      <c r="C43" s="86" t="s">
        <v>95</v>
      </c>
      <c r="D43" s="400">
        <v>2317.12422</v>
      </c>
      <c r="E43" s="368">
        <f t="shared" si="1"/>
        <v>7512.11672124</v>
      </c>
      <c r="F43" s="96"/>
      <c r="G43" s="498"/>
      <c r="H43" s="65"/>
    </row>
    <row r="44" spans="2:8" s="95" customFormat="1" ht="16.5" customHeight="1">
      <c r="B44" s="66" t="s">
        <v>51</v>
      </c>
      <c r="C44" s="86" t="s">
        <v>95</v>
      </c>
      <c r="D44" s="400">
        <v>1748.98851</v>
      </c>
      <c r="E44" s="368">
        <f t="shared" si="1"/>
        <v>5670.22074942</v>
      </c>
      <c r="F44" s="96"/>
      <c r="G44" s="498"/>
      <c r="H44" s="65"/>
    </row>
    <row r="45" spans="2:8" s="95" customFormat="1" ht="16.5" customHeight="1">
      <c r="B45" s="66" t="s">
        <v>223</v>
      </c>
      <c r="C45" s="86" t="s">
        <v>95</v>
      </c>
      <c r="D45" s="400">
        <v>860.23936</v>
      </c>
      <c r="E45" s="368">
        <f t="shared" si="1"/>
        <v>2788.89600512</v>
      </c>
      <c r="F45" s="96"/>
      <c r="G45" s="498"/>
      <c r="H45" s="65"/>
    </row>
    <row r="46" spans="2:8" s="95" customFormat="1" ht="16.5" customHeight="1">
      <c r="B46" s="66" t="s">
        <v>224</v>
      </c>
      <c r="C46" s="86" t="s">
        <v>95</v>
      </c>
      <c r="D46" s="400">
        <v>657.50405</v>
      </c>
      <c r="E46" s="368">
        <f>ROUND(D46*$F$9,8)</f>
        <v>2131.6281301</v>
      </c>
      <c r="F46" s="96"/>
      <c r="G46" s="498"/>
      <c r="H46" s="65"/>
    </row>
    <row r="47" spans="2:8" s="95" customFormat="1" ht="16.5" customHeight="1">
      <c r="B47" s="66" t="s">
        <v>209</v>
      </c>
      <c r="C47" s="86" t="s">
        <v>95</v>
      </c>
      <c r="D47" s="400">
        <v>654.04818</v>
      </c>
      <c r="E47" s="368">
        <f t="shared" si="1"/>
        <v>2120.42419956</v>
      </c>
      <c r="F47" s="96"/>
      <c r="G47" s="498"/>
      <c r="H47" s="65"/>
    </row>
    <row r="48" spans="2:7" s="95" customFormat="1" ht="16.5" customHeight="1">
      <c r="B48" s="66" t="s">
        <v>50</v>
      </c>
      <c r="C48" s="86" t="s">
        <v>95</v>
      </c>
      <c r="D48" s="400">
        <v>388.44314</v>
      </c>
      <c r="E48" s="368">
        <f t="shared" si="1"/>
        <v>1259.33265988</v>
      </c>
      <c r="F48" s="96"/>
      <c r="G48" s="498"/>
    </row>
    <row r="49" spans="2:8" s="95" customFormat="1" ht="16.5" customHeight="1">
      <c r="B49" s="66" t="s">
        <v>207</v>
      </c>
      <c r="C49" s="86" t="s">
        <v>95</v>
      </c>
      <c r="D49" s="400">
        <v>355.44648</v>
      </c>
      <c r="E49" s="368">
        <f t="shared" si="1"/>
        <v>1152.35748816</v>
      </c>
      <c r="F49" s="96"/>
      <c r="G49" s="498"/>
      <c r="H49" s="65"/>
    </row>
    <row r="50" spans="2:8" s="95" customFormat="1" ht="16.5" customHeight="1">
      <c r="B50" s="66" t="s">
        <v>208</v>
      </c>
      <c r="C50" s="86" t="s">
        <v>95</v>
      </c>
      <c r="D50" s="400">
        <v>141.47985</v>
      </c>
      <c r="E50" s="368">
        <f>ROUND(D50*$F$9,8)</f>
        <v>458.6776737</v>
      </c>
      <c r="F50" s="96"/>
      <c r="G50" s="498"/>
      <c r="H50" s="65"/>
    </row>
    <row r="51" spans="2:8" s="95" customFormat="1" ht="16.5" customHeight="1">
      <c r="B51" s="66" t="s">
        <v>43</v>
      </c>
      <c r="C51" s="86" t="s">
        <v>95</v>
      </c>
      <c r="D51" s="400">
        <v>138.78915</v>
      </c>
      <c r="E51" s="368">
        <f t="shared" si="1"/>
        <v>449.9544243</v>
      </c>
      <c r="F51" s="96"/>
      <c r="G51" s="498"/>
      <c r="H51" s="65"/>
    </row>
    <row r="52" spans="2:8" s="95" customFormat="1" ht="16.5" customHeight="1">
      <c r="B52" s="66" t="s">
        <v>57</v>
      </c>
      <c r="C52" s="86" t="s">
        <v>95</v>
      </c>
      <c r="D52" s="400">
        <v>119.69133000000001</v>
      </c>
      <c r="E52" s="368">
        <f t="shared" si="1"/>
        <v>388.03929186</v>
      </c>
      <c r="F52" s="96"/>
      <c r="G52" s="498"/>
      <c r="H52" s="65"/>
    </row>
    <row r="53" spans="2:8" s="95" customFormat="1" ht="16.5" customHeight="1">
      <c r="B53" s="66" t="s">
        <v>225</v>
      </c>
      <c r="C53" s="86" t="s">
        <v>95</v>
      </c>
      <c r="D53" s="400">
        <v>89.0037</v>
      </c>
      <c r="E53" s="368">
        <f t="shared" si="1"/>
        <v>288.5499954</v>
      </c>
      <c r="F53" s="96"/>
      <c r="G53" s="498"/>
      <c r="H53" s="65"/>
    </row>
    <row r="54" spans="2:8" s="95" customFormat="1" ht="16.5" customHeight="1">
      <c r="B54" s="66" t="s">
        <v>54</v>
      </c>
      <c r="C54" s="86" t="s">
        <v>95</v>
      </c>
      <c r="D54" s="400">
        <v>80.73855999999999</v>
      </c>
      <c r="E54" s="368">
        <f t="shared" si="1"/>
        <v>261.75441152</v>
      </c>
      <c r="F54" s="96"/>
      <c r="G54" s="498"/>
      <c r="H54" s="65"/>
    </row>
    <row r="55" spans="2:8" s="95" customFormat="1" ht="16.5" customHeight="1">
      <c r="B55" s="66" t="s">
        <v>56</v>
      </c>
      <c r="C55" s="86" t="s">
        <v>95</v>
      </c>
      <c r="D55" s="400">
        <v>29.52114</v>
      </c>
      <c r="E55" s="368">
        <f t="shared" si="1"/>
        <v>95.70753588</v>
      </c>
      <c r="F55" s="96"/>
      <c r="G55" s="498"/>
      <c r="H55" s="65"/>
    </row>
    <row r="56" spans="2:7" s="65" customFormat="1" ht="12" customHeight="1">
      <c r="B56" s="96"/>
      <c r="C56" s="86"/>
      <c r="D56" s="400"/>
      <c r="E56" s="368"/>
      <c r="F56" s="94"/>
      <c r="G56" s="498"/>
    </row>
    <row r="57" spans="2:8" s="95" customFormat="1" ht="16.5" customHeight="1">
      <c r="B57" s="398" t="s">
        <v>88</v>
      </c>
      <c r="C57" s="399"/>
      <c r="D57" s="401">
        <f>+D58</f>
        <v>2000000</v>
      </c>
      <c r="E57" s="402">
        <f>+E58</f>
        <v>6484000</v>
      </c>
      <c r="F57" s="94"/>
      <c r="G57" s="498"/>
      <c r="H57" s="65"/>
    </row>
    <row r="58" spans="2:8" s="95" customFormat="1" ht="16.5" customHeight="1">
      <c r="B58" s="96" t="s">
        <v>215</v>
      </c>
      <c r="C58" s="86" t="s">
        <v>95</v>
      </c>
      <c r="D58" s="400">
        <v>2000000</v>
      </c>
      <c r="E58" s="368">
        <f>ROUND(D58*$F$9,8)</f>
        <v>6484000</v>
      </c>
      <c r="F58" s="94"/>
      <c r="G58" s="498"/>
      <c r="H58" s="65"/>
    </row>
    <row r="59" spans="2:7" s="65" customFormat="1" ht="9.75" customHeight="1">
      <c r="B59" s="87"/>
      <c r="C59" s="88"/>
      <c r="D59" s="403"/>
      <c r="E59" s="404"/>
      <c r="F59" s="94"/>
      <c r="G59" s="498"/>
    </row>
    <row r="60" spans="2:8" s="84" customFormat="1" ht="15" customHeight="1">
      <c r="B60" s="568" t="s">
        <v>61</v>
      </c>
      <c r="C60" s="579"/>
      <c r="D60" s="581">
        <f>+D30+D14+D57</f>
        <v>7802233.373099998</v>
      </c>
      <c r="E60" s="563">
        <f>+E30+E14+E57</f>
        <v>25294840.5955902</v>
      </c>
      <c r="F60" s="94"/>
      <c r="G60" s="498"/>
      <c r="H60" s="65"/>
    </row>
    <row r="61" spans="2:8" s="84" customFormat="1" ht="15" customHeight="1">
      <c r="B61" s="569"/>
      <c r="C61" s="580"/>
      <c r="D61" s="582"/>
      <c r="E61" s="564"/>
      <c r="F61" s="94"/>
      <c r="G61" s="498"/>
      <c r="H61" s="65"/>
    </row>
    <row r="62" spans="2:8" ht="15">
      <c r="B62" s="146"/>
      <c r="C62" s="146"/>
      <c r="D62" s="146"/>
      <c r="E62" s="146"/>
      <c r="F62" s="94"/>
      <c r="G62" s="498"/>
      <c r="H62" s="65"/>
    </row>
    <row r="63" spans="2:8" ht="15">
      <c r="B63" s="146"/>
      <c r="C63" s="146"/>
      <c r="D63" s="471"/>
      <c r="E63" s="472"/>
      <c r="F63" s="94"/>
      <c r="G63" s="498"/>
      <c r="H63" s="65"/>
    </row>
    <row r="64" spans="2:8" ht="15">
      <c r="B64" s="146"/>
      <c r="C64" s="146"/>
      <c r="D64" s="473"/>
      <c r="E64" s="474"/>
      <c r="F64" s="94"/>
      <c r="G64" s="498"/>
      <c r="H64" s="65"/>
    </row>
    <row r="65" spans="2:8" ht="15">
      <c r="B65" s="146"/>
      <c r="C65" s="474"/>
      <c r="D65" s="473"/>
      <c r="E65" s="474"/>
      <c r="F65" s="94"/>
      <c r="G65" s="498"/>
      <c r="H65" s="65"/>
    </row>
    <row r="66" spans="2:7" ht="14.25">
      <c r="B66" s="146"/>
      <c r="C66" s="146"/>
      <c r="D66" s="475"/>
      <c r="E66" s="475"/>
      <c r="F66" s="470"/>
      <c r="G66" s="498"/>
    </row>
    <row r="67" spans="2:7" ht="18">
      <c r="B67" s="394" t="s">
        <v>122</v>
      </c>
      <c r="C67" s="394"/>
      <c r="D67" s="394"/>
      <c r="E67" s="394"/>
      <c r="F67" s="470"/>
      <c r="G67" s="498"/>
    </row>
    <row r="68" spans="2:7" s="92" customFormat="1" ht="18.75">
      <c r="B68" s="395" t="s">
        <v>138</v>
      </c>
      <c r="C68" s="395"/>
      <c r="D68" s="395"/>
      <c r="E68" s="395"/>
      <c r="F68" s="470"/>
      <c r="G68" s="498"/>
    </row>
    <row r="69" spans="2:7" s="92" customFormat="1" ht="18.75">
      <c r="B69" s="395" t="s">
        <v>139</v>
      </c>
      <c r="C69" s="395"/>
      <c r="D69" s="395"/>
      <c r="E69" s="269"/>
      <c r="F69" s="470"/>
      <c r="G69" s="65"/>
    </row>
    <row r="70" spans="2:7" s="92" customFormat="1" ht="18.75">
      <c r="B70" s="397" t="s">
        <v>58</v>
      </c>
      <c r="C70" s="396"/>
      <c r="D70" s="396"/>
      <c r="E70" s="396"/>
      <c r="F70" s="470"/>
      <c r="G70" s="65"/>
    </row>
    <row r="71" spans="2:7" s="92" customFormat="1" ht="18.75">
      <c r="B71" s="138" t="str">
        <f>+B9</f>
        <v>Al 31 de julio de 2017</v>
      </c>
      <c r="C71" s="393"/>
      <c r="D71" s="268"/>
      <c r="E71" s="268"/>
      <c r="F71" s="470"/>
      <c r="G71" s="65"/>
    </row>
    <row r="72" spans="2:7" ht="6" customHeight="1">
      <c r="B72" s="583"/>
      <c r="C72" s="583"/>
      <c r="D72" s="583"/>
      <c r="E72" s="583"/>
      <c r="F72" s="470"/>
      <c r="G72" s="65"/>
    </row>
    <row r="73" spans="2:5" ht="18" customHeight="1">
      <c r="B73" s="571" t="s">
        <v>98</v>
      </c>
      <c r="C73" s="571" t="s">
        <v>26</v>
      </c>
      <c r="D73" s="576" t="s">
        <v>89</v>
      </c>
      <c r="E73" s="577" t="s">
        <v>168</v>
      </c>
    </row>
    <row r="74" spans="2:6" s="84" customFormat="1" ht="18" customHeight="1">
      <c r="B74" s="572"/>
      <c r="C74" s="572"/>
      <c r="D74" s="566"/>
      <c r="E74" s="578"/>
      <c r="F74" s="93"/>
    </row>
    <row r="75" spans="2:6" s="84" customFormat="1" ht="9.75" customHeight="1">
      <c r="B75" s="113"/>
      <c r="C75" s="267"/>
      <c r="D75" s="97"/>
      <c r="E75" s="271"/>
      <c r="F75" s="93"/>
    </row>
    <row r="76" spans="2:6" s="65" customFormat="1" ht="16.5" customHeight="1">
      <c r="B76" s="398" t="s">
        <v>87</v>
      </c>
      <c r="C76" s="399"/>
      <c r="D76" s="401">
        <f>SUM(D77:D81)</f>
        <v>43163.11509</v>
      </c>
      <c r="E76" s="370">
        <f>SUM(E77:E81)</f>
        <v>139934.81912178</v>
      </c>
      <c r="F76" s="71"/>
    </row>
    <row r="77" spans="2:6" s="65" customFormat="1" ht="16.5" customHeight="1">
      <c r="B77" s="96" t="s">
        <v>178</v>
      </c>
      <c r="C77" s="86" t="s">
        <v>95</v>
      </c>
      <c r="D77" s="400">
        <v>24317.793550000002</v>
      </c>
      <c r="E77" s="368">
        <f>ROUND(D77*$F$9,8)</f>
        <v>78838.2866891</v>
      </c>
      <c r="F77" s="96"/>
    </row>
    <row r="78" spans="2:6" s="65" customFormat="1" ht="16.5" customHeight="1">
      <c r="B78" s="96" t="s">
        <v>237</v>
      </c>
      <c r="C78" s="86" t="s">
        <v>95</v>
      </c>
      <c r="D78" s="400">
        <v>12317.86968</v>
      </c>
      <c r="E78" s="368">
        <f>ROUND(D78*$F$9,8)</f>
        <v>39934.53350256</v>
      </c>
      <c r="F78" s="96"/>
    </row>
    <row r="79" spans="2:6" s="65" customFormat="1" ht="16.5" customHeight="1">
      <c r="B79" s="96" t="s">
        <v>205</v>
      </c>
      <c r="C79" s="86" t="s">
        <v>95</v>
      </c>
      <c r="D79" s="400">
        <v>3701.4188799999997</v>
      </c>
      <c r="E79" s="368">
        <f>ROUND(D79*$F$9,8)</f>
        <v>12000.00000896</v>
      </c>
      <c r="F79" s="96"/>
    </row>
    <row r="80" spans="2:6" s="65" customFormat="1" ht="16.5" customHeight="1">
      <c r="B80" s="96" t="s">
        <v>204</v>
      </c>
      <c r="C80" s="86" t="s">
        <v>95</v>
      </c>
      <c r="D80" s="400">
        <v>2671.80719</v>
      </c>
      <c r="E80" s="368">
        <f>ROUND(D80*$F$9,8)</f>
        <v>8661.99890998</v>
      </c>
      <c r="F80" s="96"/>
    </row>
    <row r="81" spans="2:6" s="65" customFormat="1" ht="16.5" customHeight="1">
      <c r="B81" s="96" t="s">
        <v>175</v>
      </c>
      <c r="C81" s="86" t="s">
        <v>95</v>
      </c>
      <c r="D81" s="400">
        <v>154.22579000000002</v>
      </c>
      <c r="E81" s="368">
        <f>ROUND(D81*$F$9,8)</f>
        <v>500.00001118</v>
      </c>
      <c r="F81" s="96"/>
    </row>
    <row r="82" spans="2:5" s="65" customFormat="1" ht="12" customHeight="1">
      <c r="B82" s="70"/>
      <c r="C82" s="72"/>
      <c r="D82" s="331"/>
      <c r="E82" s="332"/>
    </row>
    <row r="83" spans="2:6" s="95" customFormat="1" ht="16.5" customHeight="1">
      <c r="B83" s="398" t="s">
        <v>163</v>
      </c>
      <c r="C83" s="72"/>
      <c r="D83" s="401">
        <f>+D84</f>
        <v>648027.1437399999</v>
      </c>
      <c r="E83" s="370">
        <f>+E84</f>
        <v>2100904.00000508</v>
      </c>
      <c r="F83" s="94"/>
    </row>
    <row r="84" spans="2:6" s="95" customFormat="1" ht="16.5" customHeight="1">
      <c r="B84" s="96" t="s">
        <v>215</v>
      </c>
      <c r="C84" s="86" t="s">
        <v>95</v>
      </c>
      <c r="D84" s="400">
        <v>648027.1437399999</v>
      </c>
      <c r="E84" s="368">
        <f>ROUND(D84*$F$9,8)</f>
        <v>2100904.00000508</v>
      </c>
      <c r="F84" s="94"/>
    </row>
    <row r="85" spans="2:6" s="65" customFormat="1" ht="9.75" customHeight="1">
      <c r="B85" s="87"/>
      <c r="C85" s="88"/>
      <c r="D85" s="403"/>
      <c r="E85" s="404"/>
      <c r="F85" s="71"/>
    </row>
    <row r="86" spans="2:6" s="84" customFormat="1" ht="15" customHeight="1">
      <c r="B86" s="568" t="s">
        <v>61</v>
      </c>
      <c r="C86" s="579"/>
      <c r="D86" s="581">
        <f>+D76+D83</f>
        <v>691190.2588299998</v>
      </c>
      <c r="E86" s="563">
        <f>+E76+E83</f>
        <v>2240838.81912686</v>
      </c>
      <c r="F86" s="93"/>
    </row>
    <row r="87" spans="2:6" s="84" customFormat="1" ht="15" customHeight="1">
      <c r="B87" s="569"/>
      <c r="C87" s="580"/>
      <c r="D87" s="582"/>
      <c r="E87" s="564"/>
      <c r="F87" s="93"/>
    </row>
    <row r="89" spans="2:5" ht="15">
      <c r="B89" s="139"/>
      <c r="D89" s="405"/>
      <c r="E89" s="305"/>
    </row>
    <row r="90" spans="4:5" ht="12.75">
      <c r="D90" s="203"/>
      <c r="E90" s="203"/>
    </row>
    <row r="91" spans="4:5" ht="12.75">
      <c r="D91" s="306"/>
      <c r="E91" s="306"/>
    </row>
    <row r="92" spans="4:5" ht="12.75">
      <c r="D92" s="255"/>
      <c r="E92" s="255"/>
    </row>
  </sheetData>
  <sheetProtection/>
  <mergeCells count="18">
    <mergeCell ref="B10:E10"/>
    <mergeCell ref="B11:B12"/>
    <mergeCell ref="C11:C12"/>
    <mergeCell ref="E11:E12"/>
    <mergeCell ref="D11:D12"/>
    <mergeCell ref="E86:E87"/>
    <mergeCell ref="B86:B87"/>
    <mergeCell ref="C86:C87"/>
    <mergeCell ref="D86:D87"/>
    <mergeCell ref="B72:E72"/>
    <mergeCell ref="B73:B74"/>
    <mergeCell ref="C73:C74"/>
    <mergeCell ref="D73:D74"/>
    <mergeCell ref="E73:E74"/>
    <mergeCell ref="B60:B61"/>
    <mergeCell ref="C60:C61"/>
    <mergeCell ref="D60:D61"/>
    <mergeCell ref="E60:E61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64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4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0" customWidth="1"/>
    <col min="2" max="2" width="65.8515625" style="90" customWidth="1"/>
    <col min="3" max="3" width="11.7109375" style="90" customWidth="1"/>
    <col min="4" max="5" width="19.7109375" style="90" customWidth="1"/>
    <col min="6" max="6" width="8.421875" style="90" customWidth="1"/>
    <col min="7" max="16384" width="11.421875" style="90" customWidth="1"/>
  </cols>
  <sheetData>
    <row r="1" spans="2:5" s="141" customFormat="1" ht="18.75" customHeight="1">
      <c r="B1" s="590"/>
      <c r="C1" s="590"/>
      <c r="D1" s="590"/>
      <c r="E1" s="590"/>
    </row>
    <row r="2" spans="2:5" s="141" customFormat="1" ht="18.75" customHeight="1">
      <c r="B2" s="590"/>
      <c r="C2" s="590"/>
      <c r="D2" s="590"/>
      <c r="E2" s="590"/>
    </row>
    <row r="3" spans="2:5" s="141" customFormat="1" ht="11.25" customHeight="1">
      <c r="B3" s="590"/>
      <c r="C3" s="590"/>
      <c r="D3" s="590"/>
      <c r="E3" s="590"/>
    </row>
    <row r="4" spans="2:11" s="141" customFormat="1" ht="15" customHeight="1">
      <c r="B4" s="590"/>
      <c r="C4" s="590"/>
      <c r="D4" s="590"/>
      <c r="E4" s="590"/>
      <c r="G4" s="199"/>
      <c r="H4" s="199"/>
      <c r="I4" s="199"/>
      <c r="J4" s="199"/>
      <c r="K4" s="199"/>
    </row>
    <row r="5" spans="2:11" ht="18">
      <c r="B5" s="134" t="s">
        <v>15</v>
      </c>
      <c r="C5" s="98"/>
      <c r="D5" s="98"/>
      <c r="E5" s="98"/>
      <c r="G5" s="137"/>
      <c r="H5" s="137"/>
      <c r="I5" s="137"/>
      <c r="J5" s="137"/>
      <c r="K5" s="137"/>
    </row>
    <row r="6" spans="2:11" ht="18">
      <c r="B6" s="337" t="s">
        <v>138</v>
      </c>
      <c r="C6" s="337"/>
      <c r="D6" s="337"/>
      <c r="E6" s="337"/>
      <c r="F6" s="140"/>
      <c r="G6" s="137"/>
      <c r="H6" s="137"/>
      <c r="I6" s="137"/>
      <c r="J6" s="137"/>
      <c r="K6" s="137"/>
    </row>
    <row r="7" spans="2:11" ht="18">
      <c r="B7" s="337" t="s">
        <v>137</v>
      </c>
      <c r="C7" s="337"/>
      <c r="D7" s="337"/>
      <c r="E7" s="337"/>
      <c r="F7" s="140"/>
      <c r="G7" s="137"/>
      <c r="H7" s="137"/>
      <c r="I7" s="137"/>
      <c r="J7" s="137"/>
      <c r="K7" s="137"/>
    </row>
    <row r="8" spans="2:11" ht="16.5">
      <c r="B8" s="363" t="s">
        <v>107</v>
      </c>
      <c r="C8" s="193"/>
      <c r="D8" s="193"/>
      <c r="E8" s="193"/>
      <c r="G8" s="137"/>
      <c r="H8" s="137"/>
      <c r="I8" s="137"/>
      <c r="J8" s="137"/>
      <c r="K8" s="137"/>
    </row>
    <row r="9" spans="2:11" ht="15.75">
      <c r="B9" s="138" t="str">
        <f>+'DEP-C2'!B9</f>
        <v>Al 31 de julio de 2017</v>
      </c>
      <c r="C9" s="138"/>
      <c r="D9" s="138"/>
      <c r="E9" s="277"/>
      <c r="F9" s="406">
        <f>+Portada!H39</f>
        <v>3.242</v>
      </c>
      <c r="G9" s="137"/>
      <c r="H9" s="137"/>
      <c r="I9" s="137"/>
      <c r="J9" s="137"/>
      <c r="K9" s="137"/>
    </row>
    <row r="10" spans="2:11" ht="9.75" customHeight="1">
      <c r="B10" s="193"/>
      <c r="C10" s="193"/>
      <c r="D10" s="193"/>
      <c r="E10" s="193"/>
      <c r="G10" s="137"/>
      <c r="H10" s="137"/>
      <c r="I10" s="137"/>
      <c r="J10" s="137"/>
      <c r="K10" s="137"/>
    </row>
    <row r="11" spans="2:11" ht="16.5" customHeight="1">
      <c r="B11" s="435" t="s">
        <v>230</v>
      </c>
      <c r="C11" s="584" t="s">
        <v>103</v>
      </c>
      <c r="D11" s="586" t="s">
        <v>89</v>
      </c>
      <c r="E11" s="555" t="s">
        <v>168</v>
      </c>
      <c r="G11" s="137"/>
      <c r="H11" s="137"/>
      <c r="I11" s="137"/>
      <c r="J11" s="137"/>
      <c r="K11" s="137"/>
    </row>
    <row r="12" spans="2:11" s="84" customFormat="1" ht="16.5" customHeight="1">
      <c r="B12" s="434" t="s">
        <v>231</v>
      </c>
      <c r="C12" s="585"/>
      <c r="D12" s="587"/>
      <c r="E12" s="556"/>
      <c r="G12" s="171"/>
      <c r="H12" s="171"/>
      <c r="I12" s="171"/>
      <c r="J12" s="171"/>
      <c r="K12" s="171"/>
    </row>
    <row r="13" spans="2:11" s="84" customFormat="1" ht="9.75" customHeight="1">
      <c r="B13" s="276"/>
      <c r="C13" s="147"/>
      <c r="D13" s="99"/>
      <c r="E13" s="99"/>
      <c r="G13" s="171"/>
      <c r="H13" s="171"/>
      <c r="I13" s="171"/>
      <c r="J13" s="171"/>
      <c r="K13" s="171"/>
    </row>
    <row r="14" spans="2:11" s="65" customFormat="1" ht="16.5" customHeight="1">
      <c r="B14" s="391" t="s">
        <v>91</v>
      </c>
      <c r="C14" s="391"/>
      <c r="D14" s="370">
        <f>+D15+D17+D19+D21+D24</f>
        <v>3129820.96621</v>
      </c>
      <c r="E14" s="370">
        <f>+E15+E17+E19+E21+E24</f>
        <v>10146879.57245</v>
      </c>
      <c r="G14" s="170"/>
      <c r="H14" s="170"/>
      <c r="I14" s="170"/>
      <c r="J14" s="170"/>
      <c r="K14" s="170"/>
    </row>
    <row r="15" spans="2:11" s="65" customFormat="1" ht="16.5" customHeight="1">
      <c r="B15" s="73" t="s">
        <v>35</v>
      </c>
      <c r="C15" s="74"/>
      <c r="D15" s="379">
        <f>SUM(D16:D16)</f>
        <v>654.04818</v>
      </c>
      <c r="E15" s="379">
        <f>SUM(E16:E16)</f>
        <v>2120.4242</v>
      </c>
      <c r="G15" s="170"/>
      <c r="H15" s="170"/>
      <c r="I15" s="170"/>
      <c r="J15" s="170"/>
      <c r="K15" s="170"/>
    </row>
    <row r="16" spans="2:11" s="65" customFormat="1" ht="16.5" customHeight="1">
      <c r="B16" s="422" t="s">
        <v>160</v>
      </c>
      <c r="C16" s="74" t="s">
        <v>104</v>
      </c>
      <c r="D16" s="431">
        <v>654.04818</v>
      </c>
      <c r="E16" s="431">
        <f aca="true" t="shared" si="0" ref="E16:E23">ROUND(+D16*$F$9,5)</f>
        <v>2120.4242</v>
      </c>
      <c r="G16" s="170"/>
      <c r="H16" s="170"/>
      <c r="I16" s="170"/>
      <c r="J16" s="170"/>
      <c r="K16" s="170"/>
    </row>
    <row r="17" spans="2:11" s="65" customFormat="1" ht="16.5" customHeight="1">
      <c r="B17" s="73" t="s">
        <v>127</v>
      </c>
      <c r="C17" s="74"/>
      <c r="D17" s="379">
        <f>+D18</f>
        <v>2306.65575</v>
      </c>
      <c r="E17" s="379">
        <f>+E18</f>
        <v>7478.17794</v>
      </c>
      <c r="G17" s="170"/>
      <c r="H17" s="170"/>
      <c r="I17" s="170"/>
      <c r="J17" s="170"/>
      <c r="K17" s="170"/>
    </row>
    <row r="18" spans="2:11" s="65" customFormat="1" ht="16.5" customHeight="1">
      <c r="B18" s="422" t="s">
        <v>194</v>
      </c>
      <c r="C18" s="74" t="s">
        <v>104</v>
      </c>
      <c r="D18" s="431">
        <v>2306.65575</v>
      </c>
      <c r="E18" s="431">
        <f t="shared" si="0"/>
        <v>7478.17794</v>
      </c>
      <c r="G18" s="170"/>
      <c r="H18" s="170"/>
      <c r="I18" s="170"/>
      <c r="J18" s="170"/>
      <c r="K18" s="170"/>
    </row>
    <row r="19" spans="2:11" s="65" customFormat="1" ht="16.5" customHeight="1">
      <c r="B19" s="73" t="s">
        <v>77</v>
      </c>
      <c r="C19" s="74"/>
      <c r="D19" s="379">
        <f>+D20</f>
        <v>2000000</v>
      </c>
      <c r="E19" s="379">
        <f>+E20</f>
        <v>6484000</v>
      </c>
      <c r="G19" s="170"/>
      <c r="H19" s="170"/>
      <c r="I19" s="170"/>
      <c r="J19" s="170"/>
      <c r="K19" s="170"/>
    </row>
    <row r="20" spans="2:11" s="65" customFormat="1" ht="16.5" customHeight="1">
      <c r="B20" s="433" t="s">
        <v>245</v>
      </c>
      <c r="C20" s="74" t="s">
        <v>105</v>
      </c>
      <c r="D20" s="431">
        <v>2000000</v>
      </c>
      <c r="E20" s="431">
        <f>ROUND(+D20*$F$9,5)</f>
        <v>6484000</v>
      </c>
      <c r="G20" s="170"/>
      <c r="H20" s="170"/>
      <c r="I20" s="170"/>
      <c r="J20" s="170"/>
      <c r="K20" s="170"/>
    </row>
    <row r="21" spans="2:11" s="65" customFormat="1" ht="16.5" customHeight="1">
      <c r="B21" s="73" t="s">
        <v>90</v>
      </c>
      <c r="C21" s="73"/>
      <c r="D21" s="379">
        <f>SUM(D22:D23)</f>
        <v>964316.0264399999</v>
      </c>
      <c r="E21" s="379">
        <f>SUM(E22:E23)</f>
        <v>3126312.55772</v>
      </c>
      <c r="G21" s="170"/>
      <c r="H21" s="170"/>
      <c r="I21" s="170"/>
      <c r="J21" s="170"/>
      <c r="K21" s="170"/>
    </row>
    <row r="22" spans="2:11" s="65" customFormat="1" ht="16.5" customHeight="1">
      <c r="B22" s="422" t="s">
        <v>246</v>
      </c>
      <c r="C22" s="74" t="s">
        <v>104</v>
      </c>
      <c r="D22" s="431">
        <v>709081.31658</v>
      </c>
      <c r="E22" s="431">
        <f t="shared" si="0"/>
        <v>2298841.62835</v>
      </c>
      <c r="G22" s="170"/>
      <c r="H22" s="170"/>
      <c r="I22" s="170"/>
      <c r="J22" s="170"/>
      <c r="K22" s="170"/>
    </row>
    <row r="23" spans="2:11" s="65" customFormat="1" ht="16.5" customHeight="1">
      <c r="B23" s="422" t="s">
        <v>191</v>
      </c>
      <c r="C23" s="74" t="s">
        <v>104</v>
      </c>
      <c r="D23" s="431">
        <v>255234.70985999997</v>
      </c>
      <c r="E23" s="431">
        <f t="shared" si="0"/>
        <v>827470.92937</v>
      </c>
      <c r="G23" s="170"/>
      <c r="H23" s="170"/>
      <c r="I23" s="170"/>
      <c r="J23" s="170"/>
      <c r="K23" s="170"/>
    </row>
    <row r="24" spans="2:11" s="65" customFormat="1" ht="16.5" customHeight="1">
      <c r="B24" s="73" t="s">
        <v>36</v>
      </c>
      <c r="C24" s="74"/>
      <c r="D24" s="379">
        <f>SUM(D25:D26)</f>
        <v>162544.23584</v>
      </c>
      <c r="E24" s="379">
        <f>SUM(E25:E26)</f>
        <v>526968.41259</v>
      </c>
      <c r="G24" s="170"/>
      <c r="H24" s="170"/>
      <c r="I24" s="170"/>
      <c r="J24" s="170"/>
      <c r="K24" s="170"/>
    </row>
    <row r="25" spans="2:11" s="65" customFormat="1" ht="16.5" customHeight="1">
      <c r="B25" s="422" t="s">
        <v>0</v>
      </c>
      <c r="C25" s="74" t="s">
        <v>104</v>
      </c>
      <c r="D25" s="431">
        <v>162405.44669</v>
      </c>
      <c r="E25" s="431">
        <f>ROUND(+D25*$F$9,5)</f>
        <v>526518.45817</v>
      </c>
      <c r="G25" s="170"/>
      <c r="H25" s="170"/>
      <c r="I25" s="170"/>
      <c r="J25" s="170"/>
      <c r="K25" s="170"/>
    </row>
    <row r="26" spans="2:11" s="65" customFormat="1" ht="16.5" customHeight="1">
      <c r="B26" s="422" t="s">
        <v>192</v>
      </c>
      <c r="C26" s="74" t="s">
        <v>104</v>
      </c>
      <c r="D26" s="431">
        <v>138.78915</v>
      </c>
      <c r="E26" s="431">
        <f>ROUND(+D26*$F$9,5)</f>
        <v>449.95442</v>
      </c>
      <c r="G26" s="170"/>
      <c r="H26" s="170"/>
      <c r="I26" s="170"/>
      <c r="J26" s="170"/>
      <c r="K26" s="170"/>
    </row>
    <row r="27" spans="2:11" s="65" customFormat="1" ht="12" customHeight="1">
      <c r="B27" s="69"/>
      <c r="C27" s="74"/>
      <c r="D27" s="368"/>
      <c r="E27" s="368"/>
      <c r="G27" s="170"/>
      <c r="H27" s="170"/>
      <c r="I27" s="170"/>
      <c r="J27" s="170"/>
      <c r="K27" s="170"/>
    </row>
    <row r="28" spans="2:11" s="65" customFormat="1" ht="21.75" customHeight="1">
      <c r="B28" s="391" t="s">
        <v>92</v>
      </c>
      <c r="C28" s="68"/>
      <c r="D28" s="370">
        <f>+D29+D37+D39+D42+D44</f>
        <v>4672412.406889999</v>
      </c>
      <c r="E28" s="370">
        <f>+E29+E37+E39+E42+E44</f>
        <v>15147961.02314</v>
      </c>
      <c r="F28" s="227"/>
      <c r="G28" s="468"/>
      <c r="H28" s="170"/>
      <c r="I28" s="170"/>
      <c r="J28" s="170"/>
      <c r="K28" s="170"/>
    </row>
    <row r="29" spans="2:6" s="65" customFormat="1" ht="16.5" customHeight="1">
      <c r="B29" s="73" t="s">
        <v>35</v>
      </c>
      <c r="C29" s="74"/>
      <c r="D29" s="379">
        <f>SUM(D30:D36)</f>
        <v>270440.94058</v>
      </c>
      <c r="E29" s="379">
        <f>SUM(E30:E36)</f>
        <v>876769.52937</v>
      </c>
      <c r="F29" s="272"/>
    </row>
    <row r="30" spans="2:6" s="65" customFormat="1" ht="16.5" customHeight="1">
      <c r="B30" s="422" t="s">
        <v>160</v>
      </c>
      <c r="C30" s="74" t="s">
        <v>104</v>
      </c>
      <c r="D30" s="431">
        <v>100246.76123999999</v>
      </c>
      <c r="E30" s="431">
        <f aca="true" t="shared" si="1" ref="E30:E41">ROUND(+D30*$F$9,5)</f>
        <v>324999.99994</v>
      </c>
      <c r="F30" s="422"/>
    </row>
    <row r="31" spans="2:6" s="65" customFormat="1" ht="16.5" customHeight="1">
      <c r="B31" s="422" t="s">
        <v>196</v>
      </c>
      <c r="C31" s="74" t="s">
        <v>105</v>
      </c>
      <c r="D31" s="431">
        <v>88834.05305</v>
      </c>
      <c r="E31" s="431">
        <f t="shared" si="1"/>
        <v>287999.99999</v>
      </c>
      <c r="F31" s="422"/>
    </row>
    <row r="32" spans="2:6" s="65" customFormat="1" ht="16.5" customHeight="1">
      <c r="B32" s="422" t="s">
        <v>173</v>
      </c>
      <c r="C32" s="74" t="s">
        <v>105</v>
      </c>
      <c r="D32" s="431">
        <v>40000</v>
      </c>
      <c r="E32" s="431">
        <f t="shared" si="1"/>
        <v>129680</v>
      </c>
      <c r="F32" s="422"/>
    </row>
    <row r="33" spans="2:6" s="65" customFormat="1" ht="16.5" customHeight="1">
      <c r="B33" s="422" t="s">
        <v>195</v>
      </c>
      <c r="C33" s="74" t="s">
        <v>105</v>
      </c>
      <c r="D33" s="431">
        <v>16000</v>
      </c>
      <c r="E33" s="431">
        <f t="shared" si="1"/>
        <v>51872</v>
      </c>
      <c r="F33" s="422"/>
    </row>
    <row r="34" spans="2:6" s="65" customFormat="1" ht="16.5" customHeight="1">
      <c r="B34" s="422" t="s">
        <v>198</v>
      </c>
      <c r="C34" s="74" t="s">
        <v>104</v>
      </c>
      <c r="D34" s="431">
        <v>12338.06292</v>
      </c>
      <c r="E34" s="431">
        <f>ROUND(+D34*$F$9,5)</f>
        <v>39999.99999</v>
      </c>
      <c r="F34" s="422"/>
    </row>
    <row r="35" spans="2:6" s="65" customFormat="1" ht="16.5" customHeight="1">
      <c r="B35" s="422" t="s">
        <v>162</v>
      </c>
      <c r="C35" s="74" t="s">
        <v>104</v>
      </c>
      <c r="D35" s="431">
        <v>9000</v>
      </c>
      <c r="E35" s="431">
        <f t="shared" si="1"/>
        <v>29178</v>
      </c>
      <c r="F35" s="422"/>
    </row>
    <row r="36" spans="2:6" s="65" customFormat="1" ht="16.5" customHeight="1">
      <c r="B36" s="422" t="s">
        <v>193</v>
      </c>
      <c r="C36" s="74" t="s">
        <v>104</v>
      </c>
      <c r="D36" s="431">
        <v>4022.06337</v>
      </c>
      <c r="E36" s="431">
        <f t="shared" si="1"/>
        <v>13039.52945</v>
      </c>
      <c r="F36" s="422"/>
    </row>
    <row r="37" spans="2:6" s="65" customFormat="1" ht="16.5" customHeight="1">
      <c r="B37" s="73" t="s">
        <v>127</v>
      </c>
      <c r="C37" s="74"/>
      <c r="D37" s="379">
        <f>+D38</f>
        <v>34603.55049</v>
      </c>
      <c r="E37" s="379">
        <f>+E38</f>
        <v>112184.71069</v>
      </c>
      <c r="F37" s="272"/>
    </row>
    <row r="38" spans="2:7" s="65" customFormat="1" ht="16.5" customHeight="1">
      <c r="B38" s="422" t="s">
        <v>194</v>
      </c>
      <c r="C38" s="74" t="s">
        <v>104</v>
      </c>
      <c r="D38" s="431">
        <v>34603.55049</v>
      </c>
      <c r="E38" s="431">
        <f t="shared" si="1"/>
        <v>112184.71069</v>
      </c>
      <c r="G38" s="381"/>
    </row>
    <row r="39" spans="2:5" s="65" customFormat="1" ht="16.5" customHeight="1">
      <c r="B39" s="73" t="s">
        <v>77</v>
      </c>
      <c r="C39" s="74"/>
      <c r="D39" s="379">
        <f>SUM(D40:D41)</f>
        <v>4024117.82851</v>
      </c>
      <c r="E39" s="379">
        <f>SUM(E40:E41)</f>
        <v>13046190.00003</v>
      </c>
    </row>
    <row r="40" spans="2:5" s="65" customFormat="1" ht="16.5" customHeight="1">
      <c r="B40" s="433" t="s">
        <v>247</v>
      </c>
      <c r="C40" s="74" t="s">
        <v>105</v>
      </c>
      <c r="D40" s="431">
        <v>3578099.93831</v>
      </c>
      <c r="E40" s="431">
        <f t="shared" si="1"/>
        <v>11600200</v>
      </c>
    </row>
    <row r="41" spans="2:5" s="65" customFormat="1" ht="16.5" customHeight="1">
      <c r="B41" s="433" t="s">
        <v>248</v>
      </c>
      <c r="C41" s="74" t="s">
        <v>104</v>
      </c>
      <c r="D41" s="431">
        <v>446017.89019999997</v>
      </c>
      <c r="E41" s="431">
        <f t="shared" si="1"/>
        <v>1445990.00003</v>
      </c>
    </row>
    <row r="42" spans="2:5" s="65" customFormat="1" ht="16.5" customHeight="1">
      <c r="B42" s="73" t="s">
        <v>90</v>
      </c>
      <c r="C42" s="73"/>
      <c r="D42" s="379">
        <f>+D43</f>
        <v>112266.21319</v>
      </c>
      <c r="E42" s="379">
        <f>+E43</f>
        <v>363967.06316</v>
      </c>
    </row>
    <row r="43" spans="2:5" s="65" customFormat="1" ht="16.5" customHeight="1">
      <c r="B43" s="422" t="s">
        <v>246</v>
      </c>
      <c r="C43" s="74" t="s">
        <v>104</v>
      </c>
      <c r="D43" s="431">
        <v>112266.21319</v>
      </c>
      <c r="E43" s="431">
        <f>ROUND(+D43*$F$9,5)</f>
        <v>363967.06316</v>
      </c>
    </row>
    <row r="44" spans="2:5" s="65" customFormat="1" ht="16.5" customHeight="1">
      <c r="B44" s="73" t="s">
        <v>36</v>
      </c>
      <c r="C44" s="74"/>
      <c r="D44" s="379">
        <f>SUM(D45:D47)</f>
        <v>230983.87412</v>
      </c>
      <c r="E44" s="379">
        <f>SUM(E45:E47)</f>
        <v>748849.71989</v>
      </c>
    </row>
    <row r="45" spans="2:5" s="65" customFormat="1" ht="16.5" customHeight="1">
      <c r="B45" s="422" t="s">
        <v>227</v>
      </c>
      <c r="C45" s="74" t="s">
        <v>104</v>
      </c>
      <c r="D45" s="431">
        <v>125058.92042</v>
      </c>
      <c r="E45" s="431">
        <f>ROUND(+D45*$F$9,5)</f>
        <v>405441.02</v>
      </c>
    </row>
    <row r="46" spans="2:7" s="65" customFormat="1" ht="16.5" customHeight="1">
      <c r="B46" s="422" t="s">
        <v>171</v>
      </c>
      <c r="C46" s="74" t="s">
        <v>105</v>
      </c>
      <c r="D46" s="431">
        <v>69901.2955</v>
      </c>
      <c r="E46" s="431">
        <f>ROUND(+D46*$F$9,5)</f>
        <v>226620.00001</v>
      </c>
      <c r="G46" s="381"/>
    </row>
    <row r="47" spans="2:8" s="65" customFormat="1" ht="16.5" customHeight="1">
      <c r="B47" s="422" t="s">
        <v>172</v>
      </c>
      <c r="C47" s="74" t="s">
        <v>105</v>
      </c>
      <c r="D47" s="431">
        <v>36023.658200000005</v>
      </c>
      <c r="E47" s="431">
        <f>ROUND(+D47*$F$9,5)</f>
        <v>116788.69988</v>
      </c>
      <c r="H47" s="390"/>
    </row>
    <row r="48" spans="2:5" s="65" customFormat="1" ht="9.75" customHeight="1">
      <c r="B48" s="148"/>
      <c r="C48" s="149"/>
      <c r="D48" s="404"/>
      <c r="E48" s="404"/>
    </row>
    <row r="49" spans="2:5" s="84" customFormat="1" ht="15" customHeight="1">
      <c r="B49" s="589" t="s">
        <v>102</v>
      </c>
      <c r="C49" s="150"/>
      <c r="D49" s="594">
        <f>+D28+D14</f>
        <v>7802233.3730999995</v>
      </c>
      <c r="E49" s="563">
        <f>+E28+E14</f>
        <v>25294840.595590003</v>
      </c>
    </row>
    <row r="50" spans="2:5" s="84" customFormat="1" ht="15" customHeight="1">
      <c r="B50" s="569"/>
      <c r="C50" s="151"/>
      <c r="D50" s="564"/>
      <c r="E50" s="564"/>
    </row>
    <row r="51" spans="2:5" ht="6" customHeight="1">
      <c r="B51" s="152"/>
      <c r="C51" s="152"/>
      <c r="D51" s="100"/>
      <c r="E51" s="100"/>
    </row>
    <row r="52" spans="2:5" ht="14.25" customHeight="1">
      <c r="B52" s="89" t="s">
        <v>241</v>
      </c>
      <c r="C52" s="89"/>
      <c r="D52" s="174"/>
      <c r="E52" s="65"/>
    </row>
    <row r="53" spans="2:5" ht="14.25" customHeight="1">
      <c r="B53" s="89" t="s">
        <v>244</v>
      </c>
      <c r="C53" s="89"/>
      <c r="D53" s="89"/>
      <c r="E53" s="65"/>
    </row>
    <row r="54" spans="2:5" ht="14.25" customHeight="1">
      <c r="B54" s="89" t="s">
        <v>252</v>
      </c>
      <c r="C54" s="89"/>
      <c r="D54" s="174"/>
      <c r="E54" s="65"/>
    </row>
    <row r="55" spans="2:5" ht="14.25" customHeight="1">
      <c r="B55" s="89" t="s">
        <v>251</v>
      </c>
      <c r="C55" s="89"/>
      <c r="D55" s="89"/>
      <c r="E55" s="221"/>
    </row>
    <row r="56" spans="2:5" ht="12.75">
      <c r="B56" s="89"/>
      <c r="C56" s="89"/>
      <c r="D56" s="89"/>
      <c r="E56" s="221"/>
    </row>
    <row r="57" spans="4:6" ht="15">
      <c r="D57" s="430"/>
      <c r="F57" s="224"/>
    </row>
    <row r="58" spans="2:5" ht="12.75">
      <c r="B58" s="89"/>
      <c r="D58" s="256"/>
      <c r="E58" s="256"/>
    </row>
    <row r="59" spans="2:5" ht="12.75">
      <c r="B59" s="89"/>
      <c r="D59" s="256"/>
      <c r="E59" s="256"/>
    </row>
    <row r="60" ht="12.75">
      <c r="D60" s="101"/>
    </row>
    <row r="61" spans="2:5" s="141" customFormat="1" ht="18">
      <c r="B61" s="98" t="s">
        <v>123</v>
      </c>
      <c r="C61" s="98"/>
      <c r="D61" s="98"/>
      <c r="E61" s="98"/>
    </row>
    <row r="62" spans="2:6" s="141" customFormat="1" ht="18">
      <c r="B62" s="588" t="s">
        <v>138</v>
      </c>
      <c r="C62" s="588"/>
      <c r="D62" s="588"/>
      <c r="E62" s="588"/>
      <c r="F62" s="140"/>
    </row>
    <row r="63" spans="2:6" s="141" customFormat="1" ht="18">
      <c r="B63" s="588" t="s">
        <v>139</v>
      </c>
      <c r="C63" s="588"/>
      <c r="D63" s="588"/>
      <c r="E63" s="588"/>
      <c r="F63" s="140"/>
    </row>
    <row r="64" spans="2:5" ht="16.5">
      <c r="B64" s="593" t="s">
        <v>107</v>
      </c>
      <c r="C64" s="593"/>
      <c r="D64" s="593"/>
      <c r="E64" s="593"/>
    </row>
    <row r="65" spans="2:5" ht="15.75">
      <c r="B65" s="567" t="str">
        <f>+B9</f>
        <v>Al 31 de julio de 2017</v>
      </c>
      <c r="C65" s="567"/>
      <c r="D65" s="567"/>
      <c r="E65" s="264"/>
    </row>
    <row r="66" spans="2:5" ht="9.75" customHeight="1">
      <c r="B66" s="193"/>
      <c r="C66" s="193"/>
      <c r="D66" s="193"/>
      <c r="E66" s="193"/>
    </row>
    <row r="67" spans="2:5" ht="16.5" customHeight="1">
      <c r="B67" s="435" t="s">
        <v>230</v>
      </c>
      <c r="C67" s="584" t="s">
        <v>103</v>
      </c>
      <c r="D67" s="586" t="s">
        <v>89</v>
      </c>
      <c r="E67" s="555" t="s">
        <v>168</v>
      </c>
    </row>
    <row r="68" spans="2:5" s="84" customFormat="1" ht="16.5" customHeight="1">
      <c r="B68" s="434" t="s">
        <v>231</v>
      </c>
      <c r="C68" s="585"/>
      <c r="D68" s="587"/>
      <c r="E68" s="556"/>
    </row>
    <row r="69" spans="2:5" s="84" customFormat="1" ht="9.75" customHeight="1">
      <c r="B69" s="200"/>
      <c r="C69" s="147"/>
      <c r="D69" s="99"/>
      <c r="E69" s="99"/>
    </row>
    <row r="70" spans="2:5" s="65" customFormat="1" ht="16.5" customHeight="1">
      <c r="B70" s="391" t="s">
        <v>91</v>
      </c>
      <c r="C70" s="391"/>
      <c r="D70" s="436">
        <f>+D71+D78+D80</f>
        <v>691190.2588300001</v>
      </c>
      <c r="E70" s="436">
        <f>+E71+E78+E80</f>
        <v>2240838.8191299997</v>
      </c>
    </row>
    <row r="71" spans="2:5" s="65" customFormat="1" ht="16.5" customHeight="1">
      <c r="B71" s="73" t="s">
        <v>35</v>
      </c>
      <c r="C71" s="73"/>
      <c r="D71" s="437">
        <f>SUM(D72:D77)</f>
        <v>688518.4516400001</v>
      </c>
      <c r="E71" s="437">
        <f>SUM(E72:E77)</f>
        <v>2232176.8202199996</v>
      </c>
    </row>
    <row r="72" spans="2:6" s="65" customFormat="1" ht="16.5" customHeight="1">
      <c r="B72" s="422" t="s">
        <v>198</v>
      </c>
      <c r="C72" s="74" t="s">
        <v>104</v>
      </c>
      <c r="D72" s="476">
        <v>338985.90405</v>
      </c>
      <c r="E72" s="431">
        <f aca="true" t="shared" si="2" ref="E72:E77">ROUND(+D72*$F$9,5)</f>
        <v>1098992.30093</v>
      </c>
      <c r="F72" s="422"/>
    </row>
    <row r="73" spans="2:6" s="65" customFormat="1" ht="16.5" customHeight="1">
      <c r="B73" s="422" t="s">
        <v>160</v>
      </c>
      <c r="C73" s="74" t="s">
        <v>104</v>
      </c>
      <c r="D73" s="476">
        <v>4127.8631000000005</v>
      </c>
      <c r="E73" s="431">
        <f t="shared" si="2"/>
        <v>13382.53217</v>
      </c>
      <c r="F73" s="422"/>
    </row>
    <row r="74" spans="2:6" s="65" customFormat="1" ht="16.5" customHeight="1">
      <c r="B74" s="422" t="s">
        <v>173</v>
      </c>
      <c r="C74" s="74" t="s">
        <v>105</v>
      </c>
      <c r="D74" s="476">
        <v>58012.33807</v>
      </c>
      <c r="E74" s="431">
        <f t="shared" si="2"/>
        <v>188076.00002</v>
      </c>
      <c r="F74" s="422"/>
    </row>
    <row r="75" spans="2:6" s="65" customFormat="1" ht="16.5" customHeight="1">
      <c r="B75" s="422" t="s">
        <v>193</v>
      </c>
      <c r="C75" s="74" t="s">
        <v>104</v>
      </c>
      <c r="D75" s="476">
        <v>16279.356800000001</v>
      </c>
      <c r="E75" s="431">
        <f t="shared" si="2"/>
        <v>52777.67475</v>
      </c>
      <c r="F75" s="422"/>
    </row>
    <row r="76" spans="2:6" s="65" customFormat="1" ht="16.5" customHeight="1">
      <c r="B76" s="422" t="s">
        <v>197</v>
      </c>
      <c r="C76" s="74" t="s">
        <v>104</v>
      </c>
      <c r="D76" s="476">
        <v>269483.85771</v>
      </c>
      <c r="E76" s="431">
        <f t="shared" si="2"/>
        <v>873666.6667</v>
      </c>
      <c r="F76" s="422"/>
    </row>
    <row r="77" spans="2:6" s="65" customFormat="1" ht="16.5" customHeight="1">
      <c r="B77" s="422" t="s">
        <v>174</v>
      </c>
      <c r="C77" s="74" t="s">
        <v>104</v>
      </c>
      <c r="D77" s="476">
        <v>1629.1319099999998</v>
      </c>
      <c r="E77" s="431">
        <f t="shared" si="2"/>
        <v>5281.64565</v>
      </c>
      <c r="F77" s="422"/>
    </row>
    <row r="78" spans="2:6" s="65" customFormat="1" ht="16.5" customHeight="1" hidden="1">
      <c r="B78" s="73" t="s">
        <v>127</v>
      </c>
      <c r="C78" s="75"/>
      <c r="D78" s="437">
        <f>+D79</f>
        <v>0</v>
      </c>
      <c r="E78" s="437">
        <f>+E79</f>
        <v>0</v>
      </c>
      <c r="F78" s="422" t="s">
        <v>253</v>
      </c>
    </row>
    <row r="79" spans="2:5" s="65" customFormat="1" ht="16.5" customHeight="1" hidden="1">
      <c r="B79" s="422" t="s">
        <v>194</v>
      </c>
      <c r="C79" s="74" t="s">
        <v>104</v>
      </c>
      <c r="D79" s="476">
        <v>0</v>
      </c>
      <c r="E79" s="431">
        <f>ROUND(+D79*$F$9,5)</f>
        <v>0</v>
      </c>
    </row>
    <row r="80" spans="2:5" s="65" customFormat="1" ht="16.5" customHeight="1">
      <c r="B80" s="73" t="s">
        <v>36</v>
      </c>
      <c r="C80" s="74"/>
      <c r="D80" s="379">
        <f>SUM(D81:D81)</f>
        <v>2671.80719</v>
      </c>
      <c r="E80" s="379">
        <f>SUM(E81:E81)</f>
        <v>8661.99891</v>
      </c>
    </row>
    <row r="81" spans="2:8" s="65" customFormat="1" ht="16.5" customHeight="1">
      <c r="B81" s="422" t="s">
        <v>0</v>
      </c>
      <c r="C81" s="74" t="s">
        <v>104</v>
      </c>
      <c r="D81" s="431">
        <v>2671.80719</v>
      </c>
      <c r="E81" s="431">
        <f>ROUND(+D81*$F$9,5)</f>
        <v>8661.99891</v>
      </c>
      <c r="H81" s="381"/>
    </row>
    <row r="82" spans="2:5" s="65" customFormat="1" ht="9.75" customHeight="1">
      <c r="B82" s="148"/>
      <c r="C82" s="148"/>
      <c r="D82" s="438"/>
      <c r="E82" s="438"/>
    </row>
    <row r="83" spans="2:7" s="84" customFormat="1" ht="15" customHeight="1">
      <c r="B83" s="589" t="s">
        <v>102</v>
      </c>
      <c r="C83" s="150"/>
      <c r="D83" s="591">
        <f>+D70</f>
        <v>691190.2588300001</v>
      </c>
      <c r="E83" s="591">
        <f>+E70</f>
        <v>2240838.8191299997</v>
      </c>
      <c r="G83" s="65"/>
    </row>
    <row r="84" spans="2:7" s="84" customFormat="1" ht="15" customHeight="1">
      <c r="B84" s="569"/>
      <c r="C84" s="151"/>
      <c r="D84" s="592"/>
      <c r="E84" s="592"/>
      <c r="G84" s="65"/>
    </row>
    <row r="85" spans="2:7" ht="7.5" customHeight="1">
      <c r="B85" s="152"/>
      <c r="C85" s="152"/>
      <c r="D85" s="100"/>
      <c r="E85" s="100"/>
      <c r="G85" s="65"/>
    </row>
    <row r="86" spans="4:7" ht="14.25">
      <c r="D86" s="487"/>
      <c r="E86" s="257"/>
      <c r="G86" s="65"/>
    </row>
    <row r="87" spans="4:7" ht="14.25">
      <c r="D87" s="258"/>
      <c r="G87" s="65"/>
    </row>
    <row r="88" spans="4:7" ht="14.25">
      <c r="D88" s="101"/>
      <c r="E88" s="101"/>
      <c r="G88" s="65"/>
    </row>
    <row r="89" ht="14.25">
      <c r="G89" s="65"/>
    </row>
    <row r="90" ht="14.25">
      <c r="G90" s="65"/>
    </row>
    <row r="91" ht="14.25">
      <c r="G91" s="65"/>
    </row>
    <row r="92" ht="14.25">
      <c r="G92" s="65"/>
    </row>
    <row r="93" ht="14.25">
      <c r="G93" s="65"/>
    </row>
    <row r="94" ht="14.25">
      <c r="G94" s="65"/>
    </row>
  </sheetData>
  <sheetProtection/>
  <mergeCells count="20">
    <mergeCell ref="B1:E1"/>
    <mergeCell ref="B2:E2"/>
    <mergeCell ref="B3:E3"/>
    <mergeCell ref="B4:E4"/>
    <mergeCell ref="E11:E12"/>
    <mergeCell ref="B83:B84"/>
    <mergeCell ref="D83:D84"/>
    <mergeCell ref="E83:E84"/>
    <mergeCell ref="B64:E64"/>
    <mergeCell ref="D49:D50"/>
    <mergeCell ref="C67:C68"/>
    <mergeCell ref="C11:C12"/>
    <mergeCell ref="D11:D12"/>
    <mergeCell ref="B65:D65"/>
    <mergeCell ref="E49:E50"/>
    <mergeCell ref="B62:E62"/>
    <mergeCell ref="B49:B50"/>
    <mergeCell ref="D67:D68"/>
    <mergeCell ref="B63:E63"/>
    <mergeCell ref="E67:E68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3" r:id="rId2"/>
  <ignoredErrors>
    <ignoredError sqref="E27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13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102" customWidth="1"/>
    <col min="2" max="2" width="98.8515625" style="102" customWidth="1"/>
    <col min="3" max="4" width="19.7109375" style="102" customWidth="1"/>
    <col min="5" max="5" width="15.140625" style="172" customWidth="1"/>
    <col min="6" max="6" width="13.57421875" style="102" bestFit="1" customWidth="1"/>
    <col min="7" max="7" width="21.421875" style="102" bestFit="1" customWidth="1"/>
    <col min="8" max="8" width="16.57421875" style="102" bestFit="1" customWidth="1"/>
    <col min="9" max="9" width="18.57421875" style="102" bestFit="1" customWidth="1"/>
    <col min="10" max="16384" width="11.421875" style="102" customWidth="1"/>
  </cols>
  <sheetData>
    <row r="1" ht="12.75">
      <c r="B1" s="153"/>
    </row>
    <row r="2" ht="12.75">
      <c r="B2" s="153"/>
    </row>
    <row r="3" ht="12.75">
      <c r="B3" s="153"/>
    </row>
    <row r="4" spans="2:16" ht="12.75">
      <c r="B4" s="153"/>
      <c r="P4" s="206"/>
    </row>
    <row r="5" spans="2:16" ht="18">
      <c r="B5" s="407" t="s">
        <v>16</v>
      </c>
      <c r="C5" s="407"/>
      <c r="D5" s="407"/>
      <c r="P5" s="206"/>
    </row>
    <row r="6" spans="2:16" ht="18">
      <c r="B6" s="408" t="s">
        <v>138</v>
      </c>
      <c r="C6" s="408"/>
      <c r="D6" s="408"/>
      <c r="P6" s="206"/>
    </row>
    <row r="7" spans="2:16" ht="18">
      <c r="B7" s="408" t="s">
        <v>137</v>
      </c>
      <c r="C7" s="408"/>
      <c r="D7" s="408"/>
      <c r="E7" s="307"/>
      <c r="P7" s="206"/>
    </row>
    <row r="8" spans="2:16" ht="16.5">
      <c r="B8" s="412" t="s">
        <v>59</v>
      </c>
      <c r="C8" s="409"/>
      <c r="D8" s="409"/>
      <c r="P8" s="206"/>
    </row>
    <row r="9" spans="2:16" ht="15.75">
      <c r="B9" s="410" t="str">
        <f>+'DEP-C2'!B9</f>
        <v>Al 31 de julio de 2017</v>
      </c>
      <c r="C9" s="410"/>
      <c r="D9" s="308"/>
      <c r="E9" s="411">
        <f>+Portada!H39</f>
        <v>3.242</v>
      </c>
      <c r="P9" s="206"/>
    </row>
    <row r="10" spans="2:16" s="78" customFormat="1" ht="9.75" customHeight="1">
      <c r="B10" s="512"/>
      <c r="C10" s="512"/>
      <c r="D10" s="512"/>
      <c r="E10" s="222"/>
      <c r="P10" s="207"/>
    </row>
    <row r="11" spans="2:16" ht="16.5" customHeight="1">
      <c r="B11" s="529" t="s">
        <v>99</v>
      </c>
      <c r="C11" s="595" t="s">
        <v>89</v>
      </c>
      <c r="D11" s="597" t="s">
        <v>168</v>
      </c>
      <c r="P11" s="206"/>
    </row>
    <row r="12" spans="2:16" s="114" customFormat="1" ht="16.5" customHeight="1">
      <c r="B12" s="530"/>
      <c r="C12" s="596"/>
      <c r="D12" s="598"/>
      <c r="E12" s="223"/>
      <c r="P12" s="208"/>
    </row>
    <row r="13" spans="2:16" s="114" customFormat="1" ht="9.75" customHeight="1">
      <c r="B13" s="154"/>
      <c r="C13" s="103"/>
      <c r="D13" s="115"/>
      <c r="E13" s="223"/>
      <c r="P13" s="208"/>
    </row>
    <row r="14" spans="2:16" s="78" customFormat="1" ht="19.5" customHeight="1">
      <c r="B14" s="81" t="s">
        <v>216</v>
      </c>
      <c r="C14" s="417">
        <f>+C16+C34</f>
        <v>6980885.84333</v>
      </c>
      <c r="D14" s="417">
        <f>+D16+D34</f>
        <v>22632031.904070005</v>
      </c>
      <c r="E14" s="259"/>
      <c r="F14" s="419"/>
      <c r="G14" s="309"/>
      <c r="H14" s="309"/>
      <c r="P14" s="207"/>
    </row>
    <row r="15" spans="2:16" s="78" customFormat="1" ht="9.75" customHeight="1">
      <c r="B15" s="81"/>
      <c r="C15" s="415"/>
      <c r="D15" s="417"/>
      <c r="E15" s="259"/>
      <c r="F15" s="420"/>
      <c r="G15" s="309"/>
      <c r="H15" s="309"/>
      <c r="P15" s="207"/>
    </row>
    <row r="16" spans="2:16" s="78" customFormat="1" ht="16.5" customHeight="1">
      <c r="B16" s="80" t="s">
        <v>66</v>
      </c>
      <c r="C16" s="415">
        <f>SUM(C17:C32)</f>
        <v>2420739.6496300003</v>
      </c>
      <c r="D16" s="415">
        <f>SUM(D17:D32)</f>
        <v>7848037.944100002</v>
      </c>
      <c r="E16" s="259"/>
      <c r="F16" s="421"/>
      <c r="P16" s="207"/>
    </row>
    <row r="17" spans="2:16" s="78" customFormat="1" ht="16.5" customHeight="1">
      <c r="B17" s="413" t="s">
        <v>215</v>
      </c>
      <c r="C17" s="416">
        <v>2000000</v>
      </c>
      <c r="D17" s="416">
        <f aca="true" t="shared" si="0" ref="D17:D24">ROUND(+C17*$E$9,5)</f>
        <v>6484000</v>
      </c>
      <c r="E17" s="499"/>
      <c r="F17" s="500"/>
      <c r="P17" s="207"/>
    </row>
    <row r="18" spans="2:16" s="78" customFormat="1" ht="16.5" customHeight="1">
      <c r="B18" s="413" t="s">
        <v>226</v>
      </c>
      <c r="C18" s="416">
        <v>197927.88522999999</v>
      </c>
      <c r="D18" s="416">
        <f t="shared" si="0"/>
        <v>641682.20392</v>
      </c>
      <c r="E18" s="499"/>
      <c r="F18" s="500"/>
      <c r="P18" s="207"/>
    </row>
    <row r="19" spans="2:16" s="78" customFormat="1" ht="16.5" customHeight="1">
      <c r="B19" s="413" t="s">
        <v>212</v>
      </c>
      <c r="C19" s="416">
        <v>48185.67367</v>
      </c>
      <c r="D19" s="416">
        <f t="shared" si="0"/>
        <v>156217.95404</v>
      </c>
      <c r="E19" s="499"/>
      <c r="F19" s="500"/>
      <c r="P19" s="207"/>
    </row>
    <row r="20" spans="2:16" s="78" customFormat="1" ht="16.5" customHeight="1">
      <c r="B20" s="413" t="s">
        <v>205</v>
      </c>
      <c r="C20" s="416">
        <v>40196.99993</v>
      </c>
      <c r="D20" s="416">
        <f t="shared" si="0"/>
        <v>130318.67377</v>
      </c>
      <c r="E20" s="499"/>
      <c r="F20" s="500"/>
      <c r="P20" s="207"/>
    </row>
    <row r="21" spans="2:16" s="78" customFormat="1" ht="16.5" customHeight="1">
      <c r="B21" s="413" t="s">
        <v>176</v>
      </c>
      <c r="C21" s="416">
        <v>37727.59961999999</v>
      </c>
      <c r="D21" s="416">
        <f t="shared" si="0"/>
        <v>122312.87797</v>
      </c>
      <c r="E21" s="499"/>
      <c r="F21" s="500"/>
      <c r="P21" s="207"/>
    </row>
    <row r="22" spans="2:16" s="78" customFormat="1" ht="16.5" customHeight="1">
      <c r="B22" s="413" t="s">
        <v>70</v>
      </c>
      <c r="C22" s="416">
        <v>23080.54905</v>
      </c>
      <c r="D22" s="416">
        <f>ROUND(+C22*$E$9,5)</f>
        <v>74827.14002</v>
      </c>
      <c r="E22" s="499"/>
      <c r="F22" s="500"/>
      <c r="P22" s="207"/>
    </row>
    <row r="23" spans="2:16" s="78" customFormat="1" ht="16.5" customHeight="1">
      <c r="B23" s="413" t="s">
        <v>214</v>
      </c>
      <c r="C23" s="416">
        <v>21451.12493</v>
      </c>
      <c r="D23" s="416">
        <f t="shared" si="0"/>
        <v>69544.54702</v>
      </c>
      <c r="E23" s="499"/>
      <c r="F23" s="500"/>
      <c r="P23" s="207"/>
    </row>
    <row r="24" spans="2:16" s="78" customFormat="1" ht="16.5" customHeight="1">
      <c r="B24" s="413" t="s">
        <v>175</v>
      </c>
      <c r="C24" s="416">
        <v>18093.19034</v>
      </c>
      <c r="D24" s="416">
        <f t="shared" si="0"/>
        <v>58658.12308</v>
      </c>
      <c r="E24" s="499"/>
      <c r="F24" s="500"/>
      <c r="P24" s="207"/>
    </row>
    <row r="25" spans="2:16" s="78" customFormat="1" ht="16.5" customHeight="1">
      <c r="B25" s="413" t="s">
        <v>178</v>
      </c>
      <c r="C25" s="416">
        <v>12535.47951</v>
      </c>
      <c r="D25" s="416">
        <f aca="true" t="shared" si="1" ref="D25:D32">ROUND(+C25*$E$9,5)</f>
        <v>40640.02457</v>
      </c>
      <c r="E25" s="499"/>
      <c r="F25" s="500"/>
      <c r="P25" s="207"/>
    </row>
    <row r="26" spans="2:16" s="78" customFormat="1" ht="16.5" customHeight="1">
      <c r="B26" s="413" t="s">
        <v>206</v>
      </c>
      <c r="C26" s="416">
        <v>6089.273099999999</v>
      </c>
      <c r="D26" s="416">
        <f t="shared" si="1"/>
        <v>19741.42339</v>
      </c>
      <c r="E26" s="499"/>
      <c r="F26" s="500"/>
      <c r="P26" s="207"/>
    </row>
    <row r="27" spans="2:16" s="78" customFormat="1" ht="16.5" customHeight="1">
      <c r="B27" s="413" t="s">
        <v>210</v>
      </c>
      <c r="C27" s="416">
        <v>5872.47375</v>
      </c>
      <c r="D27" s="416">
        <f t="shared" si="1"/>
        <v>19038.5599</v>
      </c>
      <c r="E27" s="499"/>
      <c r="F27" s="500"/>
      <c r="P27" s="207"/>
    </row>
    <row r="28" spans="2:16" s="78" customFormat="1" ht="16.5" customHeight="1">
      <c r="B28" s="413" t="s">
        <v>211</v>
      </c>
      <c r="C28" s="416">
        <v>3238.20874</v>
      </c>
      <c r="D28" s="416">
        <f t="shared" si="1"/>
        <v>10498.27274</v>
      </c>
      <c r="E28" s="499"/>
      <c r="F28" s="500"/>
      <c r="P28" s="207"/>
    </row>
    <row r="29" spans="2:16" s="78" customFormat="1" ht="16.5" customHeight="1">
      <c r="B29" s="413" t="s">
        <v>204</v>
      </c>
      <c r="C29" s="416">
        <v>3231.23021</v>
      </c>
      <c r="D29" s="416">
        <f t="shared" si="1"/>
        <v>10475.64834</v>
      </c>
      <c r="E29" s="499"/>
      <c r="F29" s="500"/>
      <c r="P29" s="207"/>
    </row>
    <row r="30" spans="2:16" s="78" customFormat="1" ht="16.5" customHeight="1">
      <c r="B30" s="413" t="s">
        <v>49</v>
      </c>
      <c r="C30" s="416">
        <v>2317.12422</v>
      </c>
      <c r="D30" s="416">
        <f t="shared" si="1"/>
        <v>7512.11672</v>
      </c>
      <c r="E30" s="499"/>
      <c r="F30" s="500"/>
      <c r="P30" s="207"/>
    </row>
    <row r="31" spans="2:16" s="78" customFormat="1" ht="16.5" customHeight="1">
      <c r="B31" s="413" t="s">
        <v>209</v>
      </c>
      <c r="C31" s="416">
        <v>654.04818</v>
      </c>
      <c r="D31" s="416">
        <f t="shared" si="1"/>
        <v>2120.4242</v>
      </c>
      <c r="E31" s="499"/>
      <c r="F31" s="500"/>
      <c r="P31" s="207"/>
    </row>
    <row r="32" spans="2:16" s="78" customFormat="1" ht="16.5" customHeight="1">
      <c r="B32" s="413" t="s">
        <v>43</v>
      </c>
      <c r="C32" s="416">
        <v>138.78915</v>
      </c>
      <c r="D32" s="416">
        <f t="shared" si="1"/>
        <v>449.95442</v>
      </c>
      <c r="E32" s="499"/>
      <c r="F32" s="500"/>
      <c r="P32" s="207"/>
    </row>
    <row r="33" spans="2:16" s="78" customFormat="1" ht="12" customHeight="1">
      <c r="B33" s="311"/>
      <c r="C33" s="418"/>
      <c r="D33" s="418"/>
      <c r="E33" s="259"/>
      <c r="F33" s="421"/>
      <c r="P33" s="207"/>
    </row>
    <row r="34" spans="2:16" s="78" customFormat="1" ht="16.5" customHeight="1">
      <c r="B34" s="80" t="s">
        <v>25</v>
      </c>
      <c r="C34" s="415">
        <f>SUM(C35:C37)</f>
        <v>4560146.1937</v>
      </c>
      <c r="D34" s="415">
        <f>+SUM(D35:D37)</f>
        <v>14783993.959970001</v>
      </c>
      <c r="E34" s="259"/>
      <c r="F34" s="421"/>
      <c r="P34" s="207"/>
    </row>
    <row r="35" spans="2:16" s="78" customFormat="1" ht="16.5" customHeight="1">
      <c r="B35" s="413" t="s">
        <v>229</v>
      </c>
      <c r="C35" s="416">
        <v>2428258.63126</v>
      </c>
      <c r="D35" s="416">
        <f>ROUND(+C35*$E$9,5)</f>
        <v>7872414.48254</v>
      </c>
      <c r="E35" s="259"/>
      <c r="F35" s="421"/>
      <c r="P35" s="207"/>
    </row>
    <row r="36" spans="2:16" s="78" customFormat="1" ht="16.5" customHeight="1">
      <c r="B36" s="414" t="s">
        <v>177</v>
      </c>
      <c r="C36" s="416">
        <v>1869415.48427</v>
      </c>
      <c r="D36" s="416">
        <f>ROUND(+C36*$E$9,5)</f>
        <v>6060645</v>
      </c>
      <c r="E36" s="259"/>
      <c r="F36" s="421"/>
      <c r="P36" s="207"/>
    </row>
    <row r="37" spans="2:16" s="78" customFormat="1" ht="16.5" customHeight="1">
      <c r="B37" s="413" t="s">
        <v>126</v>
      </c>
      <c r="C37" s="416">
        <v>262472.07817000005</v>
      </c>
      <c r="D37" s="416">
        <f>ROUND(+C37*$E$9,5)</f>
        <v>850934.47743</v>
      </c>
      <c r="E37" s="259"/>
      <c r="F37" s="421"/>
      <c r="P37" s="207"/>
    </row>
    <row r="38" spans="2:16" s="78" customFormat="1" ht="15" customHeight="1">
      <c r="B38" s="311"/>
      <c r="C38" s="79"/>
      <c r="D38" s="79"/>
      <c r="E38" s="259"/>
      <c r="F38" s="421"/>
      <c r="P38" s="207"/>
    </row>
    <row r="39" spans="2:16" s="78" customFormat="1" ht="19.5" customHeight="1">
      <c r="B39" s="81" t="s">
        <v>217</v>
      </c>
      <c r="C39" s="423">
        <f>+C41+C67</f>
        <v>821347.52977</v>
      </c>
      <c r="D39" s="417">
        <f>+D41+D67</f>
        <v>2662808.691529999</v>
      </c>
      <c r="E39" s="259"/>
      <c r="F39" s="421"/>
      <c r="P39" s="207"/>
    </row>
    <row r="40" spans="2:16" s="78" customFormat="1" ht="9.75" customHeight="1">
      <c r="B40" s="81"/>
      <c r="C40" s="423"/>
      <c r="D40" s="417"/>
      <c r="E40" s="259"/>
      <c r="F40" s="421"/>
      <c r="P40" s="207"/>
    </row>
    <row r="41" spans="2:16" s="78" customFormat="1" ht="16.5" customHeight="1">
      <c r="B41" s="80" t="s">
        <v>24</v>
      </c>
      <c r="C41" s="424">
        <f>SUM(C42:C65)</f>
        <v>709081.31658</v>
      </c>
      <c r="D41" s="415">
        <f>SUM(D42:D65)</f>
        <v>2298841.628369999</v>
      </c>
      <c r="E41" s="259"/>
      <c r="F41" s="500"/>
      <c r="P41" s="207"/>
    </row>
    <row r="42" spans="2:16" s="78" customFormat="1" ht="16.5" customHeight="1">
      <c r="B42" s="413" t="s">
        <v>226</v>
      </c>
      <c r="C42" s="425">
        <v>557520.43653</v>
      </c>
      <c r="D42" s="416">
        <f aca="true" t="shared" si="2" ref="D42:D65">ROUND(+C42*$E$9,5)</f>
        <v>1807481.25523</v>
      </c>
      <c r="E42" s="414"/>
      <c r="F42" s="500"/>
      <c r="P42" s="207"/>
    </row>
    <row r="43" spans="2:16" s="78" customFormat="1" ht="16.5" customHeight="1">
      <c r="B43" s="371" t="s">
        <v>38</v>
      </c>
      <c r="C43" s="425">
        <v>71559.38309</v>
      </c>
      <c r="D43" s="416">
        <f t="shared" si="2"/>
        <v>231995.51998</v>
      </c>
      <c r="E43" s="414"/>
      <c r="F43" s="500"/>
      <c r="P43" s="207"/>
    </row>
    <row r="44" spans="2:16" s="78" customFormat="1" ht="16.5" customHeight="1">
      <c r="B44" s="371" t="s">
        <v>220</v>
      </c>
      <c r="C44" s="425">
        <v>25059.01049</v>
      </c>
      <c r="D44" s="416">
        <f t="shared" si="2"/>
        <v>81241.31201</v>
      </c>
      <c r="E44" s="414"/>
      <c r="F44" s="500"/>
      <c r="P44" s="207"/>
    </row>
    <row r="45" spans="2:16" s="78" customFormat="1" ht="16.5" customHeight="1">
      <c r="B45" s="371" t="s">
        <v>211</v>
      </c>
      <c r="C45" s="425">
        <v>10914.4783</v>
      </c>
      <c r="D45" s="416">
        <f t="shared" si="2"/>
        <v>35384.73865</v>
      </c>
      <c r="E45" s="414"/>
      <c r="F45" s="500"/>
      <c r="P45" s="207"/>
    </row>
    <row r="46" spans="2:16" s="78" customFormat="1" ht="16.5" customHeight="1">
      <c r="B46" s="371" t="s">
        <v>147</v>
      </c>
      <c r="C46" s="425">
        <v>7847.17296</v>
      </c>
      <c r="D46" s="416">
        <f t="shared" si="2"/>
        <v>25440.53474</v>
      </c>
      <c r="E46" s="414"/>
      <c r="F46" s="500"/>
      <c r="P46" s="207"/>
    </row>
    <row r="47" spans="2:16" s="78" customFormat="1" ht="16.5" customHeight="1">
      <c r="B47" s="371" t="s">
        <v>40</v>
      </c>
      <c r="C47" s="425">
        <v>6604.67342</v>
      </c>
      <c r="D47" s="416">
        <f t="shared" si="2"/>
        <v>21412.35123</v>
      </c>
      <c r="E47" s="414"/>
      <c r="F47" s="500"/>
      <c r="P47" s="207"/>
    </row>
    <row r="48" spans="2:16" s="78" customFormat="1" ht="16.5" customHeight="1">
      <c r="B48" s="371" t="s">
        <v>221</v>
      </c>
      <c r="C48" s="425">
        <v>5570.6433799999995</v>
      </c>
      <c r="D48" s="416">
        <f t="shared" si="2"/>
        <v>18060.02584</v>
      </c>
      <c r="E48" s="414"/>
      <c r="F48" s="500"/>
      <c r="P48" s="207"/>
    </row>
    <row r="49" spans="2:16" s="78" customFormat="1" ht="16.5" customHeight="1">
      <c r="B49" s="371" t="s">
        <v>71</v>
      </c>
      <c r="C49" s="425">
        <v>4396.78946</v>
      </c>
      <c r="D49" s="416">
        <f t="shared" si="2"/>
        <v>14254.39143</v>
      </c>
      <c r="E49" s="414"/>
      <c r="F49" s="500"/>
      <c r="P49" s="207"/>
    </row>
    <row r="50" spans="2:16" s="78" customFormat="1" ht="16.5" customHeight="1">
      <c r="B50" s="371" t="s">
        <v>47</v>
      </c>
      <c r="C50" s="425">
        <v>4078.72801</v>
      </c>
      <c r="D50" s="416">
        <f t="shared" si="2"/>
        <v>13223.23621</v>
      </c>
      <c r="E50" s="414"/>
      <c r="F50" s="500"/>
      <c r="P50" s="207"/>
    </row>
    <row r="51" spans="2:16" s="78" customFormat="1" ht="16.5" customHeight="1">
      <c r="B51" s="371" t="s">
        <v>42</v>
      </c>
      <c r="C51" s="425">
        <v>3420.26199</v>
      </c>
      <c r="D51" s="416">
        <f t="shared" si="2"/>
        <v>11088.48937</v>
      </c>
      <c r="E51" s="414"/>
      <c r="F51" s="500"/>
      <c r="P51" s="207"/>
    </row>
    <row r="52" spans="2:16" s="78" customFormat="1" ht="16.5" customHeight="1">
      <c r="B52" s="371" t="s">
        <v>44</v>
      </c>
      <c r="C52" s="425">
        <v>3245.8808799999997</v>
      </c>
      <c r="D52" s="416">
        <f t="shared" si="2"/>
        <v>10523.14581</v>
      </c>
      <c r="E52" s="414"/>
      <c r="F52" s="500"/>
      <c r="P52" s="207"/>
    </row>
    <row r="53" spans="2:16" s="78" customFormat="1" ht="16.5" customHeight="1">
      <c r="B53" s="371" t="s">
        <v>222</v>
      </c>
      <c r="C53" s="425">
        <v>2401.6675699999996</v>
      </c>
      <c r="D53" s="416">
        <f t="shared" si="2"/>
        <v>7786.20626</v>
      </c>
      <c r="E53" s="414"/>
      <c r="F53" s="500"/>
      <c r="P53" s="207"/>
    </row>
    <row r="54" spans="2:16" s="78" customFormat="1" ht="16.5" customHeight="1">
      <c r="B54" s="371" t="s">
        <v>51</v>
      </c>
      <c r="C54" s="425">
        <v>1748.98851</v>
      </c>
      <c r="D54" s="416">
        <f t="shared" si="2"/>
        <v>5670.22075</v>
      </c>
      <c r="E54" s="414"/>
      <c r="F54" s="500"/>
      <c r="P54" s="207"/>
    </row>
    <row r="55" spans="2:16" s="78" customFormat="1" ht="16.5" customHeight="1">
      <c r="B55" s="371" t="s">
        <v>161</v>
      </c>
      <c r="C55" s="425">
        <v>1559.70784</v>
      </c>
      <c r="D55" s="416">
        <f t="shared" si="2"/>
        <v>5056.57282</v>
      </c>
      <c r="E55" s="414"/>
      <c r="F55" s="500"/>
      <c r="P55" s="207"/>
    </row>
    <row r="56" spans="2:16" s="78" customFormat="1" ht="16.5" customHeight="1">
      <c r="B56" s="371" t="s">
        <v>223</v>
      </c>
      <c r="C56" s="425">
        <v>860.23936</v>
      </c>
      <c r="D56" s="416">
        <f t="shared" si="2"/>
        <v>2788.89601</v>
      </c>
      <c r="E56" s="414"/>
      <c r="F56" s="500"/>
      <c r="P56" s="207"/>
    </row>
    <row r="57" spans="2:16" s="78" customFormat="1" ht="16.5" customHeight="1">
      <c r="B57" s="371" t="s">
        <v>224</v>
      </c>
      <c r="C57" s="425">
        <v>657.50405</v>
      </c>
      <c r="D57" s="416">
        <f t="shared" si="2"/>
        <v>2131.62813</v>
      </c>
      <c r="E57" s="414"/>
      <c r="F57" s="500"/>
      <c r="P57" s="207"/>
    </row>
    <row r="58" spans="2:16" s="78" customFormat="1" ht="16.5" customHeight="1">
      <c r="B58" s="371" t="s">
        <v>46</v>
      </c>
      <c r="C58" s="425">
        <v>431.42654</v>
      </c>
      <c r="D58" s="416">
        <f t="shared" si="2"/>
        <v>1398.68484</v>
      </c>
      <c r="E58" s="414"/>
      <c r="F58" s="500"/>
      <c r="P58" s="207"/>
    </row>
    <row r="59" spans="2:16" s="78" customFormat="1" ht="16.5" customHeight="1">
      <c r="B59" s="371" t="s">
        <v>50</v>
      </c>
      <c r="C59" s="425">
        <v>388.44314</v>
      </c>
      <c r="D59" s="416">
        <f t="shared" si="2"/>
        <v>1259.33266</v>
      </c>
      <c r="E59" s="414"/>
      <c r="F59" s="500"/>
      <c r="P59" s="207"/>
    </row>
    <row r="60" spans="2:16" s="78" customFormat="1" ht="16.5" customHeight="1">
      <c r="B60" s="371" t="s">
        <v>207</v>
      </c>
      <c r="C60" s="425">
        <v>355.44648</v>
      </c>
      <c r="D60" s="416">
        <f t="shared" si="2"/>
        <v>1152.35749</v>
      </c>
      <c r="E60" s="414"/>
      <c r="F60" s="500"/>
      <c r="P60" s="207"/>
    </row>
    <row r="61" spans="2:16" s="78" customFormat="1" ht="16.5" customHeight="1">
      <c r="B61" s="371" t="s">
        <v>208</v>
      </c>
      <c r="C61" s="425">
        <v>141.47985</v>
      </c>
      <c r="D61" s="416">
        <f t="shared" si="2"/>
        <v>458.67767</v>
      </c>
      <c r="E61" s="414"/>
      <c r="F61" s="500"/>
      <c r="P61" s="207"/>
    </row>
    <row r="62" spans="2:16" s="78" customFormat="1" ht="16.5" customHeight="1">
      <c r="B62" s="371" t="s">
        <v>57</v>
      </c>
      <c r="C62" s="425">
        <v>119.69133000000001</v>
      </c>
      <c r="D62" s="416">
        <f t="shared" si="2"/>
        <v>388.03929</v>
      </c>
      <c r="E62" s="414"/>
      <c r="F62" s="500"/>
      <c r="P62" s="207"/>
    </row>
    <row r="63" spans="2:16" s="78" customFormat="1" ht="16.5" customHeight="1">
      <c r="B63" s="371" t="s">
        <v>225</v>
      </c>
      <c r="C63" s="425">
        <v>89.0037</v>
      </c>
      <c r="D63" s="416">
        <f t="shared" si="2"/>
        <v>288.55</v>
      </c>
      <c r="E63" s="414"/>
      <c r="F63" s="500"/>
      <c r="P63" s="207"/>
    </row>
    <row r="64" spans="2:16" s="78" customFormat="1" ht="16.5" customHeight="1">
      <c r="B64" s="371" t="s">
        <v>54</v>
      </c>
      <c r="C64" s="425">
        <v>80.73855999999999</v>
      </c>
      <c r="D64" s="416">
        <f t="shared" si="2"/>
        <v>261.75441</v>
      </c>
      <c r="E64" s="414"/>
      <c r="F64" s="500"/>
      <c r="P64" s="207"/>
    </row>
    <row r="65" spans="2:16" s="78" customFormat="1" ht="16.5" customHeight="1">
      <c r="B65" s="371" t="s">
        <v>56</v>
      </c>
      <c r="C65" s="425">
        <v>29.52114</v>
      </c>
      <c r="D65" s="416">
        <f t="shared" si="2"/>
        <v>95.70754</v>
      </c>
      <c r="E65" s="414"/>
      <c r="F65" s="500"/>
      <c r="P65" s="207"/>
    </row>
    <row r="66" spans="2:16" s="78" customFormat="1" ht="12" customHeight="1">
      <c r="B66" s="422"/>
      <c r="C66" s="426"/>
      <c r="D66" s="418"/>
      <c r="E66" s="259"/>
      <c r="F66" s="500"/>
      <c r="P66" s="207"/>
    </row>
    <row r="67" spans="2:16" s="78" customFormat="1" ht="16.5" customHeight="1">
      <c r="B67" s="80" t="s">
        <v>25</v>
      </c>
      <c r="C67" s="424">
        <f>+C68</f>
        <v>112266.21319</v>
      </c>
      <c r="D67" s="415">
        <f>+D68</f>
        <v>363967.06316</v>
      </c>
      <c r="E67" s="259"/>
      <c r="F67" s="421"/>
      <c r="P67" s="207"/>
    </row>
    <row r="68" spans="2:16" s="78" customFormat="1" ht="16.5" customHeight="1">
      <c r="B68" s="371" t="s">
        <v>227</v>
      </c>
      <c r="C68" s="425">
        <v>112266.21319</v>
      </c>
      <c r="D68" s="416">
        <f>ROUND(+C68*$E$9,5)</f>
        <v>363967.06316</v>
      </c>
      <c r="E68" s="259"/>
      <c r="F68" s="421"/>
      <c r="P68" s="207"/>
    </row>
    <row r="69" spans="2:16" s="78" customFormat="1" ht="9.75" customHeight="1">
      <c r="B69" s="76"/>
      <c r="C69" s="427"/>
      <c r="D69" s="428"/>
      <c r="E69" s="259"/>
      <c r="F69" s="421"/>
      <c r="P69" s="207"/>
    </row>
    <row r="70" spans="2:16" s="78" customFormat="1" ht="18" customHeight="1" hidden="1">
      <c r="B70" s="155"/>
      <c r="C70" s="425"/>
      <c r="D70" s="416"/>
      <c r="E70" s="259"/>
      <c r="F70" s="421"/>
      <c r="P70" s="207"/>
    </row>
    <row r="71" spans="2:16" s="78" customFormat="1" ht="21.75" customHeight="1" hidden="1">
      <c r="B71" s="81" t="s">
        <v>114</v>
      </c>
      <c r="C71" s="423">
        <f>+C72</f>
        <v>0</v>
      </c>
      <c r="D71" s="417">
        <f>+D72</f>
        <v>0</v>
      </c>
      <c r="E71" s="259"/>
      <c r="F71" s="421"/>
      <c r="H71" s="312"/>
      <c r="P71" s="207"/>
    </row>
    <row r="72" spans="2:16" s="78" customFormat="1" ht="21.75" customHeight="1" hidden="1">
      <c r="B72" s="76" t="s">
        <v>66</v>
      </c>
      <c r="C72" s="427">
        <f>+C73</f>
        <v>0</v>
      </c>
      <c r="D72" s="428">
        <f>+D73</f>
        <v>0</v>
      </c>
      <c r="E72" s="259"/>
      <c r="F72" s="421"/>
      <c r="H72" s="312"/>
      <c r="P72" s="207"/>
    </row>
    <row r="73" spans="2:16" s="78" customFormat="1" ht="21.75" customHeight="1" hidden="1">
      <c r="B73" s="310" t="s">
        <v>111</v>
      </c>
      <c r="C73" s="426">
        <v>0</v>
      </c>
      <c r="D73" s="418">
        <f>+C73*$E$9</f>
        <v>0</v>
      </c>
      <c r="E73" s="259"/>
      <c r="F73" s="421"/>
      <c r="H73" s="312"/>
      <c r="P73" s="207"/>
    </row>
    <row r="74" spans="2:16" s="78" customFormat="1" ht="19.5" customHeight="1" hidden="1">
      <c r="B74" s="155"/>
      <c r="C74" s="425"/>
      <c r="D74" s="416"/>
      <c r="E74" s="259"/>
      <c r="F74" s="421"/>
      <c r="P74" s="207"/>
    </row>
    <row r="75" spans="2:16" s="78" customFormat="1" ht="21.75" customHeight="1" hidden="1">
      <c r="B75" s="81" t="s">
        <v>140</v>
      </c>
      <c r="C75" s="423">
        <f>+C76+C100</f>
        <v>0</v>
      </c>
      <c r="D75" s="417">
        <f>+D76+D100</f>
        <v>0</v>
      </c>
      <c r="E75" s="259"/>
      <c r="F75" s="421"/>
      <c r="P75" s="207"/>
    </row>
    <row r="76" spans="2:16" s="78" customFormat="1" ht="21.75" customHeight="1" hidden="1">
      <c r="B76" s="80" t="s">
        <v>24</v>
      </c>
      <c r="C76" s="424">
        <f>SUM(C77:C98)</f>
        <v>0</v>
      </c>
      <c r="D76" s="415">
        <f>SUM(D77:D98)</f>
        <v>0</v>
      </c>
      <c r="E76" s="259"/>
      <c r="F76" s="421"/>
      <c r="P76" s="207"/>
    </row>
    <row r="77" spans="2:16" s="78" customFormat="1" ht="21.75" customHeight="1" hidden="1">
      <c r="B77" s="310" t="s">
        <v>110</v>
      </c>
      <c r="C77" s="426"/>
      <c r="D77" s="418">
        <f aca="true" t="shared" si="3" ref="D77:D98">+C77*$E$9</f>
        <v>0</v>
      </c>
      <c r="E77" s="259"/>
      <c r="F77" s="421"/>
      <c r="P77" s="207"/>
    </row>
    <row r="78" spans="2:16" s="78" customFormat="1" ht="21.75" customHeight="1" hidden="1">
      <c r="B78" s="310" t="s">
        <v>38</v>
      </c>
      <c r="C78" s="426"/>
      <c r="D78" s="418">
        <f t="shared" si="3"/>
        <v>0</v>
      </c>
      <c r="E78" s="259"/>
      <c r="F78" s="421"/>
      <c r="P78" s="207"/>
    </row>
    <row r="79" spans="2:16" s="78" customFormat="1" ht="21.75" customHeight="1" hidden="1">
      <c r="B79" s="310" t="s">
        <v>39</v>
      </c>
      <c r="C79" s="426"/>
      <c r="D79" s="418">
        <f t="shared" si="3"/>
        <v>0</v>
      </c>
      <c r="E79" s="259"/>
      <c r="F79" s="421"/>
      <c r="P79" s="207"/>
    </row>
    <row r="80" spans="2:16" s="78" customFormat="1" ht="21.75" customHeight="1" hidden="1">
      <c r="B80" s="310" t="s">
        <v>41</v>
      </c>
      <c r="C80" s="426"/>
      <c r="D80" s="418">
        <f t="shared" si="3"/>
        <v>0</v>
      </c>
      <c r="E80" s="259"/>
      <c r="F80" s="421"/>
      <c r="P80" s="207"/>
    </row>
    <row r="81" spans="2:16" s="78" customFormat="1" ht="21.75" customHeight="1" hidden="1">
      <c r="B81" s="310" t="s">
        <v>147</v>
      </c>
      <c r="C81" s="426"/>
      <c r="D81" s="418">
        <f t="shared" si="3"/>
        <v>0</v>
      </c>
      <c r="E81" s="259"/>
      <c r="F81" s="421"/>
      <c r="P81" s="207"/>
    </row>
    <row r="82" spans="2:16" s="78" customFormat="1" ht="21.75" customHeight="1" hidden="1">
      <c r="B82" s="310" t="s">
        <v>40</v>
      </c>
      <c r="C82" s="426"/>
      <c r="D82" s="418">
        <f t="shared" si="3"/>
        <v>0</v>
      </c>
      <c r="E82" s="259"/>
      <c r="F82" s="421"/>
      <c r="P82" s="207"/>
    </row>
    <row r="83" spans="2:16" s="78" customFormat="1" ht="21.75" customHeight="1" hidden="1">
      <c r="B83" s="310" t="s">
        <v>45</v>
      </c>
      <c r="C83" s="426"/>
      <c r="D83" s="418">
        <f t="shared" si="3"/>
        <v>0</v>
      </c>
      <c r="E83" s="259"/>
      <c r="F83" s="421"/>
      <c r="P83" s="207"/>
    </row>
    <row r="84" spans="2:16" s="78" customFormat="1" ht="21.75" customHeight="1" hidden="1">
      <c r="B84" s="310" t="s">
        <v>71</v>
      </c>
      <c r="C84" s="426"/>
      <c r="D84" s="418">
        <f t="shared" si="3"/>
        <v>0</v>
      </c>
      <c r="E84" s="259"/>
      <c r="F84" s="421"/>
      <c r="P84" s="207"/>
    </row>
    <row r="85" spans="2:16" s="78" customFormat="1" ht="21.75" customHeight="1" hidden="1">
      <c r="B85" s="310" t="s">
        <v>47</v>
      </c>
      <c r="C85" s="426"/>
      <c r="D85" s="418">
        <f t="shared" si="3"/>
        <v>0</v>
      </c>
      <c r="E85" s="259"/>
      <c r="F85" s="421"/>
      <c r="P85" s="207"/>
    </row>
    <row r="86" spans="2:16" s="78" customFormat="1" ht="21.75" customHeight="1" hidden="1">
      <c r="B86" s="310" t="s">
        <v>42</v>
      </c>
      <c r="C86" s="426"/>
      <c r="D86" s="418">
        <f t="shared" si="3"/>
        <v>0</v>
      </c>
      <c r="E86" s="259"/>
      <c r="F86" s="421"/>
      <c r="P86" s="207"/>
    </row>
    <row r="87" spans="2:16" s="78" customFormat="1" ht="21.75" customHeight="1" hidden="1">
      <c r="B87" s="310" t="s">
        <v>44</v>
      </c>
      <c r="C87" s="426"/>
      <c r="D87" s="418">
        <f t="shared" si="3"/>
        <v>0</v>
      </c>
      <c r="E87" s="259"/>
      <c r="F87" s="421"/>
      <c r="P87" s="207"/>
    </row>
    <row r="88" spans="2:16" s="78" customFormat="1" ht="21.75" customHeight="1" hidden="1">
      <c r="B88" s="310" t="s">
        <v>48</v>
      </c>
      <c r="C88" s="426"/>
      <c r="D88" s="418">
        <f t="shared" si="3"/>
        <v>0</v>
      </c>
      <c r="E88" s="259"/>
      <c r="F88" s="421"/>
      <c r="P88" s="207"/>
    </row>
    <row r="89" spans="2:16" s="78" customFormat="1" ht="21.75" customHeight="1" hidden="1">
      <c r="B89" s="310" t="s">
        <v>51</v>
      </c>
      <c r="C89" s="426"/>
      <c r="D89" s="418">
        <f t="shared" si="3"/>
        <v>0</v>
      </c>
      <c r="E89" s="259"/>
      <c r="F89" s="421"/>
      <c r="P89" s="207"/>
    </row>
    <row r="90" spans="2:16" s="78" customFormat="1" ht="21.75" customHeight="1" hidden="1">
      <c r="B90" s="310" t="s">
        <v>161</v>
      </c>
      <c r="C90" s="426"/>
      <c r="D90" s="418">
        <f t="shared" si="3"/>
        <v>0</v>
      </c>
      <c r="E90" s="259"/>
      <c r="F90" s="421"/>
      <c r="P90" s="207"/>
    </row>
    <row r="91" spans="2:16" s="78" customFormat="1" ht="21.75" customHeight="1" hidden="1">
      <c r="B91" s="310" t="s">
        <v>53</v>
      </c>
      <c r="C91" s="426"/>
      <c r="D91" s="418">
        <f t="shared" si="3"/>
        <v>0</v>
      </c>
      <c r="E91" s="259"/>
      <c r="F91" s="421"/>
      <c r="P91" s="207"/>
    </row>
    <row r="92" spans="2:16" s="78" customFormat="1" ht="21.75" customHeight="1" hidden="1">
      <c r="B92" s="310" t="s">
        <v>55</v>
      </c>
      <c r="C92" s="426"/>
      <c r="D92" s="418">
        <f t="shared" si="3"/>
        <v>0</v>
      </c>
      <c r="E92" s="259"/>
      <c r="F92" s="421"/>
      <c r="P92" s="207"/>
    </row>
    <row r="93" spans="2:16" s="78" customFormat="1" ht="21.75" customHeight="1" hidden="1">
      <c r="B93" s="310" t="s">
        <v>46</v>
      </c>
      <c r="C93" s="426"/>
      <c r="D93" s="418">
        <f t="shared" si="3"/>
        <v>0</v>
      </c>
      <c r="E93" s="259"/>
      <c r="F93" s="421"/>
      <c r="P93" s="207"/>
    </row>
    <row r="94" spans="2:16" s="78" customFormat="1" ht="21.75" customHeight="1" hidden="1">
      <c r="B94" s="310" t="s">
        <v>50</v>
      </c>
      <c r="C94" s="426"/>
      <c r="D94" s="418">
        <f t="shared" si="3"/>
        <v>0</v>
      </c>
      <c r="E94" s="259"/>
      <c r="F94" s="421"/>
      <c r="P94" s="207"/>
    </row>
    <row r="95" spans="2:16" s="78" customFormat="1" ht="21.75" customHeight="1" hidden="1">
      <c r="B95" s="310" t="s">
        <v>57</v>
      </c>
      <c r="C95" s="426"/>
      <c r="D95" s="418">
        <f t="shared" si="3"/>
        <v>0</v>
      </c>
      <c r="E95" s="259"/>
      <c r="F95" s="421"/>
      <c r="P95" s="207"/>
    </row>
    <row r="96" spans="2:16" s="78" customFormat="1" ht="21.75" customHeight="1" hidden="1">
      <c r="B96" s="310" t="s">
        <v>52</v>
      </c>
      <c r="C96" s="426"/>
      <c r="D96" s="418">
        <f t="shared" si="3"/>
        <v>0</v>
      </c>
      <c r="E96" s="259"/>
      <c r="F96" s="421"/>
      <c r="P96" s="207"/>
    </row>
    <row r="97" spans="2:16" s="78" customFormat="1" ht="21.75" customHeight="1" hidden="1">
      <c r="B97" s="310" t="s">
        <v>54</v>
      </c>
      <c r="C97" s="426"/>
      <c r="D97" s="418">
        <f t="shared" si="3"/>
        <v>0</v>
      </c>
      <c r="E97" s="259"/>
      <c r="F97" s="421"/>
      <c r="P97" s="207"/>
    </row>
    <row r="98" spans="2:16" s="78" customFormat="1" ht="21.75" customHeight="1" hidden="1">
      <c r="B98" s="310" t="s">
        <v>56</v>
      </c>
      <c r="C98" s="426"/>
      <c r="D98" s="418">
        <f t="shared" si="3"/>
        <v>0</v>
      </c>
      <c r="E98" s="259"/>
      <c r="F98" s="421"/>
      <c r="P98" s="207"/>
    </row>
    <row r="99" spans="2:16" s="78" customFormat="1" ht="9.75" customHeight="1" hidden="1">
      <c r="B99" s="76"/>
      <c r="C99" s="427"/>
      <c r="D99" s="428"/>
      <c r="E99" s="259"/>
      <c r="F99" s="421"/>
      <c r="P99" s="207"/>
    </row>
    <row r="100" spans="2:16" s="78" customFormat="1" ht="21.75" customHeight="1" hidden="1">
      <c r="B100" s="80" t="s">
        <v>25</v>
      </c>
      <c r="C100" s="424">
        <f>+C101</f>
        <v>0</v>
      </c>
      <c r="D100" s="415">
        <f>+D101</f>
        <v>0</v>
      </c>
      <c r="E100" s="259"/>
      <c r="F100" s="421"/>
      <c r="P100" s="207"/>
    </row>
    <row r="101" spans="2:16" s="78" customFormat="1" ht="21.75" customHeight="1" hidden="1">
      <c r="B101" s="310" t="s">
        <v>109</v>
      </c>
      <c r="C101" s="426"/>
      <c r="D101" s="418">
        <f>+C101*$E$9</f>
        <v>0</v>
      </c>
      <c r="E101" s="259"/>
      <c r="F101" s="421"/>
      <c r="P101" s="207"/>
    </row>
    <row r="102" spans="2:16" s="78" customFormat="1" ht="4.5" customHeight="1">
      <c r="B102" s="155"/>
      <c r="C102" s="425"/>
      <c r="D102" s="416"/>
      <c r="E102" s="259"/>
      <c r="F102" s="421"/>
      <c r="P102" s="207"/>
    </row>
    <row r="103" spans="2:16" s="78" customFormat="1" ht="15" customHeight="1">
      <c r="B103" s="599" t="s">
        <v>28</v>
      </c>
      <c r="C103" s="601">
        <f>C14+C39</f>
        <v>7802233.3730999995</v>
      </c>
      <c r="D103" s="603">
        <f>+D14+D39</f>
        <v>25294840.595600005</v>
      </c>
      <c r="E103" s="259"/>
      <c r="F103" s="421"/>
      <c r="P103" s="207"/>
    </row>
    <row r="104" spans="2:16" s="114" customFormat="1" ht="15" customHeight="1">
      <c r="B104" s="600"/>
      <c r="C104" s="602"/>
      <c r="D104" s="604"/>
      <c r="E104" s="259"/>
      <c r="F104" s="421"/>
      <c r="G104" s="78"/>
      <c r="P104" s="208"/>
    </row>
    <row r="105" spans="2:16" s="78" customFormat="1" ht="7.5" customHeight="1">
      <c r="B105" s="156"/>
      <c r="C105" s="104"/>
      <c r="D105" s="104"/>
      <c r="E105" s="259"/>
      <c r="F105" s="421"/>
      <c r="P105" s="207"/>
    </row>
    <row r="106" spans="1:16" ht="14.25" customHeight="1">
      <c r="A106" s="313"/>
      <c r="B106" s="314" t="s">
        <v>218</v>
      </c>
      <c r="D106" s="315"/>
      <c r="E106" s="259"/>
      <c r="F106" s="421"/>
      <c r="G106" s="78"/>
      <c r="P106" s="206"/>
    </row>
    <row r="107" spans="1:16" ht="14.25" customHeight="1">
      <c r="A107" s="313"/>
      <c r="B107" s="314" t="s">
        <v>219</v>
      </c>
      <c r="C107" s="316"/>
      <c r="D107" s="317"/>
      <c r="E107" s="259"/>
      <c r="F107" s="421"/>
      <c r="G107" s="78"/>
      <c r="P107" s="206"/>
    </row>
    <row r="108" spans="3:16" ht="14.25">
      <c r="C108" s="318"/>
      <c r="D108" s="319"/>
      <c r="E108" s="259"/>
      <c r="F108" s="421"/>
      <c r="G108" s="78"/>
      <c r="P108" s="206"/>
    </row>
    <row r="109" spans="3:16" ht="14.25">
      <c r="C109" s="321"/>
      <c r="D109" s="321"/>
      <c r="E109" s="259"/>
      <c r="F109" s="421"/>
      <c r="G109" s="322"/>
      <c r="H109" s="322"/>
      <c r="P109" s="206"/>
    </row>
    <row r="110" spans="3:16" ht="12.75">
      <c r="C110" s="323"/>
      <c r="D110" s="323"/>
      <c r="G110" s="322"/>
      <c r="H110" s="322"/>
      <c r="P110" s="206"/>
    </row>
    <row r="111" spans="3:16" ht="12.75">
      <c r="C111" s="324"/>
      <c r="D111" s="324"/>
      <c r="H111" s="320"/>
      <c r="P111" s="206"/>
    </row>
    <row r="112" spans="2:16" ht="18">
      <c r="B112" s="407" t="s">
        <v>124</v>
      </c>
      <c r="C112" s="407"/>
      <c r="D112" s="407"/>
      <c r="H112" s="320"/>
      <c r="P112" s="206"/>
    </row>
    <row r="113" spans="2:16" ht="18">
      <c r="B113" s="408" t="s">
        <v>138</v>
      </c>
      <c r="C113" s="408"/>
      <c r="D113" s="408"/>
      <c r="G113" s="322"/>
      <c r="P113" s="206"/>
    </row>
    <row r="114" spans="2:16" ht="18">
      <c r="B114" s="408" t="s">
        <v>139</v>
      </c>
      <c r="C114" s="408"/>
      <c r="D114" s="408"/>
      <c r="P114" s="206"/>
    </row>
    <row r="115" spans="2:16" ht="16.5">
      <c r="B115" s="412" t="s">
        <v>59</v>
      </c>
      <c r="C115" s="409"/>
      <c r="D115" s="409"/>
      <c r="P115" s="206"/>
    </row>
    <row r="116" spans="2:16" ht="15.75">
      <c r="B116" s="410" t="str">
        <f>+B9</f>
        <v>Al 31 de julio de 2017</v>
      </c>
      <c r="C116" s="410"/>
      <c r="D116" s="308"/>
      <c r="P116" s="206"/>
    </row>
    <row r="117" spans="2:16" s="78" customFormat="1" ht="6.75" customHeight="1">
      <c r="B117" s="512"/>
      <c r="C117" s="512"/>
      <c r="D117" s="512"/>
      <c r="E117" s="222"/>
      <c r="P117" s="207"/>
    </row>
    <row r="118" spans="2:16" ht="16.5" customHeight="1">
      <c r="B118" s="529" t="s">
        <v>99</v>
      </c>
      <c r="C118" s="595" t="s">
        <v>89</v>
      </c>
      <c r="D118" s="597" t="s">
        <v>168</v>
      </c>
      <c r="P118" s="206"/>
    </row>
    <row r="119" spans="2:16" s="114" customFormat="1" ht="16.5" customHeight="1">
      <c r="B119" s="530"/>
      <c r="C119" s="596"/>
      <c r="D119" s="598"/>
      <c r="E119" s="223"/>
      <c r="G119" s="329"/>
      <c r="P119" s="208"/>
    </row>
    <row r="120" spans="2:16" s="114" customFormat="1" ht="9.75" customHeight="1">
      <c r="B120" s="154"/>
      <c r="C120" s="103"/>
      <c r="D120" s="115"/>
      <c r="E120" s="223"/>
      <c r="G120" s="329"/>
      <c r="P120" s="208"/>
    </row>
    <row r="121" spans="2:16" s="78" customFormat="1" ht="19.5" customHeight="1">
      <c r="B121" s="81" t="s">
        <v>216</v>
      </c>
      <c r="C121" s="423">
        <f>+C123</f>
        <v>691190.2588299998</v>
      </c>
      <c r="D121" s="423">
        <f>+D123</f>
        <v>2240838.81913</v>
      </c>
      <c r="E121" s="222"/>
      <c r="G121" s="312"/>
      <c r="H121" s="312"/>
      <c r="P121" s="207"/>
    </row>
    <row r="122" spans="2:16" s="78" customFormat="1" ht="9.75" customHeight="1">
      <c r="B122" s="81"/>
      <c r="C122" s="423"/>
      <c r="D122" s="423"/>
      <c r="E122" s="222"/>
      <c r="G122" s="312"/>
      <c r="H122" s="312"/>
      <c r="P122" s="207"/>
    </row>
    <row r="123" spans="2:16" s="78" customFormat="1" ht="16.5" customHeight="1">
      <c r="B123" s="80" t="s">
        <v>24</v>
      </c>
      <c r="C123" s="424">
        <f>SUM(C124:C129)</f>
        <v>691190.2588299998</v>
      </c>
      <c r="D123" s="424">
        <f>SUM(D124:D129)</f>
        <v>2240838.81913</v>
      </c>
      <c r="E123" s="222"/>
      <c r="G123" s="330"/>
      <c r="H123" s="330"/>
      <c r="P123" s="207"/>
    </row>
    <row r="124" spans="2:16" s="78" customFormat="1" ht="16.5" customHeight="1">
      <c r="B124" s="482" t="s">
        <v>215</v>
      </c>
      <c r="C124" s="488">
        <v>648027.1437399999</v>
      </c>
      <c r="D124" s="416">
        <f aca="true" t="shared" si="4" ref="D124:D129">ROUND(+C124*$E$9,5)</f>
        <v>2100904.00001</v>
      </c>
      <c r="E124" s="499"/>
      <c r="F124" s="501"/>
      <c r="G124" s="330"/>
      <c r="H124" s="330"/>
      <c r="P124" s="207"/>
    </row>
    <row r="125" spans="2:16" s="78" customFormat="1" ht="16.5" customHeight="1">
      <c r="B125" s="482" t="s">
        <v>178</v>
      </c>
      <c r="C125" s="488">
        <v>24317.793550000002</v>
      </c>
      <c r="D125" s="416">
        <f t="shared" si="4"/>
        <v>78838.28669</v>
      </c>
      <c r="E125" s="499"/>
      <c r="F125" s="501"/>
      <c r="G125" s="330"/>
      <c r="P125" s="207"/>
    </row>
    <row r="126" spans="2:16" s="78" customFormat="1" ht="16.5" customHeight="1">
      <c r="B126" s="482" t="s">
        <v>213</v>
      </c>
      <c r="C126" s="488">
        <v>12317.86968</v>
      </c>
      <c r="D126" s="416">
        <f t="shared" si="4"/>
        <v>39934.5335</v>
      </c>
      <c r="E126" s="499"/>
      <c r="F126" s="501"/>
      <c r="G126" s="330"/>
      <c r="P126" s="207"/>
    </row>
    <row r="127" spans="2:16" s="78" customFormat="1" ht="16.5" customHeight="1">
      <c r="B127" s="482" t="s">
        <v>236</v>
      </c>
      <c r="C127" s="488">
        <v>3701.4188799999997</v>
      </c>
      <c r="D127" s="416">
        <f t="shared" si="4"/>
        <v>12000.00001</v>
      </c>
      <c r="E127" s="499"/>
      <c r="F127" s="501"/>
      <c r="G127" s="330"/>
      <c r="P127" s="207"/>
    </row>
    <row r="128" spans="2:16" s="78" customFormat="1" ht="16.5" customHeight="1">
      <c r="B128" s="482" t="s">
        <v>204</v>
      </c>
      <c r="C128" s="488">
        <v>2671.80719</v>
      </c>
      <c r="D128" s="416">
        <f t="shared" si="4"/>
        <v>8661.99891</v>
      </c>
      <c r="E128" s="499"/>
      <c r="F128" s="501"/>
      <c r="G128" s="330"/>
      <c r="P128" s="207"/>
    </row>
    <row r="129" spans="2:16" s="78" customFormat="1" ht="16.5" customHeight="1">
      <c r="B129" s="482" t="s">
        <v>175</v>
      </c>
      <c r="C129" s="488">
        <v>154.22579000000002</v>
      </c>
      <c r="D129" s="416">
        <f t="shared" si="4"/>
        <v>500.00001</v>
      </c>
      <c r="E129" s="499"/>
      <c r="F129" s="501"/>
      <c r="G129" s="330"/>
      <c r="P129" s="207"/>
    </row>
    <row r="130" spans="2:16" s="78" customFormat="1" ht="9.75" customHeight="1">
      <c r="B130" s="155"/>
      <c r="C130" s="425"/>
      <c r="D130" s="425"/>
      <c r="G130" s="330"/>
      <c r="P130" s="207"/>
    </row>
    <row r="131" spans="2:16" s="78" customFormat="1" ht="15" customHeight="1">
      <c r="B131" s="599" t="s">
        <v>28</v>
      </c>
      <c r="C131" s="601">
        <f>+C121</f>
        <v>691190.2588299998</v>
      </c>
      <c r="D131" s="601">
        <f>+D121</f>
        <v>2240838.81913</v>
      </c>
      <c r="E131" s="222"/>
      <c r="P131" s="207"/>
    </row>
    <row r="132" spans="2:16" s="114" customFormat="1" ht="15" customHeight="1">
      <c r="B132" s="600"/>
      <c r="C132" s="602"/>
      <c r="D132" s="602"/>
      <c r="E132" s="223"/>
      <c r="P132" s="208"/>
    </row>
    <row r="133" spans="2:16" s="78" customFormat="1" ht="7.5" customHeight="1">
      <c r="B133" s="156"/>
      <c r="C133" s="104"/>
      <c r="D133" s="104"/>
      <c r="E133" s="222"/>
      <c r="P133" s="207"/>
    </row>
    <row r="134" spans="1:16" ht="14.25" customHeight="1">
      <c r="A134" s="313"/>
      <c r="B134" s="314" t="s">
        <v>218</v>
      </c>
      <c r="C134" s="429"/>
      <c r="D134" s="325"/>
      <c r="P134" s="206"/>
    </row>
    <row r="135" spans="3:16" ht="12.75">
      <c r="C135" s="327"/>
      <c r="D135" s="327"/>
      <c r="P135" s="206"/>
    </row>
    <row r="136" spans="3:16" ht="12.75">
      <c r="C136" s="328"/>
      <c r="D136" s="318"/>
      <c r="P136" s="206"/>
    </row>
    <row r="137" spans="3:16" ht="12.75">
      <c r="C137" s="328"/>
      <c r="D137" s="328"/>
      <c r="P137" s="206"/>
    </row>
    <row r="138" spans="3:16" ht="12.75">
      <c r="C138" s="326"/>
      <c r="D138" s="326"/>
      <c r="P138" s="206"/>
    </row>
  </sheetData>
  <sheetProtection/>
  <mergeCells count="14">
    <mergeCell ref="B10:D10"/>
    <mergeCell ref="B117:D117"/>
    <mergeCell ref="B11:B12"/>
    <mergeCell ref="C11:C12"/>
    <mergeCell ref="D11:D12"/>
    <mergeCell ref="B103:B104"/>
    <mergeCell ref="C103:C104"/>
    <mergeCell ref="D103:D104"/>
    <mergeCell ref="B118:B119"/>
    <mergeCell ref="C118:C119"/>
    <mergeCell ref="D118:D119"/>
    <mergeCell ref="B131:B132"/>
    <mergeCell ref="C131:C132"/>
    <mergeCell ref="D131:D132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108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03" t="s">
        <v>18</v>
      </c>
      <c r="C6" s="503"/>
      <c r="D6" s="503"/>
      <c r="E6" s="503"/>
      <c r="F6" s="503"/>
      <c r="G6" s="503"/>
    </row>
    <row r="7" spans="2:7" s="4" customFormat="1" ht="15.75">
      <c r="B7" s="504" t="str">
        <f>+Indice!B7</f>
        <v>AL 31 DE JULIO 2017</v>
      </c>
      <c r="C7" s="504"/>
      <c r="D7" s="504"/>
      <c r="E7" s="504"/>
      <c r="F7" s="504"/>
      <c r="G7" s="504"/>
    </row>
    <row r="8" spans="2:7" ht="12.75">
      <c r="B8" s="89"/>
      <c r="C8" s="89"/>
      <c r="D8" s="89"/>
      <c r="E8" s="89"/>
      <c r="F8" s="89"/>
      <c r="G8" s="89"/>
    </row>
    <row r="9" spans="2:7" ht="54.75" customHeight="1">
      <c r="B9" s="196" t="s">
        <v>2</v>
      </c>
      <c r="C9" s="196" t="s">
        <v>8</v>
      </c>
      <c r="D9" s="508" t="s">
        <v>145</v>
      </c>
      <c r="E9" s="508"/>
      <c r="F9" s="508"/>
      <c r="G9" s="508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133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09" t="s">
        <v>134</v>
      </c>
      <c r="E13" s="509"/>
      <c r="F13" s="509"/>
      <c r="G13" s="509"/>
      <c r="H13" s="509"/>
    </row>
    <row r="14" spans="2:8" ht="15.75" customHeight="1">
      <c r="B14" s="52"/>
      <c r="C14" s="52"/>
      <c r="D14" s="509" t="s">
        <v>135</v>
      </c>
      <c r="E14" s="509"/>
      <c r="F14" s="509"/>
      <c r="G14" s="509"/>
      <c r="H14" s="509"/>
    </row>
    <row r="15" spans="2:7" ht="15.75" customHeight="1">
      <c r="B15" s="52"/>
      <c r="C15" s="52"/>
      <c r="D15" s="29" t="s">
        <v>136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129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130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131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132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06">
        <v>42947</v>
      </c>
      <c r="E22" s="507"/>
      <c r="F22" s="507"/>
      <c r="G22" s="507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07" t="s">
        <v>17</v>
      </c>
      <c r="E24" s="507"/>
      <c r="F24" s="507"/>
      <c r="G24" s="507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08" t="s">
        <v>154</v>
      </c>
      <c r="E26" s="508"/>
      <c r="F26" s="508"/>
      <c r="G26" s="508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164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85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42978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84</v>
      </c>
      <c r="C35" s="55" t="s">
        <v>8</v>
      </c>
      <c r="D35" s="29" t="s">
        <v>86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09" t="s">
        <v>165</v>
      </c>
      <c r="E37" s="509"/>
      <c r="F37" s="509"/>
      <c r="G37" s="509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07" t="s">
        <v>180</v>
      </c>
      <c r="E39" s="507"/>
      <c r="F39" s="507"/>
      <c r="G39" s="507"/>
      <c r="H39" s="510">
        <v>3.242</v>
      </c>
    </row>
    <row r="40" spans="4:8" ht="15.75" customHeight="1">
      <c r="D40" s="507"/>
      <c r="E40" s="507"/>
      <c r="F40" s="507"/>
      <c r="G40" s="507"/>
      <c r="H40" s="510"/>
    </row>
    <row r="41" ht="15.75" customHeight="1"/>
    <row r="42" spans="2:4" ht="12.75">
      <c r="B42" s="55" t="s">
        <v>72</v>
      </c>
      <c r="C42" s="55" t="s">
        <v>8</v>
      </c>
      <c r="D42" s="6" t="s">
        <v>73</v>
      </c>
    </row>
  </sheetData>
  <sheetProtection/>
  <mergeCells count="11">
    <mergeCell ref="H39:H40"/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3" customWidth="1"/>
    <col min="2" max="2" width="32.421875" style="123" customWidth="1"/>
    <col min="3" max="4" width="15.7109375" style="123" customWidth="1"/>
    <col min="5" max="5" width="10.7109375" style="123" customWidth="1"/>
    <col min="6" max="6" width="4.28125" style="123" customWidth="1"/>
    <col min="7" max="7" width="30.8515625" style="123" customWidth="1"/>
    <col min="8" max="8" width="17.57421875" style="123" bestFit="1" customWidth="1"/>
    <col min="9" max="9" width="18.57421875" style="123" bestFit="1" customWidth="1"/>
    <col min="10" max="10" width="10.7109375" style="123" customWidth="1"/>
    <col min="11" max="11" width="0.71875" style="123" customWidth="1"/>
    <col min="12" max="12" width="15.7109375" style="123" customWidth="1"/>
    <col min="13" max="13" width="2.421875" style="123" customWidth="1"/>
    <col min="14" max="19" width="15.7109375" style="123" customWidth="1"/>
    <col min="20" max="16384" width="15.7109375" style="133" customWidth="1"/>
  </cols>
  <sheetData>
    <row r="1" s="135" customFormat="1" ht="12.75"/>
    <row r="2" s="135" customFormat="1" ht="12.75">
      <c r="D2" s="157"/>
    </row>
    <row r="3" s="135" customFormat="1" ht="12.75">
      <c r="D3" s="157"/>
    </row>
    <row r="4" spans="1:19" s="159" customFormat="1" ht="15">
      <c r="A4" s="135"/>
      <c r="B4" s="135"/>
      <c r="C4" s="135"/>
      <c r="D4" s="135"/>
      <c r="E4" s="135"/>
      <c r="F4" s="135"/>
      <c r="G4" s="135"/>
      <c r="H4" s="122"/>
      <c r="I4" s="122"/>
      <c r="J4" s="122"/>
      <c r="K4" s="122"/>
      <c r="L4" s="122"/>
      <c r="M4" s="122"/>
      <c r="N4" s="122"/>
      <c r="O4" s="158"/>
      <c r="P4" s="158"/>
      <c r="Q4" s="158"/>
      <c r="R4" s="158"/>
      <c r="S4" s="158"/>
    </row>
    <row r="5" spans="1:19" s="159" customFormat="1" ht="22.5" customHeight="1">
      <c r="A5" s="135"/>
      <c r="B5" s="503" t="s">
        <v>182</v>
      </c>
      <c r="C5" s="503"/>
      <c r="D5" s="503"/>
      <c r="E5" s="503"/>
      <c r="F5" s="503"/>
      <c r="G5" s="503"/>
      <c r="H5" s="503"/>
      <c r="I5" s="503"/>
      <c r="J5" s="503"/>
      <c r="K5" s="122"/>
      <c r="L5" s="122"/>
      <c r="M5" s="122"/>
      <c r="N5" s="122"/>
      <c r="O5" s="158"/>
      <c r="P5" s="158"/>
      <c r="Q5" s="158"/>
      <c r="R5" s="158"/>
      <c r="S5" s="158"/>
    </row>
    <row r="6" spans="1:19" s="159" customFormat="1" ht="19.5" customHeight="1">
      <c r="A6" s="135"/>
      <c r="B6" s="511" t="s">
        <v>18</v>
      </c>
      <c r="C6" s="511"/>
      <c r="D6" s="511"/>
      <c r="E6" s="511"/>
      <c r="F6" s="511"/>
      <c r="G6" s="511"/>
      <c r="H6" s="511"/>
      <c r="I6" s="511"/>
      <c r="J6" s="511"/>
      <c r="K6" s="122"/>
      <c r="L6" s="122"/>
      <c r="M6" s="122"/>
      <c r="N6" s="122"/>
      <c r="O6" s="158"/>
      <c r="P6" s="158"/>
      <c r="Q6" s="158"/>
      <c r="R6" s="158"/>
      <c r="S6" s="158"/>
    </row>
    <row r="7" spans="1:19" s="159" customFormat="1" ht="18" customHeight="1">
      <c r="A7" s="135"/>
      <c r="B7" s="504" t="str">
        <f>+Indice!B7</f>
        <v>AL 31 DE JULIO 2017</v>
      </c>
      <c r="C7" s="504"/>
      <c r="D7" s="504"/>
      <c r="E7" s="504"/>
      <c r="F7" s="504"/>
      <c r="G7" s="504"/>
      <c r="H7" s="504"/>
      <c r="I7" s="504"/>
      <c r="J7" s="504"/>
      <c r="K7" s="122"/>
      <c r="L7" s="122"/>
      <c r="M7" s="122"/>
      <c r="N7" s="122"/>
      <c r="O7" s="158"/>
      <c r="P7" s="158"/>
      <c r="Q7" s="158"/>
      <c r="R7" s="158"/>
      <c r="S7" s="158"/>
    </row>
    <row r="8" spans="1:19" s="159" customFormat="1" ht="19.5" customHeight="1">
      <c r="A8" s="135"/>
      <c r="B8" s="504"/>
      <c r="C8" s="504"/>
      <c r="D8" s="504"/>
      <c r="E8" s="504"/>
      <c r="F8" s="504"/>
      <c r="G8" s="504"/>
      <c r="H8" s="504"/>
      <c r="I8" s="504"/>
      <c r="J8" s="504"/>
      <c r="K8" s="122"/>
      <c r="L8" s="122"/>
      <c r="M8" s="122"/>
      <c r="N8" s="122"/>
      <c r="O8" s="158"/>
      <c r="P8" s="158"/>
      <c r="Q8" s="158"/>
      <c r="R8" s="158"/>
      <c r="S8" s="158"/>
    </row>
    <row r="9" spans="1:19" s="159" customFormat="1" ht="15.75" customHeight="1">
      <c r="A9" s="135"/>
      <c r="B9" s="512" t="s">
        <v>166</v>
      </c>
      <c r="C9" s="512"/>
      <c r="D9" s="512"/>
      <c r="E9" s="512"/>
      <c r="F9" s="512"/>
      <c r="G9" s="512"/>
      <c r="H9" s="273"/>
      <c r="I9" s="273"/>
      <c r="J9" s="273"/>
      <c r="K9" s="122"/>
      <c r="L9" s="209"/>
      <c r="M9" s="122"/>
      <c r="N9" s="122"/>
      <c r="O9" s="158"/>
      <c r="P9" s="158"/>
      <c r="Q9" s="158"/>
      <c r="R9" s="158"/>
      <c r="S9" s="158"/>
    </row>
    <row r="10" spans="1:19" s="159" customFormat="1" ht="12" customHeight="1">
      <c r="A10" s="121"/>
      <c r="B10" s="121"/>
      <c r="C10" s="121"/>
      <c r="D10" s="121"/>
      <c r="E10" s="121"/>
      <c r="F10" s="121"/>
      <c r="G10" s="121"/>
      <c r="H10" s="122"/>
      <c r="I10" s="122"/>
      <c r="J10" s="122"/>
      <c r="K10" s="122"/>
      <c r="L10" s="160"/>
      <c r="M10" s="122"/>
      <c r="N10" s="122"/>
      <c r="O10" s="158"/>
      <c r="P10" s="158"/>
      <c r="Q10" s="158"/>
      <c r="R10" s="158"/>
      <c r="S10" s="158"/>
    </row>
    <row r="11" spans="2:10" ht="19.5" customHeight="1">
      <c r="B11" s="513" t="s">
        <v>157</v>
      </c>
      <c r="C11" s="514"/>
      <c r="D11" s="514"/>
      <c r="E11" s="515"/>
      <c r="G11" s="513" t="s">
        <v>31</v>
      </c>
      <c r="H11" s="514"/>
      <c r="I11" s="514"/>
      <c r="J11" s="515"/>
    </row>
    <row r="12" spans="2:10" ht="19.5" customHeight="1">
      <c r="B12" s="124"/>
      <c r="C12" s="463" t="s">
        <v>79</v>
      </c>
      <c r="D12" s="464" t="s">
        <v>167</v>
      </c>
      <c r="E12" s="460" t="s">
        <v>27</v>
      </c>
      <c r="G12" s="127"/>
      <c r="H12" s="456" t="s">
        <v>79</v>
      </c>
      <c r="I12" s="456" t="str">
        <f>+D12</f>
        <v>Soles</v>
      </c>
      <c r="J12" s="457" t="s">
        <v>27</v>
      </c>
    </row>
    <row r="13" spans="2:15" ht="19.5" customHeight="1">
      <c r="B13" s="128" t="s">
        <v>75</v>
      </c>
      <c r="C13" s="458">
        <f>(+'DEP-C2'!C18+'DEP-C2'!C42)/1000</f>
        <v>5886.871283129999</v>
      </c>
      <c r="D13" s="458">
        <f>(+'DEP-C2'!D18+'DEP-C2'!D42)/1000</f>
        <v>19085.23669990294</v>
      </c>
      <c r="E13" s="461">
        <f>+C13/$C$15</f>
        <v>0.6931093441517526</v>
      </c>
      <c r="G13" s="128" t="s">
        <v>76</v>
      </c>
      <c r="H13" s="458">
        <f>('DEP-C7'!D15+'DEP-C7'!D17+'DEP-C7'!D21+'DEP-C7'!D24+'DEP-C7'!D29+'DEP-C7'!D37+'DEP-C7'!D42+'DEP-C7'!D44+'DEP-C7'!D71+'DEP-C7'!D78+'DEP-C7'!D80)/1000</f>
        <v>2469.3058034200003</v>
      </c>
      <c r="I13" s="458">
        <f>('DEP-C7'!E15+'DEP-C7'!E17+'DEP-C7'!E21+'DEP-C7'!E24+'DEP-C7'!E29+'DEP-C7'!E37+'DEP-C7'!E42+'DEP-C7'!E44+'DEP-C7'!E71+'DEP-C7'!E78+'DEP-C7'!E80)/1000</f>
        <v>8005.48941469</v>
      </c>
      <c r="J13" s="129">
        <f>+H13/$H$15</f>
        <v>0.2907315012684571</v>
      </c>
      <c r="N13" s="210"/>
      <c r="O13" s="210"/>
    </row>
    <row r="14" spans="2:15" ht="19.5" customHeight="1">
      <c r="B14" s="128" t="s">
        <v>74</v>
      </c>
      <c r="C14" s="458">
        <f>(+'DEP-C2'!C14+'DEP-C2'!C38)/1000</f>
        <v>2606.5523488</v>
      </c>
      <c r="D14" s="458">
        <f>(+'DEP-C2'!D14+'DEP-C2'!D38)/1000</f>
        <v>8450.44271480392</v>
      </c>
      <c r="E14" s="461">
        <f>+C14/$C$15</f>
        <v>0.30689065584824726</v>
      </c>
      <c r="G14" s="128" t="s">
        <v>77</v>
      </c>
      <c r="H14" s="458">
        <f>(+'DEP-C7'!D19+'DEP-C7'!D39)/1000</f>
        <v>6024.1178285099995</v>
      </c>
      <c r="I14" s="458">
        <f>(+'DEP-C7'!E19+'DEP-C7'!E39)/1000</f>
        <v>19530.19000003</v>
      </c>
      <c r="J14" s="129">
        <f>+H14/$H$15</f>
        <v>0.7092684987315429</v>
      </c>
      <c r="O14" s="161"/>
    </row>
    <row r="15" spans="2:15" ht="19.5" customHeight="1">
      <c r="B15" s="130" t="s">
        <v>28</v>
      </c>
      <c r="C15" s="459">
        <f>SUM(C13:C14)</f>
        <v>8493.42363193</v>
      </c>
      <c r="D15" s="459">
        <f>SUM(D13:D14)</f>
        <v>27535.679414706858</v>
      </c>
      <c r="E15" s="462">
        <f>SUM(E13:E14)</f>
        <v>0.9999999999999999</v>
      </c>
      <c r="G15" s="130" t="s">
        <v>28</v>
      </c>
      <c r="H15" s="459">
        <f>SUM(H13:H14)</f>
        <v>8493.42363193</v>
      </c>
      <c r="I15" s="459">
        <f>SUM(I13:I14)</f>
        <v>27535.67941472</v>
      </c>
      <c r="J15" s="131">
        <f>SUM(J13:J14)</f>
        <v>1</v>
      </c>
      <c r="O15" s="161"/>
    </row>
    <row r="16" spans="2:10" ht="19.5" customHeight="1">
      <c r="B16" s="126"/>
      <c r="C16" s="282"/>
      <c r="D16" s="282"/>
      <c r="E16" s="233"/>
      <c r="G16" s="126"/>
      <c r="H16" s="283"/>
      <c r="I16" s="283"/>
      <c r="J16" s="233"/>
    </row>
    <row r="17" spans="2:8" ht="19.5" customHeight="1">
      <c r="B17" s="169"/>
      <c r="C17" s="284"/>
      <c r="H17" s="132"/>
    </row>
    <row r="18" spans="2:12" ht="19.5" customHeight="1">
      <c r="B18" s="513" t="s">
        <v>69</v>
      </c>
      <c r="C18" s="514"/>
      <c r="D18" s="514"/>
      <c r="E18" s="515"/>
      <c r="G18" s="513" t="s">
        <v>62</v>
      </c>
      <c r="H18" s="514"/>
      <c r="I18" s="514"/>
      <c r="J18" s="515"/>
      <c r="L18" s="132"/>
    </row>
    <row r="19" spans="2:10" ht="19.5" customHeight="1">
      <c r="B19" s="127"/>
      <c r="C19" s="456" t="s">
        <v>79</v>
      </c>
      <c r="D19" s="456" t="str">
        <f>+D12</f>
        <v>Soles</v>
      </c>
      <c r="E19" s="465" t="s">
        <v>27</v>
      </c>
      <c r="G19" s="127"/>
      <c r="H19" s="456" t="s">
        <v>79</v>
      </c>
      <c r="I19" s="456" t="str">
        <f>+I12</f>
        <v>Soles</v>
      </c>
      <c r="J19" s="465" t="s">
        <v>27</v>
      </c>
    </row>
    <row r="20" spans="2:12" ht="19.5" customHeight="1">
      <c r="B20" s="128" t="s">
        <v>77</v>
      </c>
      <c r="C20" s="458">
        <f>+(+'DEP-C7'!D19+'DEP-C7'!D39)/1000</f>
        <v>6024.1178285099995</v>
      </c>
      <c r="D20" s="458">
        <f>+(+'DEP-C7'!E19+'DEP-C7'!E39)/1000</f>
        <v>19530.19000003</v>
      </c>
      <c r="E20" s="461">
        <f>+C20/$C$25</f>
        <v>0.7092684987315429</v>
      </c>
      <c r="G20" s="128" t="s">
        <v>79</v>
      </c>
      <c r="H20" s="458">
        <f>('DEP-C3'!C22+'DEP-C3'!C60)/1000</f>
        <v>5542.025557399999</v>
      </c>
      <c r="I20" s="458">
        <f>('DEP-C3'!D22+'DEP-C3'!D60)/1000</f>
        <v>17967.246857090002</v>
      </c>
      <c r="J20" s="461">
        <f>+H20/$H$25</f>
        <v>0.6525078457838163</v>
      </c>
      <c r="L20" s="162"/>
    </row>
    <row r="21" spans="2:12" ht="19.5" customHeight="1">
      <c r="B21" s="128" t="s">
        <v>78</v>
      </c>
      <c r="C21" s="458">
        <f>+('DEP-C7'!D15+'DEP-C7'!D29+'DEP-C7'!D71)/1000</f>
        <v>959.6134404000001</v>
      </c>
      <c r="D21" s="458">
        <f>+('DEP-C7'!E15+'DEP-C7'!E29+'DEP-C7'!E71)/1000</f>
        <v>3111.0667737899994</v>
      </c>
      <c r="E21" s="461">
        <f>+C21/$C$25</f>
        <v>0.11298311281594965</v>
      </c>
      <c r="G21" s="128" t="s">
        <v>167</v>
      </c>
      <c r="H21" s="458">
        <f>('DEP-C3'!C14+'DEP-C3'!C53)/1000</f>
        <v>1932.73119265</v>
      </c>
      <c r="I21" s="458">
        <f>(+'DEP-C3'!D14+'DEP-C3'!D53)/1000</f>
        <v>6265.91452657</v>
      </c>
      <c r="J21" s="461">
        <f>+H21/$H$25</f>
        <v>0.22755619834905338</v>
      </c>
      <c r="L21" s="175"/>
    </row>
    <row r="22" spans="2:12" ht="19.5" customHeight="1">
      <c r="B22" s="128" t="s">
        <v>233</v>
      </c>
      <c r="C22" s="458">
        <f>+('DEP-C7'!D21+'DEP-C7'!D42)/1000</f>
        <v>1076.58223963</v>
      </c>
      <c r="D22" s="458">
        <f>+('DEP-C7'!E21+'DEP-C7'!E42)/1000</f>
        <v>3490.27962088</v>
      </c>
      <c r="E22" s="461">
        <f>+C22/$C$25</f>
        <v>0.1267548030434652</v>
      </c>
      <c r="G22" s="128" t="s">
        <v>80</v>
      </c>
      <c r="H22" s="458">
        <f>+'DEP-C3'!C26/1000</f>
        <v>573.0240250099998</v>
      </c>
      <c r="I22" s="458">
        <f>+'DEP-C3'!D26/1000</f>
        <v>1857.7438890800001</v>
      </c>
      <c r="J22" s="461">
        <f>+H22/$H$25</f>
        <v>0.06746678958244652</v>
      </c>
      <c r="L22" s="211"/>
    </row>
    <row r="23" spans="2:12" ht="19.5" customHeight="1">
      <c r="B23" s="128" t="s">
        <v>128</v>
      </c>
      <c r="C23" s="458">
        <f>+('DEP-C7'!D17+'DEP-C7'!D37+'DEP-C7'!D78)/1000</f>
        <v>36.91020624</v>
      </c>
      <c r="D23" s="458">
        <f>(+'DEP-C7'!E17+'DEP-C7'!E37+'DEP-C7'!E78)/1000</f>
        <v>119.66288863</v>
      </c>
      <c r="E23" s="461">
        <f>+C23/$C$25</f>
        <v>0.004345739461439383</v>
      </c>
      <c r="G23" s="128" t="s">
        <v>155</v>
      </c>
      <c r="H23" s="458">
        <f>+'DEP-C3'!C30/1000</f>
        <v>265.42257866</v>
      </c>
      <c r="I23" s="458">
        <f>+'DEP-C3'!D30/1000</f>
        <v>860.50000002</v>
      </c>
      <c r="J23" s="461">
        <f>+H23/$H$25</f>
        <v>0.031250363829984404</v>
      </c>
      <c r="L23" s="175"/>
    </row>
    <row r="24" spans="2:12" ht="19.5" customHeight="1">
      <c r="B24" s="128" t="s">
        <v>36</v>
      </c>
      <c r="C24" s="458">
        <f>+('DEP-C7'!D24+'DEP-C7'!D44+'DEP-C7'!D80)/1000</f>
        <v>396.19991715000003</v>
      </c>
      <c r="D24" s="458">
        <f>+('DEP-C7'!E24+'DEP-C7'!E44+'DEP-C7'!E80)/1000</f>
        <v>1284.48013139</v>
      </c>
      <c r="E24" s="461">
        <f>+C24/$C$25</f>
        <v>0.04664784594760284</v>
      </c>
      <c r="G24" s="128" t="s">
        <v>81</v>
      </c>
      <c r="H24" s="245">
        <f>+'DEP-C3'!C34/1000</f>
        <v>180.22027820999995</v>
      </c>
      <c r="I24" s="245">
        <f>+'DEP-C3'!D34/1000</f>
        <v>584.27414196</v>
      </c>
      <c r="J24" s="461">
        <f>+H24/$H$25</f>
        <v>0.021218802454699613</v>
      </c>
      <c r="L24" s="212"/>
    </row>
    <row r="25" spans="2:10" ht="19.5" customHeight="1">
      <c r="B25" s="130" t="s">
        <v>28</v>
      </c>
      <c r="C25" s="459">
        <f>SUM(C20:C24)</f>
        <v>8493.42363193</v>
      </c>
      <c r="D25" s="459">
        <f>SUM(D20:D24)</f>
        <v>27535.679414719998</v>
      </c>
      <c r="E25" s="462">
        <f>SUM(E20:E24)</f>
        <v>0.9999999999999999</v>
      </c>
      <c r="G25" s="130" t="s">
        <v>28</v>
      </c>
      <c r="H25" s="459">
        <f>SUM(H20:H24)</f>
        <v>8493.423631929998</v>
      </c>
      <c r="I25" s="459">
        <f>SUM(I20:I24)</f>
        <v>27535.67941472</v>
      </c>
      <c r="J25" s="462">
        <f>SUM(J20:J24)</f>
        <v>1.0000000000000002</v>
      </c>
    </row>
    <row r="26" spans="3:9" ht="19.5" customHeight="1">
      <c r="C26" s="245"/>
      <c r="H26" s="175"/>
      <c r="I26" s="175"/>
    </row>
    <row r="27" spans="2:8" ht="19.5" customHeight="1">
      <c r="B27" s="126"/>
      <c r="C27" s="285"/>
      <c r="D27" s="286"/>
      <c r="E27" s="233"/>
      <c r="G27" s="235"/>
      <c r="H27" s="245"/>
    </row>
    <row r="28" spans="2:10" ht="19.5" customHeight="1">
      <c r="B28" s="513" t="s">
        <v>29</v>
      </c>
      <c r="C28" s="514"/>
      <c r="D28" s="514"/>
      <c r="E28" s="515"/>
      <c r="G28" s="513" t="s">
        <v>30</v>
      </c>
      <c r="H28" s="514"/>
      <c r="I28" s="514"/>
      <c r="J28" s="515"/>
    </row>
    <row r="29" spans="2:10" ht="19.5" customHeight="1">
      <c r="B29" s="127"/>
      <c r="C29" s="456" t="s">
        <v>79</v>
      </c>
      <c r="D29" s="456" t="str">
        <f>+D19</f>
        <v>Soles</v>
      </c>
      <c r="E29" s="465" t="s">
        <v>27</v>
      </c>
      <c r="G29" s="127"/>
      <c r="H29" s="125" t="s">
        <v>79</v>
      </c>
      <c r="I29" s="125" t="str">
        <f>+I19</f>
        <v>Soles</v>
      </c>
      <c r="J29" s="466" t="s">
        <v>27</v>
      </c>
    </row>
    <row r="30" spans="2:14" ht="19.5" customHeight="1">
      <c r="B30" s="128" t="s">
        <v>94</v>
      </c>
      <c r="C30" s="458">
        <f>(+'DEP-C2'!C15+'DEP-C2'!C19)/1000</f>
        <v>4672.41240689</v>
      </c>
      <c r="D30" s="458">
        <f>(+'DEP-C2'!D15+'DEP-C2'!D19)/1000</f>
        <v>15147.96102313</v>
      </c>
      <c r="E30" s="461">
        <f>+C30/$C$32</f>
        <v>0.5501212007516769</v>
      </c>
      <c r="G30" s="128" t="s">
        <v>82</v>
      </c>
      <c r="H30" s="458">
        <f>'DEP-C2'!C22/1000</f>
        <v>7802.2333731</v>
      </c>
      <c r="I30" s="458">
        <f>+'DEP-C2'!D22/1000</f>
        <v>25294.84059558</v>
      </c>
      <c r="J30" s="461">
        <f>+H30/$H$32</f>
        <v>0.9186205364546337</v>
      </c>
      <c r="N30" s="162"/>
    </row>
    <row r="31" spans="2:14" ht="19.5" customHeight="1">
      <c r="B31" s="128" t="s">
        <v>95</v>
      </c>
      <c r="C31" s="458">
        <f>(+'DEP-C2'!C16+'DEP-C2'!C20+'DEP-C2'!C39+'DEP-C2'!C43)/1000</f>
        <v>3821.0112250399998</v>
      </c>
      <c r="D31" s="458">
        <f>(+'DEP-C2'!D16+'DEP-C2'!D20+'DEP-C2'!D39+'DEP-C2'!D43)/1000</f>
        <v>12387.71839157686</v>
      </c>
      <c r="E31" s="461">
        <f>+C31/$C$32</f>
        <v>0.44987879924832314</v>
      </c>
      <c r="G31" s="128" t="s">
        <v>83</v>
      </c>
      <c r="H31" s="458">
        <f>+'DEP-C2'!C45/1000</f>
        <v>691.1902588299997</v>
      </c>
      <c r="I31" s="458">
        <f>+'DEP-C2'!D45/1000</f>
        <v>2240.838819126859</v>
      </c>
      <c r="J31" s="461">
        <f>+H31/$H$32</f>
        <v>0.08137946354536627</v>
      </c>
      <c r="N31" s="163"/>
    </row>
    <row r="32" spans="2:14" ht="19.5" customHeight="1">
      <c r="B32" s="130" t="s">
        <v>28</v>
      </c>
      <c r="C32" s="459">
        <f>SUM(C30:C31)</f>
        <v>8493.42363193</v>
      </c>
      <c r="D32" s="459">
        <f>SUM(D30:D31)</f>
        <v>27535.679414706858</v>
      </c>
      <c r="E32" s="462">
        <f>SUM(E30:E31)</f>
        <v>1</v>
      </c>
      <c r="G32" s="130" t="s">
        <v>28</v>
      </c>
      <c r="H32" s="459">
        <f>SUM(H30:H31)</f>
        <v>8493.42363193</v>
      </c>
      <c r="I32" s="459">
        <f>SUM(I30:I31)</f>
        <v>27535.67941470686</v>
      </c>
      <c r="J32" s="462">
        <f>SUM(J30:J31)</f>
        <v>1</v>
      </c>
      <c r="N32" s="161"/>
    </row>
    <row r="33" ht="8.25" customHeight="1"/>
    <row r="34" spans="2:10" ht="15.75" customHeight="1">
      <c r="B34" s="246"/>
      <c r="C34" s="287"/>
      <c r="D34" s="288"/>
      <c r="E34" s="246"/>
      <c r="F34" s="246"/>
      <c r="G34" s="246"/>
      <c r="H34" s="288"/>
      <c r="I34" s="288"/>
      <c r="J34" s="246"/>
    </row>
    <row r="35" spans="2:10" ht="5.25" customHeight="1">
      <c r="B35" s="247"/>
      <c r="C35" s="247"/>
      <c r="D35" s="247"/>
      <c r="E35" s="247"/>
      <c r="F35" s="247"/>
      <c r="G35" s="247"/>
      <c r="H35" s="247"/>
      <c r="J35" s="248"/>
    </row>
    <row r="36" spans="2:9" ht="15.75" customHeight="1">
      <c r="B36" s="249"/>
      <c r="C36" s="250"/>
      <c r="D36" s="250"/>
      <c r="E36" s="251"/>
      <c r="F36" s="89"/>
      <c r="G36" s="89"/>
      <c r="H36" s="252"/>
      <c r="I36" s="175"/>
    </row>
    <row r="37" spans="2:8" ht="15.75" customHeight="1">
      <c r="B37" s="516"/>
      <c r="C37" s="517"/>
      <c r="D37" s="517"/>
      <c r="E37" s="517"/>
      <c r="F37" s="89"/>
      <c r="G37" s="89"/>
      <c r="H37" s="89"/>
    </row>
    <row r="38" spans="2:6" s="78" customFormat="1" ht="15.75" customHeight="1">
      <c r="B38" s="89"/>
      <c r="C38" s="253"/>
      <c r="D38" s="254"/>
      <c r="E38" s="89"/>
      <c r="F38" s="263"/>
    </row>
    <row r="39" spans="2:6" s="78" customFormat="1" ht="15.75" customHeight="1">
      <c r="B39" s="89"/>
      <c r="C39" s="164"/>
      <c r="D39" s="89"/>
      <c r="E39" s="89"/>
      <c r="F39" s="263"/>
    </row>
  </sheetData>
  <sheetProtection/>
  <mergeCells count="12">
    <mergeCell ref="B37:E37"/>
    <mergeCell ref="B18:E18"/>
    <mergeCell ref="G18:J18"/>
    <mergeCell ref="G28:J28"/>
    <mergeCell ref="B28:E28"/>
    <mergeCell ref="B6:J6"/>
    <mergeCell ref="B9:G9"/>
    <mergeCell ref="B5:J5"/>
    <mergeCell ref="B7:J7"/>
    <mergeCell ref="B11:E11"/>
    <mergeCell ref="G11:J11"/>
    <mergeCell ref="B8:J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2.5" customHeight="1">
      <c r="B5" s="503" t="s">
        <v>183</v>
      </c>
      <c r="C5" s="503"/>
      <c r="D5" s="503"/>
      <c r="E5" s="503"/>
      <c r="F5" s="503"/>
      <c r="G5" s="503"/>
      <c r="H5" s="503"/>
    </row>
    <row r="6" spans="2:8" s="4" customFormat="1" ht="19.5" customHeight="1">
      <c r="B6" s="511" t="s">
        <v>18</v>
      </c>
      <c r="C6" s="511"/>
      <c r="D6" s="511"/>
      <c r="E6" s="511"/>
      <c r="F6" s="511"/>
      <c r="G6" s="511"/>
      <c r="H6" s="511"/>
    </row>
    <row r="7" spans="2:8" s="4" customFormat="1" ht="18" customHeight="1">
      <c r="B7" s="504" t="str">
        <f>+Indice!B7</f>
        <v>AL 31 DE JULIO 2017</v>
      </c>
      <c r="C7" s="504"/>
      <c r="D7" s="504"/>
      <c r="E7" s="504"/>
      <c r="F7" s="504"/>
      <c r="G7" s="504"/>
      <c r="H7" s="504"/>
    </row>
    <row r="8" spans="2:9" s="4" customFormat="1" ht="24.75" customHeight="1">
      <c r="B8" s="273"/>
      <c r="C8" s="273"/>
      <c r="D8" s="273"/>
      <c r="E8" s="273"/>
      <c r="F8" s="273"/>
      <c r="G8" s="273"/>
      <c r="H8" s="273"/>
      <c r="I8" s="47"/>
    </row>
    <row r="9" spans="2:8" ht="17.25" customHeight="1">
      <c r="B9" s="89"/>
      <c r="C9" s="89"/>
      <c r="D9" s="89"/>
      <c r="E9" s="89"/>
      <c r="F9" s="89"/>
      <c r="G9" s="89"/>
      <c r="H9" s="89"/>
    </row>
    <row r="10" spans="2:8" ht="16.5">
      <c r="B10" s="520" t="str">
        <f>+Resumen!B11:E11</f>
        <v>TIPO DE DEUDA</v>
      </c>
      <c r="C10" s="520"/>
      <c r="D10" s="520"/>
      <c r="E10" s="93"/>
      <c r="F10" s="520" t="s">
        <v>31</v>
      </c>
      <c r="G10" s="520"/>
      <c r="H10" s="520"/>
    </row>
    <row r="11" spans="2:8" ht="12.75">
      <c r="B11" s="89"/>
      <c r="C11" s="89"/>
      <c r="D11" s="89"/>
      <c r="E11" s="89"/>
      <c r="F11" s="89"/>
      <c r="G11" s="89"/>
      <c r="H11" s="89"/>
    </row>
    <row r="28" spans="2:8" s="23" customFormat="1" ht="16.5">
      <c r="B28" s="520" t="str">
        <f>+Resumen!B18:E18</f>
        <v>GRUPO DEL ACREEDOR</v>
      </c>
      <c r="C28" s="520"/>
      <c r="D28" s="520"/>
      <c r="F28" s="520" t="s">
        <v>62</v>
      </c>
      <c r="G28" s="520"/>
      <c r="H28" s="520"/>
    </row>
    <row r="48" spans="2:8" s="23" customFormat="1" ht="16.5">
      <c r="B48" s="520" t="s">
        <v>29</v>
      </c>
      <c r="C48" s="520"/>
      <c r="D48" s="520"/>
      <c r="F48" s="520" t="s">
        <v>30</v>
      </c>
      <c r="G48" s="520"/>
      <c r="H48" s="520"/>
    </row>
    <row r="66" spans="2:8" ht="30" customHeight="1">
      <c r="B66" s="521"/>
      <c r="C66" s="521"/>
      <c r="D66" s="521"/>
      <c r="E66" s="521"/>
      <c r="F66" s="521"/>
      <c r="G66" s="521"/>
      <c r="H66" s="521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18"/>
      <c r="C69" s="519"/>
      <c r="D69" s="519"/>
      <c r="E69" s="519"/>
      <c r="F69" s="51"/>
      <c r="G69" s="51"/>
      <c r="H69" s="51"/>
    </row>
    <row r="70" spans="2:8" ht="15.75" customHeight="1">
      <c r="B70" s="518"/>
      <c r="C70" s="519"/>
      <c r="D70" s="519"/>
      <c r="E70" s="519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70:E70"/>
    <mergeCell ref="B28:D28"/>
    <mergeCell ref="F28:H28"/>
    <mergeCell ref="B66:H66"/>
    <mergeCell ref="B48:D48"/>
    <mergeCell ref="B6:H6"/>
    <mergeCell ref="B69:E69"/>
    <mergeCell ref="F48:H48"/>
    <mergeCell ref="B5:H5"/>
    <mergeCell ref="B7:H7"/>
    <mergeCell ref="B10:D10"/>
    <mergeCell ref="F10:H10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4.710937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18" width="12.7109375" style="10" bestFit="1" customWidth="1"/>
    <col min="19" max="19" width="12.7109375" style="10" customWidth="1"/>
    <col min="20" max="20" width="12.7109375" style="10" bestFit="1" customWidth="1"/>
    <col min="21" max="21" width="12.7109375" style="10" customWidth="1"/>
    <col min="22" max="24" width="12.7109375" style="9" customWidth="1"/>
    <col min="25" max="28" width="11.421875" style="9" customWidth="1"/>
    <col min="29" max="33" width="11.421875" style="9" hidden="1" customWidth="1"/>
    <col min="34" max="219" width="11.421875" style="9" customWidth="1"/>
    <col min="220" max="220" width="25.7109375" style="9" customWidth="1"/>
    <col min="221" max="16384" width="15.7109375" style="9" customWidth="1"/>
  </cols>
  <sheetData>
    <row r="1" ht="12.75">
      <c r="B1" s="8"/>
    </row>
    <row r="2" spans="2:21" s="11" customFormat="1" ht="18">
      <c r="B2" s="550"/>
      <c r="C2" s="550"/>
      <c r="D2" s="550"/>
      <c r="E2" s="550"/>
      <c r="F2" s="550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2:21" s="11" customFormat="1" ht="18">
      <c r="B3" s="550"/>
      <c r="C3" s="550"/>
      <c r="D3" s="550"/>
      <c r="E3" s="550"/>
      <c r="F3" s="550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5" spans="2:21" s="119" customFormat="1" ht="18">
      <c r="B5" s="134" t="s">
        <v>11</v>
      </c>
      <c r="C5" s="134"/>
      <c r="D5" s="134"/>
      <c r="E5" s="134"/>
      <c r="F5" s="134"/>
      <c r="G5" s="118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2:21" s="11" customFormat="1" ht="18">
      <c r="B6" s="408" t="s">
        <v>116</v>
      </c>
      <c r="C6" s="408"/>
      <c r="D6" s="408"/>
      <c r="E6" s="408"/>
      <c r="F6" s="408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2:21" s="11" customFormat="1" ht="18">
      <c r="B7" s="467" t="s">
        <v>170</v>
      </c>
      <c r="C7" s="274"/>
      <c r="D7" s="274"/>
      <c r="E7" s="274"/>
      <c r="F7" s="274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s="11" customFormat="1" ht="18">
      <c r="B8" s="397" t="s">
        <v>158</v>
      </c>
      <c r="C8" s="138"/>
      <c r="D8" s="274"/>
      <c r="E8" s="274"/>
      <c r="F8" s="274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2:21" s="11" customFormat="1" ht="18">
      <c r="B9" s="393" t="s">
        <v>254</v>
      </c>
      <c r="C9" s="138"/>
      <c r="D9" s="274"/>
      <c r="E9" s="274"/>
      <c r="F9" s="274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s="11" customFormat="1" ht="18">
      <c r="B10" s="455" t="s">
        <v>115</v>
      </c>
      <c r="C10" s="279"/>
      <c r="D10" s="274"/>
      <c r="E10" s="274"/>
      <c r="F10" s="274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7" ht="10.5" customHeight="1">
      <c r="B11" s="261"/>
      <c r="C11" s="261"/>
      <c r="D11" s="261"/>
      <c r="E11" s="261"/>
      <c r="F11" s="177"/>
      <c r="G11" s="22"/>
    </row>
    <row r="12" spans="2:33" s="27" customFormat="1" ht="18" customHeight="1">
      <c r="B12" s="525" t="s">
        <v>143</v>
      </c>
      <c r="C12" s="529">
        <v>2009</v>
      </c>
      <c r="D12" s="553">
        <v>2010</v>
      </c>
      <c r="E12" s="551">
        <v>2011</v>
      </c>
      <c r="F12" s="529">
        <v>2012</v>
      </c>
      <c r="G12" s="116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529">
        <v>2013</v>
      </c>
      <c r="S12" s="529">
        <v>2014</v>
      </c>
      <c r="T12" s="543">
        <v>2015</v>
      </c>
      <c r="U12" s="531">
        <v>2016</v>
      </c>
      <c r="V12" s="547">
        <v>2017</v>
      </c>
      <c r="W12" s="548"/>
      <c r="X12" s="548"/>
      <c r="Y12" s="548"/>
      <c r="Z12" s="548"/>
      <c r="AA12" s="548"/>
      <c r="AB12" s="549"/>
      <c r="AC12" s="452"/>
      <c r="AD12" s="452"/>
      <c r="AE12" s="452"/>
      <c r="AF12" s="452"/>
      <c r="AG12" s="453"/>
    </row>
    <row r="13" spans="2:33" s="27" customFormat="1" ht="18" customHeight="1">
      <c r="B13" s="526"/>
      <c r="C13" s="530"/>
      <c r="D13" s="554"/>
      <c r="E13" s="552"/>
      <c r="F13" s="530"/>
      <c r="G13" s="110" t="s">
        <v>100</v>
      </c>
      <c r="H13" s="110" t="s">
        <v>101</v>
      </c>
      <c r="I13" s="111" t="s">
        <v>106</v>
      </c>
      <c r="J13" s="111" t="s">
        <v>108</v>
      </c>
      <c r="K13" s="111" t="s">
        <v>112</v>
      </c>
      <c r="L13" s="111" t="s">
        <v>125</v>
      </c>
      <c r="M13" s="111" t="s">
        <v>144</v>
      </c>
      <c r="N13" s="111" t="s">
        <v>146</v>
      </c>
      <c r="O13" s="111" t="s">
        <v>148</v>
      </c>
      <c r="P13" s="111" t="s">
        <v>151</v>
      </c>
      <c r="Q13" s="111" t="s">
        <v>153</v>
      </c>
      <c r="R13" s="530"/>
      <c r="S13" s="530"/>
      <c r="T13" s="544"/>
      <c r="U13" s="532"/>
      <c r="V13" s="432" t="s">
        <v>100</v>
      </c>
      <c r="W13" s="477" t="s">
        <v>101</v>
      </c>
      <c r="X13" s="481" t="s">
        <v>106</v>
      </c>
      <c r="Y13" s="483" t="s">
        <v>169</v>
      </c>
      <c r="Z13" s="490" t="s">
        <v>179</v>
      </c>
      <c r="AA13" s="481" t="s">
        <v>125</v>
      </c>
      <c r="AB13" s="492" t="s">
        <v>144</v>
      </c>
      <c r="AC13" s="469" t="s">
        <v>146</v>
      </c>
      <c r="AD13" s="432" t="s">
        <v>148</v>
      </c>
      <c r="AE13" s="432" t="s">
        <v>151</v>
      </c>
      <c r="AF13" s="432" t="s">
        <v>153</v>
      </c>
      <c r="AG13" s="445" t="s">
        <v>181</v>
      </c>
    </row>
    <row r="14" spans="2:33" s="27" customFormat="1" ht="4.5" customHeight="1">
      <c r="B14" s="180"/>
      <c r="C14" s="103"/>
      <c r="D14" s="181"/>
      <c r="E14" s="182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442"/>
      <c r="U14" s="446"/>
      <c r="V14" s="191"/>
      <c r="W14" s="478"/>
      <c r="X14" s="191"/>
      <c r="Y14" s="478"/>
      <c r="Z14" s="491"/>
      <c r="AA14" s="191"/>
      <c r="AB14" s="493"/>
      <c r="AC14" s="439"/>
      <c r="AD14" s="191"/>
      <c r="AE14" s="191"/>
      <c r="AF14" s="191"/>
      <c r="AG14" s="447"/>
    </row>
    <row r="15" spans="2:33" s="25" customFormat="1" ht="21.75" customHeight="1">
      <c r="B15" s="183" t="s">
        <v>34</v>
      </c>
      <c r="C15" s="184">
        <v>1389</v>
      </c>
      <c r="D15" s="184">
        <v>2144</v>
      </c>
      <c r="E15" s="185">
        <v>2188</v>
      </c>
      <c r="F15" s="32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43">
        <v>2258.8960634599985</v>
      </c>
      <c r="U15" s="448">
        <v>2931.5247573100005</v>
      </c>
      <c r="V15" s="33">
        <v>2318.57313536</v>
      </c>
      <c r="W15" s="479">
        <v>2228.65751925</v>
      </c>
      <c r="X15" s="33">
        <v>2253.1845205900004</v>
      </c>
      <c r="Y15" s="479">
        <v>2225.20104787</v>
      </c>
      <c r="Z15" s="443">
        <v>2196.6959827100004</v>
      </c>
      <c r="AA15" s="33">
        <v>2497.00490253744</v>
      </c>
      <c r="AB15" s="494">
        <v>2606.5523488</v>
      </c>
      <c r="AC15" s="440">
        <v>0</v>
      </c>
      <c r="AD15" s="33">
        <v>0</v>
      </c>
      <c r="AE15" s="33">
        <v>0</v>
      </c>
      <c r="AF15" s="33">
        <v>0</v>
      </c>
      <c r="AG15" s="449">
        <v>0</v>
      </c>
    </row>
    <row r="16" spans="2:33" s="25" customFormat="1" ht="21.75" customHeight="1">
      <c r="B16" s="183" t="s">
        <v>33</v>
      </c>
      <c r="C16" s="184">
        <v>256</v>
      </c>
      <c r="D16" s="184">
        <v>389</v>
      </c>
      <c r="E16" s="185">
        <v>590</v>
      </c>
      <c r="F16" s="32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43">
        <v>4201.51382237</v>
      </c>
      <c r="U16" s="448">
        <v>4539.076503679999</v>
      </c>
      <c r="V16" s="33">
        <v>4465.43897746</v>
      </c>
      <c r="W16" s="479">
        <v>4739.05909481</v>
      </c>
      <c r="X16" s="33">
        <v>4484.991771600001</v>
      </c>
      <c r="Y16" s="479">
        <v>4328.2414593</v>
      </c>
      <c r="Z16" s="443">
        <v>4331.370420330001</v>
      </c>
      <c r="AA16" s="33">
        <v>5934.3516494899995</v>
      </c>
      <c r="AB16" s="494">
        <v>5886.871283129999</v>
      </c>
      <c r="AC16" s="440">
        <v>0</v>
      </c>
      <c r="AD16" s="33">
        <v>0</v>
      </c>
      <c r="AE16" s="33">
        <v>0</v>
      </c>
      <c r="AF16" s="33">
        <v>0</v>
      </c>
      <c r="AG16" s="449">
        <v>0</v>
      </c>
    </row>
    <row r="17" spans="2:33" s="25" customFormat="1" ht="6" customHeight="1">
      <c r="B17" s="186"/>
      <c r="C17" s="187"/>
      <c r="D17" s="187"/>
      <c r="E17" s="188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44"/>
      <c r="U17" s="450"/>
      <c r="V17" s="35"/>
      <c r="W17" s="480"/>
      <c r="X17" s="35"/>
      <c r="Y17" s="480"/>
      <c r="Z17" s="444"/>
      <c r="AA17" s="35"/>
      <c r="AB17" s="495"/>
      <c r="AC17" s="441"/>
      <c r="AD17" s="35"/>
      <c r="AE17" s="35"/>
      <c r="AF17" s="35"/>
      <c r="AG17" s="451"/>
    </row>
    <row r="18" spans="2:33" s="27" customFormat="1" ht="15" customHeight="1">
      <c r="B18" s="533" t="s">
        <v>102</v>
      </c>
      <c r="C18" s="522">
        <f aca="true" t="shared" si="0" ref="C18:H18">SUM(C15:C16)</f>
        <v>1645</v>
      </c>
      <c r="D18" s="522">
        <f t="shared" si="0"/>
        <v>2533</v>
      </c>
      <c r="E18" s="535">
        <f t="shared" si="0"/>
        <v>2778</v>
      </c>
      <c r="F18" s="522">
        <f t="shared" si="0"/>
        <v>3231.62940566</v>
      </c>
      <c r="G18" s="522">
        <f t="shared" si="0"/>
        <v>3978.2822575499995</v>
      </c>
      <c r="H18" s="522">
        <f t="shared" si="0"/>
        <v>4283.16118678</v>
      </c>
      <c r="I18" s="527">
        <f aca="true" t="shared" si="1" ref="I18:N18">SUM(I15:I16)</f>
        <v>4271.37034379</v>
      </c>
      <c r="J18" s="527">
        <f t="shared" si="1"/>
        <v>3622.58121752</v>
      </c>
      <c r="K18" s="527">
        <f t="shared" si="1"/>
        <v>3177.2183911999996</v>
      </c>
      <c r="L18" s="527">
        <f t="shared" si="1"/>
        <v>3224.1298934800006</v>
      </c>
      <c r="M18" s="527">
        <f t="shared" si="1"/>
        <v>3273.10540427</v>
      </c>
      <c r="N18" s="527">
        <f t="shared" si="1"/>
        <v>3382.31552197</v>
      </c>
      <c r="O18" s="527">
        <f>+O15+O16</f>
        <v>3510.4566990000008</v>
      </c>
      <c r="P18" s="527">
        <f>+P15+P16</f>
        <v>3663.6902058299997</v>
      </c>
      <c r="Q18" s="527">
        <f>+Q15+Q16</f>
        <v>3934.70126796</v>
      </c>
      <c r="R18" s="527">
        <f>+R15+R16</f>
        <v>4098.53643417</v>
      </c>
      <c r="S18" s="527">
        <f>+S15+S16</f>
        <v>5844.665124709998</v>
      </c>
      <c r="T18" s="539">
        <f aca="true" t="shared" si="2" ref="T18:Z18">+T16+T15</f>
        <v>6460.4098858299985</v>
      </c>
      <c r="U18" s="545">
        <f>+U16+U15</f>
        <v>7470.60126099</v>
      </c>
      <c r="V18" s="527">
        <f t="shared" si="2"/>
        <v>6784.012112820001</v>
      </c>
      <c r="W18" s="537">
        <f t="shared" si="2"/>
        <v>6967.71661406</v>
      </c>
      <c r="X18" s="545">
        <f t="shared" si="2"/>
        <v>6738.176292190001</v>
      </c>
      <c r="Y18" s="537">
        <f t="shared" si="2"/>
        <v>6553.442507170001</v>
      </c>
      <c r="Z18" s="539">
        <f t="shared" si="2"/>
        <v>6528.066403040002</v>
      </c>
      <c r="AA18" s="545">
        <f aca="true" t="shared" si="3" ref="AA18:AF18">+AA16+AA15</f>
        <v>8431.356552027439</v>
      </c>
      <c r="AB18" s="541">
        <f t="shared" si="3"/>
        <v>8493.42363193</v>
      </c>
      <c r="AC18" s="541">
        <f t="shared" si="3"/>
        <v>0</v>
      </c>
      <c r="AD18" s="527">
        <f t="shared" si="3"/>
        <v>0</v>
      </c>
      <c r="AE18" s="527">
        <f t="shared" si="3"/>
        <v>0</v>
      </c>
      <c r="AF18" s="527">
        <f t="shared" si="3"/>
        <v>0</v>
      </c>
      <c r="AG18" s="527">
        <f>+AG16+AG15</f>
        <v>0</v>
      </c>
    </row>
    <row r="19" spans="2:33" s="27" customFormat="1" ht="15" customHeight="1">
      <c r="B19" s="534"/>
      <c r="C19" s="523"/>
      <c r="D19" s="523"/>
      <c r="E19" s="536"/>
      <c r="F19" s="523"/>
      <c r="G19" s="523"/>
      <c r="H19" s="523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40"/>
      <c r="U19" s="546"/>
      <c r="V19" s="528"/>
      <c r="W19" s="538"/>
      <c r="X19" s="546"/>
      <c r="Y19" s="538"/>
      <c r="Z19" s="540"/>
      <c r="AA19" s="546"/>
      <c r="AB19" s="542"/>
      <c r="AC19" s="542"/>
      <c r="AD19" s="528"/>
      <c r="AE19" s="528"/>
      <c r="AF19" s="528"/>
      <c r="AG19" s="528"/>
    </row>
    <row r="20" spans="2:7" ht="7.5" customHeight="1">
      <c r="B20" s="36"/>
      <c r="C20" s="37"/>
      <c r="D20" s="37"/>
      <c r="E20" s="37"/>
      <c r="F20" s="37"/>
      <c r="G20" s="37"/>
    </row>
    <row r="21" spans="2:21" ht="7.5" customHeight="1">
      <c r="B21" s="36"/>
      <c r="C21" s="37"/>
      <c r="D21" s="37"/>
      <c r="E21" s="37"/>
      <c r="F21" s="37"/>
      <c r="G21" s="37"/>
      <c r="T21" s="189"/>
      <c r="U21" s="189"/>
    </row>
    <row r="22" spans="2:33" s="25" customFormat="1" ht="28.5" customHeight="1">
      <c r="B22" s="524"/>
      <c r="C22" s="524"/>
      <c r="D22" s="524"/>
      <c r="E22" s="524"/>
      <c r="F22" s="524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90"/>
      <c r="U22" s="190"/>
      <c r="V22" s="197"/>
      <c r="W22" s="197"/>
      <c r="X22" s="197"/>
      <c r="Y22" s="213"/>
      <c r="Z22" s="213"/>
      <c r="AA22" s="213"/>
      <c r="AB22" s="213"/>
      <c r="AC22" s="213"/>
      <c r="AD22" s="213"/>
      <c r="AE22" s="213"/>
      <c r="AF22" s="213"/>
      <c r="AG22" s="213"/>
    </row>
    <row r="23" spans="2:21" s="25" customFormat="1" ht="28.5" customHeight="1">
      <c r="B23" s="524"/>
      <c r="C23" s="524"/>
      <c r="D23" s="524"/>
      <c r="E23" s="524"/>
      <c r="F23" s="524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3:21" ht="12.75">
      <c r="C25" s="40"/>
      <c r="D25" s="41"/>
      <c r="E25" s="41"/>
      <c r="F25" s="41"/>
      <c r="G25" s="41"/>
      <c r="T25" s="165"/>
      <c r="U25" s="165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1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8:21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8:21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8:21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8:21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8:21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51" spans="3:5" ht="12.75">
      <c r="C51" s="46"/>
      <c r="D51" s="46"/>
      <c r="E51" s="46"/>
    </row>
  </sheetData>
  <sheetProtection/>
  <mergeCells count="46">
    <mergeCell ref="AC18:AC19"/>
    <mergeCell ref="X18:X19"/>
    <mergeCell ref="AF18:AF19"/>
    <mergeCell ref="AE18:AE19"/>
    <mergeCell ref="B2:F2"/>
    <mergeCell ref="B3:F3"/>
    <mergeCell ref="E12:E13"/>
    <mergeCell ref="U18:U19"/>
    <mergeCell ref="D12:D13"/>
    <mergeCell ref="AD18:AD19"/>
    <mergeCell ref="R12:R13"/>
    <mergeCell ref="AB18:AB19"/>
    <mergeCell ref="Z18:Z19"/>
    <mergeCell ref="V18:V19"/>
    <mergeCell ref="O18:O19"/>
    <mergeCell ref="T12:T13"/>
    <mergeCell ref="AA18:AA19"/>
    <mergeCell ref="V12:AB12"/>
    <mergeCell ref="H18:H19"/>
    <mergeCell ref="I18:I19"/>
    <mergeCell ref="Q18:Q19"/>
    <mergeCell ref="R18:R19"/>
    <mergeCell ref="Y18:Y19"/>
    <mergeCell ref="T18:T19"/>
    <mergeCell ref="K18:K19"/>
    <mergeCell ref="W18:W19"/>
    <mergeCell ref="C12:C13"/>
    <mergeCell ref="F12:F13"/>
    <mergeCell ref="P18:P19"/>
    <mergeCell ref="U12:U13"/>
    <mergeCell ref="M18:M19"/>
    <mergeCell ref="B23:F23"/>
    <mergeCell ref="B18:B19"/>
    <mergeCell ref="C18:C19"/>
    <mergeCell ref="D18:D19"/>
    <mergeCell ref="E18:E19"/>
    <mergeCell ref="G18:G19"/>
    <mergeCell ref="B22:F22"/>
    <mergeCell ref="F18:F19"/>
    <mergeCell ref="B12:B13"/>
    <mergeCell ref="AG18:AG19"/>
    <mergeCell ref="J18:J19"/>
    <mergeCell ref="S18:S19"/>
    <mergeCell ref="N18:N19"/>
    <mergeCell ref="S12:S13"/>
    <mergeCell ref="L18:L19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90" customWidth="1"/>
    <col min="4" max="4" width="19.7109375" style="2" customWidth="1"/>
    <col min="5" max="5" width="11.421875" style="176" customWidth="1"/>
    <col min="6" max="6" width="17.28125" style="176" customWidth="1"/>
    <col min="7" max="7" width="20.00390625" style="176" customWidth="1"/>
    <col min="8" max="8" width="19.140625" style="176" bestFit="1" customWidth="1"/>
    <col min="9" max="9" width="13.00390625" style="176" bestFit="1" customWidth="1"/>
    <col min="10" max="10" width="11.421875" style="176" customWidth="1"/>
    <col min="11" max="12" width="11.421875" style="2" customWidth="1"/>
    <col min="13" max="14" width="11.421875" style="198" customWidth="1"/>
    <col min="15" max="16384" width="11.421875" style="2" customWidth="1"/>
  </cols>
  <sheetData>
    <row r="1" spans="2:6" ht="12.75">
      <c r="B1" s="20"/>
      <c r="F1" s="382"/>
    </row>
    <row r="2" spans="2:14" s="1" customFormat="1" ht="13.5" customHeight="1">
      <c r="B2" s="550"/>
      <c r="C2" s="550"/>
      <c r="D2" s="550"/>
      <c r="E2" s="176"/>
      <c r="F2" s="382"/>
      <c r="G2" s="176"/>
      <c r="H2" s="176"/>
      <c r="I2" s="176"/>
      <c r="J2" s="176"/>
      <c r="M2" s="237"/>
      <c r="N2" s="237"/>
    </row>
    <row r="3" spans="2:14" s="1" customFormat="1" ht="13.5" customHeight="1">
      <c r="B3" s="550"/>
      <c r="C3" s="550"/>
      <c r="D3" s="550"/>
      <c r="E3" s="176"/>
      <c r="F3" s="382"/>
      <c r="G3" s="176"/>
      <c r="H3" s="176"/>
      <c r="I3" s="176"/>
      <c r="J3" s="176"/>
      <c r="M3" s="237"/>
      <c r="N3" s="237"/>
    </row>
    <row r="4" spans="2:14" s="1" customFormat="1" ht="18">
      <c r="B4" s="550"/>
      <c r="C4" s="550"/>
      <c r="D4" s="550"/>
      <c r="E4" s="176"/>
      <c r="F4" s="382"/>
      <c r="G4" s="176"/>
      <c r="H4" s="176"/>
      <c r="I4" s="176"/>
      <c r="J4" s="176"/>
      <c r="M4" s="237"/>
      <c r="N4" s="237"/>
    </row>
    <row r="5" spans="2:14" s="13" customFormat="1" ht="18">
      <c r="B5" s="134" t="s">
        <v>12</v>
      </c>
      <c r="C5" s="134"/>
      <c r="D5" s="134"/>
      <c r="E5" s="176"/>
      <c r="F5" s="382"/>
      <c r="H5" s="176"/>
      <c r="I5" s="290"/>
      <c r="J5" s="176"/>
      <c r="M5" s="238"/>
      <c r="N5" s="238"/>
    </row>
    <row r="6" spans="2:7" ht="18">
      <c r="B6" s="337" t="s">
        <v>138</v>
      </c>
      <c r="C6" s="337"/>
      <c r="D6" s="337"/>
      <c r="F6" s="382"/>
      <c r="G6" s="289"/>
    </row>
    <row r="7" spans="2:7" ht="18">
      <c r="B7" s="337" t="s">
        <v>137</v>
      </c>
      <c r="C7" s="337"/>
      <c r="D7" s="337"/>
      <c r="F7" s="382"/>
      <c r="G7" s="291"/>
    </row>
    <row r="8" spans="2:6" ht="15.75">
      <c r="B8" s="193" t="s">
        <v>156</v>
      </c>
      <c r="C8" s="193"/>
      <c r="D8" s="193"/>
      <c r="F8" s="382"/>
    </row>
    <row r="9" spans="2:14" s="3" customFormat="1" ht="15.75">
      <c r="B9" s="138" t="s">
        <v>250</v>
      </c>
      <c r="C9" s="279"/>
      <c r="D9" s="142"/>
      <c r="E9" s="334">
        <f>+Portada!H39</f>
        <v>3.242</v>
      </c>
      <c r="F9" s="146"/>
      <c r="G9" s="292"/>
      <c r="H9" s="293"/>
      <c r="I9" s="214"/>
      <c r="J9" s="214"/>
      <c r="M9" s="240"/>
      <c r="N9" s="240"/>
    </row>
    <row r="10" spans="2:6" ht="9.75" customHeight="1">
      <c r="B10" s="193"/>
      <c r="C10" s="193"/>
      <c r="D10" s="193"/>
      <c r="F10" s="382"/>
    </row>
    <row r="11" spans="2:12" ht="18.75" customHeight="1">
      <c r="B11" s="559" t="s">
        <v>159</v>
      </c>
      <c r="C11" s="555" t="s">
        <v>89</v>
      </c>
      <c r="D11" s="555" t="s">
        <v>168</v>
      </c>
      <c r="E11" s="338"/>
      <c r="F11" s="346"/>
      <c r="G11" s="338"/>
      <c r="H11" s="338"/>
      <c r="I11" s="338"/>
      <c r="J11" s="338"/>
      <c r="K11" s="339"/>
      <c r="L11" s="339"/>
    </row>
    <row r="12" spans="2:12" ht="18.75" customHeight="1">
      <c r="B12" s="560"/>
      <c r="C12" s="556"/>
      <c r="D12" s="556"/>
      <c r="E12" s="338"/>
      <c r="F12" s="346"/>
      <c r="G12" s="338"/>
      <c r="H12" s="338"/>
      <c r="I12" s="338"/>
      <c r="J12" s="338"/>
      <c r="K12" s="339"/>
      <c r="L12" s="339"/>
    </row>
    <row r="13" spans="2:14" s="16" customFormat="1" ht="9.75" customHeight="1">
      <c r="B13" s="265"/>
      <c r="C13" s="178"/>
      <c r="D13" s="179"/>
      <c r="E13" s="338"/>
      <c r="F13" s="383"/>
      <c r="G13" s="340"/>
      <c r="H13" s="340"/>
      <c r="I13" s="340"/>
      <c r="J13" s="338"/>
      <c r="K13" s="340"/>
      <c r="L13" s="340"/>
      <c r="M13" s="241"/>
      <c r="N13" s="241"/>
    </row>
    <row r="14" spans="2:14" s="13" customFormat="1" ht="19.5" customHeight="1">
      <c r="B14" s="67" t="s">
        <v>19</v>
      </c>
      <c r="C14" s="335">
        <f>SUM(C15:C16)</f>
        <v>1973374.42804</v>
      </c>
      <c r="D14" s="82">
        <f>SUM(D15:D16)</f>
        <v>6397679.8957</v>
      </c>
      <c r="E14" s="338"/>
      <c r="F14" s="384"/>
      <c r="G14" s="341"/>
      <c r="H14" s="341"/>
      <c r="I14" s="341"/>
      <c r="J14" s="338"/>
      <c r="K14" s="338"/>
      <c r="L14" s="338"/>
      <c r="M14" s="236"/>
      <c r="N14" s="236"/>
    </row>
    <row r="15" spans="2:14" s="13" customFormat="1" ht="16.5" customHeight="1">
      <c r="B15" s="68" t="s">
        <v>25</v>
      </c>
      <c r="C15" s="336">
        <v>843553.4618299999</v>
      </c>
      <c r="D15" s="77">
        <f>ROUND(+C15*$E$9,5)</f>
        <v>2734800.32325</v>
      </c>
      <c r="E15" s="342"/>
      <c r="F15" s="385"/>
      <c r="G15" s="341"/>
      <c r="H15" s="341"/>
      <c r="I15" s="341"/>
      <c r="J15" s="338"/>
      <c r="K15" s="342"/>
      <c r="L15" s="343"/>
      <c r="M15" s="243"/>
      <c r="N15" s="236"/>
    </row>
    <row r="16" spans="2:14" s="13" customFormat="1" ht="16.5" customHeight="1">
      <c r="B16" s="68" t="s">
        <v>24</v>
      </c>
      <c r="C16" s="336">
        <v>1129820.96621</v>
      </c>
      <c r="D16" s="77">
        <f>ROUND(+C16*$E$9,5)</f>
        <v>3662879.57245</v>
      </c>
      <c r="E16" s="342"/>
      <c r="F16" s="386"/>
      <c r="G16" s="341"/>
      <c r="H16" s="341"/>
      <c r="I16" s="341"/>
      <c r="J16" s="338"/>
      <c r="K16" s="338"/>
      <c r="L16" s="343"/>
      <c r="M16" s="243"/>
      <c r="N16" s="236"/>
    </row>
    <row r="17" spans="2:14" s="13" customFormat="1" ht="15" customHeight="1">
      <c r="B17" s="15"/>
      <c r="C17" s="336"/>
      <c r="D17" s="77"/>
      <c r="E17" s="338"/>
      <c r="F17" s="387"/>
      <c r="G17" s="341"/>
      <c r="H17" s="341"/>
      <c r="I17" s="341"/>
      <c r="J17" s="338"/>
      <c r="K17" s="342"/>
      <c r="L17" s="343"/>
      <c r="M17" s="243"/>
      <c r="N17" s="236"/>
    </row>
    <row r="18" spans="2:14" s="13" customFormat="1" ht="19.5" customHeight="1">
      <c r="B18" s="18" t="s">
        <v>20</v>
      </c>
      <c r="C18" s="335">
        <f>+C19+C20</f>
        <v>5828858.94506</v>
      </c>
      <c r="D18" s="82">
        <f>+D19+D20</f>
        <v>18897160.69988</v>
      </c>
      <c r="E18" s="338"/>
      <c r="F18" s="384"/>
      <c r="G18" s="341"/>
      <c r="H18" s="341"/>
      <c r="I18" s="341"/>
      <c r="J18" s="338"/>
      <c r="K18" s="338"/>
      <c r="L18" s="342"/>
      <c r="M18" s="236"/>
      <c r="N18" s="236"/>
    </row>
    <row r="19" spans="2:14" s="13" customFormat="1" ht="16.5" customHeight="1">
      <c r="B19" s="15" t="s">
        <v>25</v>
      </c>
      <c r="C19" s="336">
        <v>3828858.9450600003</v>
      </c>
      <c r="D19" s="77">
        <f>ROUND(+C19*$E$9,5)</f>
        <v>12413160.69988</v>
      </c>
      <c r="E19" s="338"/>
      <c r="F19" s="385"/>
      <c r="G19" s="341"/>
      <c r="H19" s="341"/>
      <c r="I19" s="341"/>
      <c r="J19" s="338"/>
      <c r="K19" s="342"/>
      <c r="L19" s="343"/>
      <c r="M19" s="243"/>
      <c r="N19" s="236"/>
    </row>
    <row r="20" spans="2:14" s="13" customFormat="1" ht="16.5" customHeight="1">
      <c r="B20" s="15" t="s">
        <v>113</v>
      </c>
      <c r="C20" s="336">
        <v>2000000</v>
      </c>
      <c r="D20" s="77">
        <f>ROUND(+C20*$E$9,5)</f>
        <v>6484000</v>
      </c>
      <c r="E20" s="338"/>
      <c r="F20" s="386"/>
      <c r="G20" s="341"/>
      <c r="H20" s="341"/>
      <c r="I20" s="341"/>
      <c r="J20" s="338"/>
      <c r="K20" s="342"/>
      <c r="L20" s="343"/>
      <c r="M20" s="243"/>
      <c r="N20" s="236"/>
    </row>
    <row r="21" spans="2:14" s="13" customFormat="1" ht="9.75" customHeight="1">
      <c r="B21" s="15"/>
      <c r="C21" s="336"/>
      <c r="D21" s="77"/>
      <c r="E21" s="338"/>
      <c r="F21" s="388"/>
      <c r="G21" s="341"/>
      <c r="H21" s="341"/>
      <c r="I21" s="341"/>
      <c r="J21" s="338"/>
      <c r="K21" s="342"/>
      <c r="L21" s="342"/>
      <c r="M21" s="236"/>
      <c r="N21" s="236"/>
    </row>
    <row r="22" spans="2:14" s="13" customFormat="1" ht="15" customHeight="1">
      <c r="B22" s="561" t="s">
        <v>61</v>
      </c>
      <c r="C22" s="557">
        <f>+C18+C14</f>
        <v>7802233.3730999995</v>
      </c>
      <c r="D22" s="557">
        <f>+D18+D14</f>
        <v>25294840.59558</v>
      </c>
      <c r="E22" s="338"/>
      <c r="F22" s="384"/>
      <c r="G22" s="341"/>
      <c r="H22" s="341"/>
      <c r="I22" s="341"/>
      <c r="J22" s="338"/>
      <c r="K22" s="338"/>
      <c r="L22" s="338"/>
      <c r="M22" s="236"/>
      <c r="N22" s="236"/>
    </row>
    <row r="23" spans="2:14" s="16" customFormat="1" ht="15" customHeight="1">
      <c r="B23" s="562"/>
      <c r="C23" s="558"/>
      <c r="D23" s="558"/>
      <c r="E23" s="338"/>
      <c r="F23" s="388"/>
      <c r="G23" s="341"/>
      <c r="H23" s="340"/>
      <c r="I23" s="340"/>
      <c r="J23" s="338"/>
      <c r="K23" s="338"/>
      <c r="L23" s="344"/>
      <c r="M23" s="244"/>
      <c r="N23" s="236"/>
    </row>
    <row r="24" spans="2:14" ht="14.25">
      <c r="B24" s="353"/>
      <c r="C24" s="354"/>
      <c r="D24" s="339"/>
      <c r="E24" s="338"/>
      <c r="F24" s="388"/>
      <c r="G24" s="341"/>
      <c r="H24" s="338"/>
      <c r="I24" s="338"/>
      <c r="J24" s="338"/>
      <c r="K24" s="345"/>
      <c r="L24" s="345"/>
      <c r="M24" s="236"/>
      <c r="N24" s="236"/>
    </row>
    <row r="25" spans="2:14" ht="14.25">
      <c r="B25" s="355"/>
      <c r="C25" s="485"/>
      <c r="D25" s="356"/>
      <c r="E25" s="346"/>
      <c r="F25" s="389"/>
      <c r="G25" s="341"/>
      <c r="H25" s="338"/>
      <c r="I25" s="338"/>
      <c r="J25" s="338"/>
      <c r="K25" s="338"/>
      <c r="L25" s="347"/>
      <c r="M25" s="236"/>
      <c r="N25" s="236"/>
    </row>
    <row r="26" spans="2:14" ht="14.25">
      <c r="B26" s="353"/>
      <c r="D26" s="357"/>
      <c r="E26" s="338"/>
      <c r="F26" s="389"/>
      <c r="G26" s="341"/>
      <c r="H26" s="338"/>
      <c r="I26" s="338"/>
      <c r="J26" s="338"/>
      <c r="K26" s="346"/>
      <c r="L26" s="342"/>
      <c r="M26" s="242"/>
      <c r="N26" s="236"/>
    </row>
    <row r="27" spans="2:14" ht="14.25">
      <c r="B27" s="339"/>
      <c r="D27" s="358"/>
      <c r="E27" s="338"/>
      <c r="F27" s="389"/>
      <c r="G27" s="341"/>
      <c r="H27" s="338"/>
      <c r="I27" s="338"/>
      <c r="J27" s="338"/>
      <c r="K27" s="338"/>
      <c r="L27" s="342"/>
      <c r="M27" s="236"/>
      <c r="N27" s="236"/>
    </row>
    <row r="28" spans="2:14" ht="14.25">
      <c r="B28" s="339"/>
      <c r="C28" s="359"/>
      <c r="D28" s="359"/>
      <c r="E28" s="338"/>
      <c r="F28" s="388"/>
      <c r="G28" s="341"/>
      <c r="H28" s="338"/>
      <c r="I28" s="338"/>
      <c r="J28" s="338"/>
      <c r="K28" s="338"/>
      <c r="L28" s="348"/>
      <c r="M28" s="239"/>
      <c r="N28" s="236"/>
    </row>
    <row r="29" spans="2:14" s="1" customFormat="1" ht="18">
      <c r="B29" s="134" t="s">
        <v>118</v>
      </c>
      <c r="C29" s="134"/>
      <c r="D29" s="134"/>
      <c r="E29" s="338"/>
      <c r="F29" s="388"/>
      <c r="G29" s="341"/>
      <c r="H29" s="349"/>
      <c r="I29" s="349"/>
      <c r="J29" s="338"/>
      <c r="K29" s="338"/>
      <c r="L29" s="338"/>
      <c r="M29" s="236"/>
      <c r="N29" s="236"/>
    </row>
    <row r="30" spans="2:14" s="1" customFormat="1" ht="18">
      <c r="B30" s="337" t="s">
        <v>138</v>
      </c>
      <c r="C30" s="337"/>
      <c r="D30" s="337"/>
      <c r="E30" s="338"/>
      <c r="F30" s="388"/>
      <c r="G30" s="341"/>
      <c r="H30" s="349"/>
      <c r="I30" s="349"/>
      <c r="J30" s="338"/>
      <c r="K30" s="338"/>
      <c r="L30" s="342"/>
      <c r="M30" s="242"/>
      <c r="N30" s="236"/>
    </row>
    <row r="31" spans="2:14" s="1" customFormat="1" ht="18">
      <c r="B31" s="337" t="s">
        <v>139</v>
      </c>
      <c r="C31" s="337"/>
      <c r="D31" s="337"/>
      <c r="E31" s="338"/>
      <c r="F31" s="388"/>
      <c r="G31" s="341"/>
      <c r="H31" s="349"/>
      <c r="I31" s="349"/>
      <c r="J31" s="338"/>
      <c r="K31" s="338"/>
      <c r="L31" s="338"/>
      <c r="M31" s="236"/>
      <c r="N31" s="236"/>
    </row>
    <row r="32" spans="2:14" s="1" customFormat="1" ht="18">
      <c r="B32" s="193" t="s">
        <v>156</v>
      </c>
      <c r="C32" s="193"/>
      <c r="D32" s="193"/>
      <c r="E32" s="338"/>
      <c r="F32" s="388"/>
      <c r="G32" s="341"/>
      <c r="H32" s="338"/>
      <c r="I32" s="338"/>
      <c r="J32" s="338"/>
      <c r="K32" s="338"/>
      <c r="L32" s="338"/>
      <c r="M32" s="236"/>
      <c r="N32" s="236"/>
    </row>
    <row r="33" spans="2:14" s="3" customFormat="1" ht="15.75">
      <c r="B33" s="266" t="str">
        <f>+B9</f>
        <v>Al 31 de julio de 2017</v>
      </c>
      <c r="C33" s="266"/>
      <c r="D33" s="142"/>
      <c r="E33" s="350"/>
      <c r="F33" s="388"/>
      <c r="G33" s="341"/>
      <c r="H33" s="351"/>
      <c r="I33" s="350"/>
      <c r="J33" s="350"/>
      <c r="K33" s="352"/>
      <c r="L33" s="352"/>
      <c r="M33" s="240"/>
      <c r="N33" s="240"/>
    </row>
    <row r="34" spans="2:14" s="3" customFormat="1" ht="9.75" customHeight="1">
      <c r="B34" s="14"/>
      <c r="C34" s="266"/>
      <c r="D34" s="12"/>
      <c r="E34" s="350"/>
      <c r="F34" s="388"/>
      <c r="G34" s="341"/>
      <c r="H34" s="350"/>
      <c r="I34" s="350"/>
      <c r="J34" s="350"/>
      <c r="K34" s="352"/>
      <c r="L34" s="352"/>
      <c r="M34" s="240"/>
      <c r="N34" s="240"/>
    </row>
    <row r="35" spans="2:12" ht="18.75" customHeight="1">
      <c r="B35" s="559" t="s">
        <v>159</v>
      </c>
      <c r="C35" s="555" t="s">
        <v>89</v>
      </c>
      <c r="D35" s="555" t="s">
        <v>168</v>
      </c>
      <c r="E35" s="338"/>
      <c r="F35" s="388"/>
      <c r="G35" s="341"/>
      <c r="H35" s="338"/>
      <c r="I35" s="338"/>
      <c r="J35" s="338"/>
      <c r="K35" s="339"/>
      <c r="L35" s="339"/>
    </row>
    <row r="36" spans="2:14" s="16" customFormat="1" ht="18.75" customHeight="1">
      <c r="B36" s="560"/>
      <c r="C36" s="556"/>
      <c r="D36" s="556"/>
      <c r="E36" s="338"/>
      <c r="F36" s="388"/>
      <c r="G36" s="341"/>
      <c r="H36" s="338"/>
      <c r="I36" s="338"/>
      <c r="J36" s="338"/>
      <c r="K36" s="340"/>
      <c r="L36" s="340"/>
      <c r="M36" s="241"/>
      <c r="N36" s="241"/>
    </row>
    <row r="37" spans="2:14" s="16" customFormat="1" ht="9.75" customHeight="1">
      <c r="B37" s="17"/>
      <c r="C37" s="270"/>
      <c r="D37" s="19"/>
      <c r="E37" s="338"/>
      <c r="F37" s="388"/>
      <c r="G37" s="341"/>
      <c r="H37" s="338"/>
      <c r="I37" s="338"/>
      <c r="J37" s="338"/>
      <c r="K37" s="340"/>
      <c r="L37" s="340"/>
      <c r="M37" s="241"/>
      <c r="N37" s="241"/>
    </row>
    <row r="38" spans="2:14" s="13" customFormat="1" ht="19.5" customHeight="1">
      <c r="B38" s="18" t="s">
        <v>149</v>
      </c>
      <c r="C38" s="335">
        <f>SUM(C39:C40)</f>
        <v>633177.9207599998</v>
      </c>
      <c r="D38" s="82">
        <f>SUM(D39:D40)</f>
        <v>2052762.8191039192</v>
      </c>
      <c r="E38" s="338"/>
      <c r="F38" s="384"/>
      <c r="G38" s="341"/>
      <c r="H38" s="338"/>
      <c r="I38" s="338"/>
      <c r="J38" s="338"/>
      <c r="K38" s="341"/>
      <c r="L38" s="341"/>
      <c r="M38" s="238"/>
      <c r="N38" s="238"/>
    </row>
    <row r="39" spans="2:14" s="13" customFormat="1" ht="16.5" customHeight="1">
      <c r="B39" s="15" t="s">
        <v>24</v>
      </c>
      <c r="C39" s="336">
        <v>633177.9207599998</v>
      </c>
      <c r="D39" s="77">
        <f>+C39*$E$9</f>
        <v>2052762.8191039192</v>
      </c>
      <c r="E39" s="338"/>
      <c r="F39" s="386"/>
      <c r="G39" s="341"/>
      <c r="H39" s="338"/>
      <c r="I39" s="338"/>
      <c r="J39" s="338"/>
      <c r="K39" s="341"/>
      <c r="L39" s="341"/>
      <c r="M39" s="238"/>
      <c r="N39" s="238"/>
    </row>
    <row r="40" spans="2:14" s="13" customFormat="1" ht="21.75" customHeight="1" hidden="1">
      <c r="B40" s="15" t="s">
        <v>25</v>
      </c>
      <c r="C40" s="336">
        <v>0</v>
      </c>
      <c r="D40" s="77">
        <f>+C40*$E$9</f>
        <v>0</v>
      </c>
      <c r="E40" s="338"/>
      <c r="F40" s="388"/>
      <c r="G40" s="341"/>
      <c r="H40" s="338"/>
      <c r="I40" s="338"/>
      <c r="J40" s="338"/>
      <c r="K40" s="341"/>
      <c r="L40" s="341"/>
      <c r="M40" s="238"/>
      <c r="N40" s="238"/>
    </row>
    <row r="41" spans="2:14" s="13" customFormat="1" ht="15" customHeight="1">
      <c r="B41" s="15"/>
      <c r="C41" s="336"/>
      <c r="D41" s="77"/>
      <c r="E41" s="338"/>
      <c r="F41" s="388"/>
      <c r="G41" s="341"/>
      <c r="H41" s="338"/>
      <c r="I41" s="338"/>
      <c r="J41" s="338"/>
      <c r="K41" s="341"/>
      <c r="L41" s="341"/>
      <c r="M41" s="238"/>
      <c r="N41" s="238"/>
    </row>
    <row r="42" spans="2:14" s="13" customFormat="1" ht="19.5" customHeight="1">
      <c r="B42" s="18" t="s">
        <v>150</v>
      </c>
      <c r="C42" s="335">
        <f>SUM(C43:C43)</f>
        <v>58012.33807</v>
      </c>
      <c r="D42" s="82">
        <f>SUM(D43:D43)</f>
        <v>188076.00002294</v>
      </c>
      <c r="E42" s="338"/>
      <c r="F42" s="384"/>
      <c r="G42" s="341"/>
      <c r="H42" s="338"/>
      <c r="I42" s="338"/>
      <c r="J42" s="338"/>
      <c r="K42" s="341"/>
      <c r="L42" s="341"/>
      <c r="M42" s="238"/>
      <c r="N42" s="238"/>
    </row>
    <row r="43" spans="2:14" s="13" customFormat="1" ht="16.5" customHeight="1">
      <c r="B43" s="15" t="s">
        <v>24</v>
      </c>
      <c r="C43" s="336">
        <v>58012.33807</v>
      </c>
      <c r="D43" s="77">
        <f>+C43*$E$9</f>
        <v>188076.00002294</v>
      </c>
      <c r="E43" s="338"/>
      <c r="F43" s="386"/>
      <c r="G43" s="341"/>
      <c r="H43" s="338"/>
      <c r="I43" s="338"/>
      <c r="J43" s="338"/>
      <c r="K43" s="341"/>
      <c r="L43" s="341"/>
      <c r="M43" s="238"/>
      <c r="N43" s="238"/>
    </row>
    <row r="44" spans="2:14" s="13" customFormat="1" ht="7.5" customHeight="1">
      <c r="B44" s="15"/>
      <c r="C44" s="336"/>
      <c r="D44" s="77"/>
      <c r="E44" s="338"/>
      <c r="F44" s="341"/>
      <c r="G44" s="341"/>
      <c r="H44" s="338"/>
      <c r="I44" s="338"/>
      <c r="J44" s="338"/>
      <c r="K44" s="341"/>
      <c r="L44" s="341"/>
      <c r="M44" s="238"/>
      <c r="N44" s="238"/>
    </row>
    <row r="45" spans="2:14" s="13" customFormat="1" ht="15" customHeight="1">
      <c r="B45" s="561" t="s">
        <v>61</v>
      </c>
      <c r="C45" s="557">
        <f>+C42+C38</f>
        <v>691190.2588299997</v>
      </c>
      <c r="D45" s="557">
        <f>+D42+D38</f>
        <v>2240838.8191268593</v>
      </c>
      <c r="E45" s="338"/>
      <c r="F45" s="341"/>
      <c r="G45" s="341"/>
      <c r="H45" s="338"/>
      <c r="I45" s="338"/>
      <c r="J45" s="338"/>
      <c r="K45" s="341"/>
      <c r="L45" s="341"/>
      <c r="M45" s="238"/>
      <c r="N45" s="238"/>
    </row>
    <row r="46" spans="2:14" s="16" customFormat="1" ht="15" customHeight="1">
      <c r="B46" s="562"/>
      <c r="C46" s="558"/>
      <c r="D46" s="558"/>
      <c r="E46" s="338"/>
      <c r="F46" s="376"/>
      <c r="G46" s="341"/>
      <c r="H46" s="338"/>
      <c r="I46" s="338"/>
      <c r="J46" s="338"/>
      <c r="K46" s="340"/>
      <c r="L46" s="340"/>
      <c r="M46" s="241"/>
      <c r="N46" s="241"/>
    </row>
    <row r="47" spans="2:12" ht="16.5" customHeight="1">
      <c r="B47" s="28" t="s">
        <v>141</v>
      </c>
      <c r="E47" s="338"/>
      <c r="F47" s="341"/>
      <c r="G47" s="341"/>
      <c r="H47" s="338"/>
      <c r="I47" s="338"/>
      <c r="J47" s="338"/>
      <c r="K47" s="339"/>
      <c r="L47" s="339"/>
    </row>
    <row r="48" spans="2:12" ht="12.75">
      <c r="B48" s="2" t="s">
        <v>142</v>
      </c>
      <c r="C48" s="215"/>
      <c r="D48" s="215"/>
      <c r="E48" s="338"/>
      <c r="F48" s="338"/>
      <c r="G48" s="338"/>
      <c r="H48" s="338"/>
      <c r="I48" s="338"/>
      <c r="J48" s="338"/>
      <c r="K48" s="339"/>
      <c r="L48" s="339"/>
    </row>
    <row r="49" spans="2:12" ht="12.75">
      <c r="B49" s="339"/>
      <c r="C49" s="360"/>
      <c r="D49" s="360"/>
      <c r="E49" s="338"/>
      <c r="F49" s="338"/>
      <c r="G49" s="338"/>
      <c r="H49" s="338"/>
      <c r="I49" s="338"/>
      <c r="J49" s="338"/>
      <c r="K49" s="339"/>
      <c r="L49" s="339"/>
    </row>
    <row r="50" spans="2:12" ht="12.75">
      <c r="B50" s="339"/>
      <c r="C50" s="361"/>
      <c r="D50" s="489"/>
      <c r="E50" s="338"/>
      <c r="F50" s="338"/>
      <c r="G50" s="338"/>
      <c r="H50" s="338"/>
      <c r="I50" s="338"/>
      <c r="J50" s="338"/>
      <c r="K50" s="339"/>
      <c r="L50" s="339"/>
    </row>
    <row r="51" spans="2:4" ht="12.75">
      <c r="B51" s="339"/>
      <c r="C51" s="362"/>
      <c r="D51" s="339"/>
    </row>
    <row r="52" spans="2:4" ht="12.75">
      <c r="B52" s="339"/>
      <c r="C52" s="360"/>
      <c r="D52" s="360"/>
    </row>
    <row r="53" spans="2:4" ht="12.75">
      <c r="B53" s="339"/>
      <c r="C53" s="360"/>
      <c r="D53" s="360"/>
    </row>
    <row r="54" spans="2:4" ht="12.75">
      <c r="B54" s="339"/>
      <c r="C54" s="360"/>
      <c r="D54" s="360"/>
    </row>
    <row r="55" spans="2:4" ht="12.75">
      <c r="B55" s="339"/>
      <c r="C55" s="484"/>
      <c r="D55" s="484"/>
    </row>
    <row r="56" spans="2:4" ht="12.75">
      <c r="B56" s="339"/>
      <c r="C56" s="360"/>
      <c r="D56" s="360"/>
    </row>
    <row r="57" spans="2:4" ht="12.75">
      <c r="B57" s="339"/>
      <c r="C57" s="360"/>
      <c r="D57" s="360"/>
    </row>
    <row r="58" spans="2:4" ht="12.75">
      <c r="B58" s="339"/>
      <c r="C58" s="360"/>
      <c r="D58" s="339"/>
    </row>
    <row r="59" spans="2:4" ht="12.75">
      <c r="B59" s="339"/>
      <c r="C59" s="362"/>
      <c r="D59" s="339"/>
    </row>
  </sheetData>
  <sheetProtection/>
  <mergeCells count="15">
    <mergeCell ref="B45:B46"/>
    <mergeCell ref="C45:C46"/>
    <mergeCell ref="D45:D46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0" customWidth="1"/>
    <col min="2" max="2" width="56.28125" style="90" customWidth="1"/>
    <col min="3" max="4" width="19.7109375" style="90" customWidth="1"/>
    <col min="5" max="5" width="11.421875" style="90" customWidth="1"/>
    <col min="6" max="6" width="16.140625" style="90" customWidth="1"/>
    <col min="7" max="12" width="11.421875" style="90" customWidth="1"/>
    <col min="13" max="13" width="11.421875" style="137" customWidth="1"/>
    <col min="14" max="16384" width="11.421875" style="90" customWidth="1"/>
  </cols>
  <sheetData>
    <row r="1" ht="12.75">
      <c r="B1" s="106"/>
    </row>
    <row r="2" ht="12.75">
      <c r="B2" s="106"/>
    </row>
    <row r="3" ht="12.75">
      <c r="B3" s="106"/>
    </row>
    <row r="4" ht="12" customHeight="1">
      <c r="B4" s="106"/>
    </row>
    <row r="5" spans="2:13" s="141" customFormat="1" ht="18">
      <c r="B5" s="134" t="s">
        <v>13</v>
      </c>
      <c r="C5" s="134"/>
      <c r="D5" s="134"/>
      <c r="M5" s="199"/>
    </row>
    <row r="6" spans="2:13" s="141" customFormat="1" ht="18">
      <c r="B6" s="337" t="s">
        <v>138</v>
      </c>
      <c r="C6" s="337"/>
      <c r="D6" s="337"/>
      <c r="M6" s="199"/>
    </row>
    <row r="7" spans="2:13" s="141" customFormat="1" ht="18">
      <c r="B7" s="337" t="s">
        <v>137</v>
      </c>
      <c r="C7" s="337"/>
      <c r="D7" s="337"/>
      <c r="M7" s="199"/>
    </row>
    <row r="8" spans="2:13" s="141" customFormat="1" ht="18">
      <c r="B8" s="363" t="s">
        <v>37</v>
      </c>
      <c r="C8" s="193"/>
      <c r="D8" s="193"/>
      <c r="M8" s="199"/>
    </row>
    <row r="9" spans="2:13" s="141" customFormat="1" ht="18">
      <c r="B9" s="567" t="str">
        <f>+'DEP-C2'!B9</f>
        <v>Al 31 de julio de 2017</v>
      </c>
      <c r="C9" s="567"/>
      <c r="D9" s="277"/>
      <c r="E9" s="334">
        <f>+Portada!H39</f>
        <v>3.242</v>
      </c>
      <c r="M9" s="199"/>
    </row>
    <row r="10" spans="2:13" s="65" customFormat="1" ht="9.75" customHeight="1">
      <c r="B10" s="570"/>
      <c r="C10" s="570"/>
      <c r="D10" s="570"/>
      <c r="E10" s="294"/>
      <c r="M10" s="170"/>
    </row>
    <row r="11" spans="2:4" ht="16.5" customHeight="1">
      <c r="B11" s="571" t="s">
        <v>96</v>
      </c>
      <c r="C11" s="565" t="s">
        <v>89</v>
      </c>
      <c r="D11" s="555" t="s">
        <v>168</v>
      </c>
    </row>
    <row r="12" spans="2:13" s="84" customFormat="1" ht="16.5" customHeight="1">
      <c r="B12" s="572"/>
      <c r="C12" s="566"/>
      <c r="D12" s="556"/>
      <c r="M12" s="171"/>
    </row>
    <row r="13" spans="2:13" s="84" customFormat="1" ht="9.75" customHeight="1">
      <c r="B13" s="64"/>
      <c r="C13" s="166"/>
      <c r="D13" s="167"/>
      <c r="M13" s="171"/>
    </row>
    <row r="14" spans="2:13" s="84" customFormat="1" ht="16.5">
      <c r="B14" s="168" t="s">
        <v>64</v>
      </c>
      <c r="C14" s="364">
        <f>SUM(C15:C16)</f>
        <v>1575540.93382</v>
      </c>
      <c r="D14" s="365">
        <f>SUM(D15:D16)</f>
        <v>5107903.70744</v>
      </c>
      <c r="M14" s="171"/>
    </row>
    <row r="15" spans="2:13" s="84" customFormat="1" ht="16.5">
      <c r="B15" s="83" t="s">
        <v>25</v>
      </c>
      <c r="C15" s="366">
        <v>1157891.2841899998</v>
      </c>
      <c r="D15" s="332">
        <f>ROUND(+C15*$E$9,5)</f>
        <v>3753883.54334</v>
      </c>
      <c r="E15" s="295"/>
      <c r="G15" s="296"/>
      <c r="M15" s="171"/>
    </row>
    <row r="16" spans="2:13" s="84" customFormat="1" ht="16.5">
      <c r="B16" s="83" t="s">
        <v>24</v>
      </c>
      <c r="C16" s="366">
        <v>417649.64963</v>
      </c>
      <c r="D16" s="332">
        <f>ROUND(+C16*$E$9,5)</f>
        <v>1354020.1641</v>
      </c>
      <c r="E16" s="295"/>
      <c r="M16" s="171"/>
    </row>
    <row r="17" spans="2:13" s="84" customFormat="1" ht="15" customHeight="1">
      <c r="B17" s="64"/>
      <c r="C17" s="367"/>
      <c r="D17" s="368"/>
      <c r="M17" s="171"/>
    </row>
    <row r="18" spans="2:13" s="84" customFormat="1" ht="16.5">
      <c r="B18" s="168" t="s">
        <v>63</v>
      </c>
      <c r="C18" s="364">
        <f>SUM(C19:C20)</f>
        <v>6226692.43928</v>
      </c>
      <c r="D18" s="364">
        <f>SUM(D19:D20)</f>
        <v>20186936.88815</v>
      </c>
      <c r="E18" s="295"/>
      <c r="M18" s="171"/>
    </row>
    <row r="19" spans="2:13" s="84" customFormat="1" ht="16.5">
      <c r="B19" s="83" t="s">
        <v>25</v>
      </c>
      <c r="C19" s="366">
        <f>+C23+C27+C31+C35</f>
        <v>3514521.1226999997</v>
      </c>
      <c r="D19" s="366">
        <f>+D23+D27+D31+D35</f>
        <v>11394077.479799999</v>
      </c>
      <c r="M19" s="171"/>
    </row>
    <row r="20" spans="2:13" s="84" customFormat="1" ht="16.5">
      <c r="B20" s="83" t="s">
        <v>24</v>
      </c>
      <c r="C20" s="366">
        <f>+C24+C28+C32+C36</f>
        <v>2712171.31658</v>
      </c>
      <c r="D20" s="366">
        <f>+D24+D28+D32+D36</f>
        <v>8792859.40835</v>
      </c>
      <c r="M20" s="171"/>
    </row>
    <row r="21" spans="2:13" s="84" customFormat="1" ht="9.75" customHeight="1">
      <c r="B21" s="85"/>
      <c r="C21" s="366"/>
      <c r="D21" s="332"/>
      <c r="M21" s="171"/>
    </row>
    <row r="22" spans="2:13" s="84" customFormat="1" ht="16.5">
      <c r="B22" s="372" t="s">
        <v>184</v>
      </c>
      <c r="C22" s="369">
        <f>SUM(C23:C24)</f>
        <v>5208025.557399999</v>
      </c>
      <c r="D22" s="370">
        <f>SUM(D23:D24)</f>
        <v>16884418.85709</v>
      </c>
      <c r="G22" s="295"/>
      <c r="I22" s="297"/>
      <c r="M22" s="171"/>
    </row>
    <row r="23" spans="2:13" s="84" customFormat="1" ht="16.5">
      <c r="B23" s="373" t="s">
        <v>25</v>
      </c>
      <c r="C23" s="367">
        <v>2988096.9823</v>
      </c>
      <c r="D23" s="368">
        <f>ROUND(+C23*$E$9,5)</f>
        <v>9687410.41662</v>
      </c>
      <c r="G23" s="295"/>
      <c r="I23" s="297"/>
      <c r="M23" s="171"/>
    </row>
    <row r="24" spans="2:13" s="84" customFormat="1" ht="16.5">
      <c r="B24" s="373" t="s">
        <v>24</v>
      </c>
      <c r="C24" s="367">
        <v>2219928.5751</v>
      </c>
      <c r="D24" s="368">
        <f>ROUND(+C24*$E$9,5)</f>
        <v>7197008.44047</v>
      </c>
      <c r="M24" s="171"/>
    </row>
    <row r="25" spans="2:13" s="84" customFormat="1" ht="9.75" customHeight="1">
      <c r="B25" s="85"/>
      <c r="C25" s="366"/>
      <c r="D25" s="332"/>
      <c r="M25" s="171"/>
    </row>
    <row r="26" spans="2:13" s="84" customFormat="1" ht="16.5">
      <c r="B26" s="372" t="s">
        <v>185</v>
      </c>
      <c r="C26" s="369">
        <f>SUM(C27:C28)</f>
        <v>573024.0250099999</v>
      </c>
      <c r="D26" s="370">
        <f>SUM(D27:D28)</f>
        <v>1857743.88908</v>
      </c>
      <c r="G26" s="298"/>
      <c r="M26" s="171"/>
    </row>
    <row r="27" spans="2:13" s="84" customFormat="1" ht="16.5">
      <c r="B27" s="373" t="s">
        <v>25</v>
      </c>
      <c r="C27" s="367">
        <v>155030.11968</v>
      </c>
      <c r="D27" s="368">
        <f>ROUND(+C27*$E$9,5)</f>
        <v>502607.648</v>
      </c>
      <c r="M27" s="171"/>
    </row>
    <row r="28" spans="2:13" s="84" customFormat="1" ht="16.5">
      <c r="B28" s="373" t="s">
        <v>24</v>
      </c>
      <c r="C28" s="367">
        <v>417993.90532999986</v>
      </c>
      <c r="D28" s="368">
        <f>ROUND(+C28*$E$9,5)</f>
        <v>1355136.24108</v>
      </c>
      <c r="M28" s="171"/>
    </row>
    <row r="29" spans="2:13" s="84" customFormat="1" ht="9.75" customHeight="1">
      <c r="B29" s="85"/>
      <c r="C29" s="368"/>
      <c r="D29" s="332"/>
      <c r="M29" s="171"/>
    </row>
    <row r="30" spans="2:13" s="84" customFormat="1" ht="16.5">
      <c r="B30" s="372" t="s">
        <v>186</v>
      </c>
      <c r="C30" s="369">
        <f>+C31+C32</f>
        <v>265422.57866</v>
      </c>
      <c r="D30" s="370">
        <f>+D31+D32</f>
        <v>860500.00002</v>
      </c>
      <c r="M30" s="171"/>
    </row>
    <row r="31" spans="2:13" s="84" customFormat="1" ht="16.5">
      <c r="B31" s="373" t="s">
        <v>25</v>
      </c>
      <c r="C31" s="367">
        <v>265422.57866</v>
      </c>
      <c r="D31" s="368">
        <f>ROUND(+C31*$E$9,5)</f>
        <v>860500.00002</v>
      </c>
      <c r="M31" s="171"/>
    </row>
    <row r="32" spans="2:13" s="84" customFormat="1" ht="16.5">
      <c r="B32" s="373" t="s">
        <v>24</v>
      </c>
      <c r="C32" s="367">
        <v>0</v>
      </c>
      <c r="D32" s="368">
        <f>ROUND(+C32*$E$9,5)</f>
        <v>0</v>
      </c>
      <c r="M32" s="171"/>
    </row>
    <row r="33" spans="2:13" s="84" customFormat="1" ht="9.75" customHeight="1">
      <c r="B33" s="85"/>
      <c r="C33" s="366"/>
      <c r="D33" s="332"/>
      <c r="M33" s="171"/>
    </row>
    <row r="34" spans="2:13" s="84" customFormat="1" ht="16.5">
      <c r="B34" s="374" t="s">
        <v>187</v>
      </c>
      <c r="C34" s="369">
        <f>+SUM(C35:C36)</f>
        <v>180220.27820999996</v>
      </c>
      <c r="D34" s="370">
        <f>SUM(D35:D36)</f>
        <v>584274.1419599999</v>
      </c>
      <c r="M34" s="171"/>
    </row>
    <row r="35" spans="2:13" s="84" customFormat="1" ht="16.5">
      <c r="B35" s="373" t="s">
        <v>25</v>
      </c>
      <c r="C35" s="367">
        <v>105971.44205999999</v>
      </c>
      <c r="D35" s="368">
        <f>ROUND(+C35*$E$9,5)</f>
        <v>343559.41516</v>
      </c>
      <c r="M35" s="171"/>
    </row>
    <row r="36" spans="2:13" s="84" customFormat="1" ht="16.5">
      <c r="B36" s="373" t="s">
        <v>24</v>
      </c>
      <c r="C36" s="367">
        <v>74248.83614999999</v>
      </c>
      <c r="D36" s="368">
        <f>ROUND(+C36*$E$9,5)</f>
        <v>240714.7268</v>
      </c>
      <c r="M36" s="171"/>
    </row>
    <row r="37" spans="2:13" s="84" customFormat="1" ht="9.75" customHeight="1">
      <c r="B37" s="204"/>
      <c r="C37" s="367"/>
      <c r="D37" s="368"/>
      <c r="M37" s="171"/>
    </row>
    <row r="38" spans="2:13" s="84" customFormat="1" ht="15" customHeight="1">
      <c r="B38" s="568" t="s">
        <v>61</v>
      </c>
      <c r="C38" s="563">
        <f>+C18+C14</f>
        <v>7802233.3730999995</v>
      </c>
      <c r="D38" s="563">
        <f>+D18+D14</f>
        <v>25294840.59559</v>
      </c>
      <c r="M38" s="171"/>
    </row>
    <row r="39" spans="2:13" s="84" customFormat="1" ht="15" customHeight="1">
      <c r="B39" s="569"/>
      <c r="C39" s="564"/>
      <c r="D39" s="564"/>
      <c r="M39" s="171"/>
    </row>
    <row r="40" ht="16.5">
      <c r="F40" s="84"/>
    </row>
    <row r="41" spans="3:6" ht="16.5">
      <c r="C41" s="105"/>
      <c r="D41" s="105"/>
      <c r="F41" s="84"/>
    </row>
    <row r="42" spans="3:6" ht="16.5">
      <c r="C42" s="202"/>
      <c r="D42" s="202"/>
      <c r="F42" s="84"/>
    </row>
    <row r="44" spans="2:13" s="141" customFormat="1" ht="18">
      <c r="B44" s="134" t="s">
        <v>119</v>
      </c>
      <c r="C44" s="134"/>
      <c r="D44" s="134"/>
      <c r="M44" s="199"/>
    </row>
    <row r="45" spans="2:13" s="141" customFormat="1" ht="18">
      <c r="B45" s="337" t="s">
        <v>138</v>
      </c>
      <c r="C45" s="337"/>
      <c r="D45" s="337"/>
      <c r="M45" s="199"/>
    </row>
    <row r="46" spans="2:13" s="141" customFormat="1" ht="18">
      <c r="B46" s="337" t="s">
        <v>139</v>
      </c>
      <c r="C46" s="337"/>
      <c r="D46" s="337"/>
      <c r="M46" s="199"/>
    </row>
    <row r="47" spans="2:13" s="141" customFormat="1" ht="18">
      <c r="B47" s="363" t="s">
        <v>37</v>
      </c>
      <c r="C47" s="193"/>
      <c r="D47" s="193"/>
      <c r="M47" s="199"/>
    </row>
    <row r="48" spans="2:13" s="141" customFormat="1" ht="18">
      <c r="B48" s="567" t="str">
        <f>+B9</f>
        <v>Al 31 de julio de 2017</v>
      </c>
      <c r="C48" s="567"/>
      <c r="D48" s="264"/>
      <c r="M48" s="199"/>
    </row>
    <row r="49" spans="2:13" s="65" customFormat="1" ht="9.75" customHeight="1">
      <c r="B49" s="570"/>
      <c r="C49" s="570"/>
      <c r="D49" s="570"/>
      <c r="M49" s="170"/>
    </row>
    <row r="50" spans="2:4" ht="16.5" customHeight="1">
      <c r="B50" s="571" t="s">
        <v>96</v>
      </c>
      <c r="C50" s="565" t="s">
        <v>89</v>
      </c>
      <c r="D50" s="555" t="s">
        <v>168</v>
      </c>
    </row>
    <row r="51" spans="2:13" s="84" customFormat="1" ht="16.5" customHeight="1">
      <c r="B51" s="572"/>
      <c r="C51" s="566"/>
      <c r="D51" s="556"/>
      <c r="M51" s="171"/>
    </row>
    <row r="52" spans="2:13" s="84" customFormat="1" ht="9.75" customHeight="1">
      <c r="B52" s="64"/>
      <c r="C52" s="166"/>
      <c r="D52" s="205"/>
      <c r="M52" s="171"/>
    </row>
    <row r="53" spans="2:13" s="84" customFormat="1" ht="16.5">
      <c r="B53" s="168" t="s">
        <v>64</v>
      </c>
      <c r="C53" s="364">
        <f>SUM(C54:C55)</f>
        <v>357190.25882999995</v>
      </c>
      <c r="D53" s="365">
        <f>SUM(D54:D55)</f>
        <v>1158010.81913</v>
      </c>
      <c r="F53" s="376"/>
      <c r="M53" s="171"/>
    </row>
    <row r="54" spans="2:13" s="84" customFormat="1" ht="16.5">
      <c r="B54" s="83" t="s">
        <v>24</v>
      </c>
      <c r="C54" s="366">
        <v>357190.25882999995</v>
      </c>
      <c r="D54" s="332">
        <f>ROUND(+C54*$E$9,5)</f>
        <v>1158010.81913</v>
      </c>
      <c r="F54" s="375"/>
      <c r="M54" s="171"/>
    </row>
    <row r="55" spans="2:13" s="84" customFormat="1" ht="21.75" customHeight="1" hidden="1">
      <c r="B55" s="85" t="s">
        <v>65</v>
      </c>
      <c r="C55" s="366">
        <v>0</v>
      </c>
      <c r="D55" s="332">
        <f>+C55*$E$9</f>
        <v>0</v>
      </c>
      <c r="M55" s="171"/>
    </row>
    <row r="56" spans="2:13" s="84" customFormat="1" ht="15" customHeight="1">
      <c r="B56" s="64"/>
      <c r="C56" s="367"/>
      <c r="D56" s="368"/>
      <c r="M56" s="171"/>
    </row>
    <row r="57" spans="2:13" s="84" customFormat="1" ht="16.5">
      <c r="B57" s="168" t="s">
        <v>63</v>
      </c>
      <c r="C57" s="364">
        <f>SUM(C58:C58)</f>
        <v>334000</v>
      </c>
      <c r="D57" s="365">
        <f>SUM(D58:D58)</f>
        <v>1082828</v>
      </c>
      <c r="F57" s="376"/>
      <c r="M57" s="171"/>
    </row>
    <row r="58" spans="2:13" s="84" customFormat="1" ht="16.5">
      <c r="B58" s="83" t="s">
        <v>24</v>
      </c>
      <c r="C58" s="366">
        <f>+C61</f>
        <v>334000</v>
      </c>
      <c r="D58" s="332">
        <f>+D60</f>
        <v>1082828</v>
      </c>
      <c r="F58" s="375"/>
      <c r="M58" s="171"/>
    </row>
    <row r="59" spans="2:13" s="84" customFormat="1" ht="9.75" customHeight="1">
      <c r="B59" s="85"/>
      <c r="C59" s="366"/>
      <c r="D59" s="332"/>
      <c r="M59" s="171"/>
    </row>
    <row r="60" spans="2:13" s="84" customFormat="1" ht="16.5">
      <c r="B60" s="372" t="s">
        <v>184</v>
      </c>
      <c r="C60" s="369">
        <f>SUM(C61:C61)</f>
        <v>334000</v>
      </c>
      <c r="D60" s="369">
        <f>SUM(D61:D61)</f>
        <v>1082828</v>
      </c>
      <c r="F60" s="376"/>
      <c r="M60" s="171"/>
    </row>
    <row r="61" spans="2:13" s="84" customFormat="1" ht="16.5">
      <c r="B61" s="373" t="s">
        <v>24</v>
      </c>
      <c r="C61" s="367">
        <v>334000</v>
      </c>
      <c r="D61" s="368">
        <f>ROUND(+C61*$E$9,5)</f>
        <v>1082828</v>
      </c>
      <c r="F61" s="375"/>
      <c r="M61" s="171"/>
    </row>
    <row r="62" spans="2:13" s="84" customFormat="1" ht="21.75" customHeight="1" hidden="1">
      <c r="B62" s="83" t="s">
        <v>67</v>
      </c>
      <c r="C62" s="366">
        <v>0</v>
      </c>
      <c r="D62" s="332">
        <f>+C62*$E$9</f>
        <v>0</v>
      </c>
      <c r="F62" s="216"/>
      <c r="M62" s="171"/>
    </row>
    <row r="63" spans="2:13" s="84" customFormat="1" ht="9.75" customHeight="1">
      <c r="B63" s="204"/>
      <c r="C63" s="367"/>
      <c r="D63" s="368"/>
      <c r="M63" s="171"/>
    </row>
    <row r="64" spans="2:13" s="84" customFormat="1" ht="15" customHeight="1">
      <c r="B64" s="568" t="s">
        <v>61</v>
      </c>
      <c r="C64" s="563">
        <f>+C57+C53</f>
        <v>691190.25883</v>
      </c>
      <c r="D64" s="563">
        <f>+D57+D53</f>
        <v>2240838.8191299997</v>
      </c>
      <c r="M64" s="171"/>
    </row>
    <row r="65" spans="2:13" s="84" customFormat="1" ht="15" customHeight="1">
      <c r="B65" s="569"/>
      <c r="C65" s="564"/>
      <c r="D65" s="564"/>
      <c r="F65" s="376"/>
      <c r="M65" s="171"/>
    </row>
    <row r="67" spans="3:6" ht="12.75">
      <c r="C67" s="105"/>
      <c r="D67" s="136"/>
      <c r="F67" s="377"/>
    </row>
    <row r="68" ht="12.75">
      <c r="C68" s="201"/>
    </row>
  </sheetData>
  <sheetProtection/>
  <mergeCells count="16">
    <mergeCell ref="B9:C9"/>
    <mergeCell ref="B10:D10"/>
    <mergeCell ref="B64:B65"/>
    <mergeCell ref="C64:C65"/>
    <mergeCell ref="D64:D65"/>
    <mergeCell ref="B49:D49"/>
    <mergeCell ref="B50:B51"/>
    <mergeCell ref="B11:B12"/>
    <mergeCell ref="C11:C12"/>
    <mergeCell ref="D11:D12"/>
    <mergeCell ref="C38:C39"/>
    <mergeCell ref="C50:C51"/>
    <mergeCell ref="D50:D51"/>
    <mergeCell ref="B48:C48"/>
    <mergeCell ref="D38:D39"/>
    <mergeCell ref="B38:B39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0" customWidth="1"/>
    <col min="2" max="2" width="73.57421875" style="90" customWidth="1"/>
    <col min="3" max="4" width="19.7109375" style="90" customWidth="1"/>
    <col min="5" max="5" width="20.57421875" style="90" bestFit="1" customWidth="1"/>
    <col min="6" max="6" width="19.28125" style="90" customWidth="1"/>
    <col min="7" max="7" width="16.28125" style="90" bestFit="1" customWidth="1"/>
    <col min="8" max="8" width="16.421875" style="90" customWidth="1"/>
    <col min="9" max="9" width="17.00390625" style="90" customWidth="1"/>
    <col min="10" max="16384" width="11.421875" style="90" customWidth="1"/>
  </cols>
  <sheetData>
    <row r="1" spans="2:5" ht="14.25">
      <c r="B1" s="106"/>
      <c r="E1" s="112"/>
    </row>
    <row r="2" ht="12.75">
      <c r="B2" s="106"/>
    </row>
    <row r="3" ht="12.75">
      <c r="B3" s="106"/>
    </row>
    <row r="4" ht="13.5" customHeight="1">
      <c r="B4" s="106"/>
    </row>
    <row r="5" spans="2:4" ht="18">
      <c r="B5" s="134" t="s">
        <v>14</v>
      </c>
      <c r="C5" s="134"/>
      <c r="D5" s="134"/>
    </row>
    <row r="6" spans="2:11" ht="18">
      <c r="B6" s="337" t="s">
        <v>138</v>
      </c>
      <c r="C6" s="337"/>
      <c r="D6" s="337"/>
      <c r="K6" s="137"/>
    </row>
    <row r="7" spans="2:11" ht="18">
      <c r="B7" s="337" t="s">
        <v>137</v>
      </c>
      <c r="C7" s="337"/>
      <c r="D7" s="337"/>
      <c r="K7" s="137"/>
    </row>
    <row r="8" spans="2:11" ht="16.5">
      <c r="B8" s="363" t="s">
        <v>32</v>
      </c>
      <c r="C8" s="193"/>
      <c r="D8" s="193"/>
      <c r="K8" s="137"/>
    </row>
    <row r="9" spans="2:11" s="141" customFormat="1" ht="18">
      <c r="B9" s="138" t="str">
        <f>+'DEP-C2'!B9</f>
        <v>Al 31 de julio de 2017</v>
      </c>
      <c r="C9" s="138"/>
      <c r="D9" s="277"/>
      <c r="E9" s="334">
        <f>+Portada!H39</f>
        <v>3.242</v>
      </c>
      <c r="K9" s="199"/>
    </row>
    <row r="10" spans="2:11" ht="9.75" customHeight="1">
      <c r="B10" s="573"/>
      <c r="C10" s="573"/>
      <c r="D10" s="573"/>
      <c r="K10" s="137"/>
    </row>
    <row r="11" spans="2:11" ht="16.5" customHeight="1">
      <c r="B11" s="571" t="s">
        <v>97</v>
      </c>
      <c r="C11" s="565" t="s">
        <v>89</v>
      </c>
      <c r="D11" s="555" t="s">
        <v>232</v>
      </c>
      <c r="K11" s="137"/>
    </row>
    <row r="12" spans="2:11" ht="16.5" customHeight="1">
      <c r="B12" s="572"/>
      <c r="C12" s="566"/>
      <c r="D12" s="556"/>
      <c r="F12" s="65"/>
      <c r="G12" s="65"/>
      <c r="H12" s="217"/>
      <c r="I12" s="217"/>
      <c r="K12" s="137"/>
    </row>
    <row r="13" spans="2:11" s="84" customFormat="1" ht="9.75" customHeight="1">
      <c r="B13" s="267"/>
      <c r="C13" s="107"/>
      <c r="D13" s="107"/>
      <c r="F13" s="65"/>
      <c r="G13" s="65"/>
      <c r="H13" s="217"/>
      <c r="I13" s="217"/>
      <c r="K13" s="171"/>
    </row>
    <row r="14" spans="2:11" s="65" customFormat="1" ht="16.5" customHeight="1">
      <c r="B14" s="378" t="s">
        <v>91</v>
      </c>
      <c r="C14" s="370">
        <f>+C16+C19</f>
        <v>3129820.9662099998</v>
      </c>
      <c r="D14" s="370">
        <f>+D16+D19</f>
        <v>10146879.57245282</v>
      </c>
      <c r="E14" s="225"/>
      <c r="F14" s="376"/>
      <c r="H14" s="217"/>
      <c r="I14" s="217"/>
      <c r="K14" s="170"/>
    </row>
    <row r="15" spans="2:11" s="65" customFormat="1" ht="9.75" customHeight="1">
      <c r="B15" s="63"/>
      <c r="C15" s="379"/>
      <c r="D15" s="379"/>
      <c r="K15" s="170"/>
    </row>
    <row r="16" spans="2:11" s="65" customFormat="1" ht="16.5" customHeight="1">
      <c r="B16" s="380" t="s">
        <v>33</v>
      </c>
      <c r="C16" s="370">
        <f>+C17</f>
        <v>2000000</v>
      </c>
      <c r="D16" s="370">
        <f>+D17</f>
        <v>6484000</v>
      </c>
      <c r="F16" s="376"/>
      <c r="H16" s="218"/>
      <c r="K16" s="170"/>
    </row>
    <row r="17" spans="2:11" s="65" customFormat="1" ht="16.5" customHeight="1">
      <c r="B17" s="371" t="s">
        <v>239</v>
      </c>
      <c r="C17" s="368">
        <v>2000000</v>
      </c>
      <c r="D17" s="368">
        <f>ROUND(+C17*$E$9,8)</f>
        <v>6484000</v>
      </c>
      <c r="F17" s="375"/>
      <c r="H17" s="218"/>
      <c r="K17" s="170"/>
    </row>
    <row r="18" spans="2:11" s="65" customFormat="1" ht="12" customHeight="1">
      <c r="B18" s="64"/>
      <c r="C18" s="368"/>
      <c r="D18" s="368"/>
      <c r="H18" s="218"/>
      <c r="K18" s="170"/>
    </row>
    <row r="19" spans="2:11" s="65" customFormat="1" ht="16.5" customHeight="1">
      <c r="B19" s="380" t="s">
        <v>34</v>
      </c>
      <c r="C19" s="370">
        <f>SUM(C20:C25)</f>
        <v>1129820.9662099998</v>
      </c>
      <c r="D19" s="370">
        <f>SUM(D20:D25)</f>
        <v>3662879.5724528204</v>
      </c>
      <c r="F19" s="376"/>
      <c r="H19" s="218"/>
      <c r="K19" s="170"/>
    </row>
    <row r="20" spans="2:11" s="65" customFormat="1" ht="16.5" customHeight="1">
      <c r="B20" s="371" t="s">
        <v>240</v>
      </c>
      <c r="C20" s="368">
        <v>709081.3165799999</v>
      </c>
      <c r="D20" s="368">
        <f aca="true" t="shared" si="0" ref="D20:D25">ROUND(+C20*$E$9,8)</f>
        <v>2298841.62835236</v>
      </c>
      <c r="F20" s="375"/>
      <c r="H20" s="218"/>
      <c r="K20" s="170"/>
    </row>
    <row r="21" spans="2:11" s="65" customFormat="1" ht="16.5" customHeight="1">
      <c r="B21" s="371" t="s">
        <v>191</v>
      </c>
      <c r="C21" s="368">
        <v>255234.70985999997</v>
      </c>
      <c r="D21" s="368">
        <f>ROUND(+C21*$E$9,8)</f>
        <v>827470.92936612</v>
      </c>
      <c r="F21" s="375"/>
      <c r="H21" s="218"/>
      <c r="K21" s="170"/>
    </row>
    <row r="22" spans="2:11" s="65" customFormat="1" ht="16.5" customHeight="1">
      <c r="B22" s="371" t="s">
        <v>0</v>
      </c>
      <c r="C22" s="368">
        <v>162405.44669</v>
      </c>
      <c r="D22" s="368">
        <f t="shared" si="0"/>
        <v>526518.45816898</v>
      </c>
      <c r="F22" s="375"/>
      <c r="G22" s="300"/>
      <c r="H22" s="218"/>
      <c r="K22" s="170"/>
    </row>
    <row r="23" spans="2:11" s="65" customFormat="1" ht="16.5" customHeight="1">
      <c r="B23" s="371" t="s">
        <v>194</v>
      </c>
      <c r="C23" s="368">
        <v>2306.65575</v>
      </c>
      <c r="D23" s="368">
        <f t="shared" si="0"/>
        <v>7478.1779415</v>
      </c>
      <c r="F23" s="375"/>
      <c r="G23" s="217"/>
      <c r="H23" s="217"/>
      <c r="K23" s="170"/>
    </row>
    <row r="24" spans="2:11" s="65" customFormat="1" ht="16.5" customHeight="1">
      <c r="B24" s="371" t="s">
        <v>160</v>
      </c>
      <c r="C24" s="368">
        <v>654.04818</v>
      </c>
      <c r="D24" s="368">
        <f t="shared" si="0"/>
        <v>2120.42419956</v>
      </c>
      <c r="F24" s="375"/>
      <c r="G24" s="217"/>
      <c r="H24" s="217"/>
      <c r="I24" s="217"/>
      <c r="K24" s="170"/>
    </row>
    <row r="25" spans="2:11" s="65" customFormat="1" ht="16.5" customHeight="1">
      <c r="B25" s="371" t="s">
        <v>192</v>
      </c>
      <c r="C25" s="368">
        <v>138.78915</v>
      </c>
      <c r="D25" s="368">
        <f t="shared" si="0"/>
        <v>449.9544243</v>
      </c>
      <c r="F25" s="375"/>
      <c r="G25" s="217"/>
      <c r="H25" s="217"/>
      <c r="I25" s="217"/>
      <c r="K25" s="170"/>
    </row>
    <row r="26" spans="2:8" s="65" customFormat="1" ht="15" customHeight="1">
      <c r="B26" s="66"/>
      <c r="C26" s="368"/>
      <c r="D26" s="368"/>
      <c r="G26" s="234"/>
      <c r="H26" s="234"/>
    </row>
    <row r="27" spans="2:8" s="65" customFormat="1" ht="16.5" customHeight="1">
      <c r="B27" s="378" t="s">
        <v>92</v>
      </c>
      <c r="C27" s="370">
        <f>+C29+C37</f>
        <v>4672412.40689</v>
      </c>
      <c r="D27" s="370">
        <f>+D29+D37</f>
        <v>15147961.02313736</v>
      </c>
      <c r="F27" s="376"/>
      <c r="G27" s="217"/>
      <c r="H27" s="217"/>
    </row>
    <row r="28" spans="2:4" s="65" customFormat="1" ht="9.75" customHeight="1">
      <c r="B28" s="63"/>
      <c r="C28" s="379"/>
      <c r="D28" s="379"/>
    </row>
    <row r="29" spans="2:8" s="65" customFormat="1" ht="16.5" customHeight="1">
      <c r="B29" s="380" t="s">
        <v>33</v>
      </c>
      <c r="C29" s="370">
        <f>SUM(C30:C35)</f>
        <v>3828858.9450600003</v>
      </c>
      <c r="D29" s="370">
        <f>SUM(D30:D35)</f>
        <v>12413160.6998845</v>
      </c>
      <c r="F29" s="376"/>
      <c r="H29" s="218"/>
    </row>
    <row r="30" spans="2:8" s="65" customFormat="1" ht="16.5" customHeight="1">
      <c r="B30" s="371" t="s">
        <v>238</v>
      </c>
      <c r="C30" s="368">
        <f>1900000+265422.57866+950000+462677.35965</f>
        <v>3578099.93831</v>
      </c>
      <c r="D30" s="368">
        <f aca="true" t="shared" si="1" ref="D30:D35">ROUND(+C30*$E$9,8)</f>
        <v>11600200.000001</v>
      </c>
      <c r="E30" s="414"/>
      <c r="F30" s="496"/>
      <c r="H30" s="218"/>
    </row>
    <row r="31" spans="2:8" s="65" customFormat="1" ht="16.5" customHeight="1">
      <c r="B31" s="371" t="s">
        <v>196</v>
      </c>
      <c r="C31" s="368">
        <v>88834.05305</v>
      </c>
      <c r="D31" s="368">
        <f t="shared" si="1"/>
        <v>287999.9999881</v>
      </c>
      <c r="E31" s="414"/>
      <c r="F31" s="496"/>
      <c r="H31" s="218"/>
    </row>
    <row r="32" spans="2:8" s="65" customFormat="1" ht="16.5" customHeight="1">
      <c r="B32" s="371" t="s">
        <v>189</v>
      </c>
      <c r="C32" s="368">
        <v>69901.2955</v>
      </c>
      <c r="D32" s="368">
        <f t="shared" si="1"/>
        <v>226620.000011</v>
      </c>
      <c r="E32" s="414"/>
      <c r="F32" s="496"/>
      <c r="H32" s="218"/>
    </row>
    <row r="33" spans="2:8" s="65" customFormat="1" ht="16.5" customHeight="1">
      <c r="B33" s="371" t="s">
        <v>173</v>
      </c>
      <c r="C33" s="368">
        <v>40000</v>
      </c>
      <c r="D33" s="368">
        <f t="shared" si="1"/>
        <v>129680</v>
      </c>
      <c r="E33" s="414"/>
      <c r="F33" s="496"/>
      <c r="H33" s="218"/>
    </row>
    <row r="34" spans="2:8" s="65" customFormat="1" ht="16.5" customHeight="1">
      <c r="B34" s="371" t="s">
        <v>188</v>
      </c>
      <c r="C34" s="368">
        <v>36023.658200000005</v>
      </c>
      <c r="D34" s="368">
        <f t="shared" si="1"/>
        <v>116788.6998844</v>
      </c>
      <c r="E34" s="414"/>
      <c r="F34" s="496"/>
      <c r="H34" s="218"/>
    </row>
    <row r="35" spans="2:8" s="65" customFormat="1" ht="16.5" customHeight="1">
      <c r="B35" s="371" t="s">
        <v>195</v>
      </c>
      <c r="C35" s="368">
        <v>16000</v>
      </c>
      <c r="D35" s="368">
        <f t="shared" si="1"/>
        <v>51872</v>
      </c>
      <c r="E35" s="414"/>
      <c r="F35" s="496"/>
      <c r="H35" s="218"/>
    </row>
    <row r="36" spans="2:8" s="65" customFormat="1" ht="12" customHeight="1">
      <c r="B36" s="64"/>
      <c r="C36" s="368"/>
      <c r="D36" s="368"/>
      <c r="H36" s="218"/>
    </row>
    <row r="37" spans="2:8" s="65" customFormat="1" ht="16.5" customHeight="1">
      <c r="B37" s="380" t="s">
        <v>34</v>
      </c>
      <c r="C37" s="370">
        <f>SUM(C38:C45)</f>
        <v>843553.4618300002</v>
      </c>
      <c r="D37" s="370">
        <f>SUM(D38:D45)</f>
        <v>2734800.3232528605</v>
      </c>
      <c r="F37" s="376"/>
      <c r="H37" s="218"/>
    </row>
    <row r="38" spans="2:8" s="65" customFormat="1" ht="16.5" customHeight="1">
      <c r="B38" s="371" t="s">
        <v>243</v>
      </c>
      <c r="C38" s="368">
        <f>314603.63974+131414.25046</f>
        <v>446017.8902</v>
      </c>
      <c r="D38" s="368">
        <f aca="true" t="shared" si="2" ref="D38:D45">ROUND(+C38*$E$9,8)</f>
        <v>1445990.0000284</v>
      </c>
      <c r="E38" s="497"/>
      <c r="F38" s="496"/>
      <c r="H38" s="218"/>
    </row>
    <row r="39" spans="2:8" s="65" customFormat="1" ht="16.5" customHeight="1">
      <c r="B39" s="371" t="s">
        <v>228</v>
      </c>
      <c r="C39" s="368">
        <v>125058.92042</v>
      </c>
      <c r="D39" s="368">
        <f t="shared" si="2"/>
        <v>405441.02000164</v>
      </c>
      <c r="E39" s="414"/>
      <c r="F39" s="496"/>
      <c r="H39" s="218"/>
    </row>
    <row r="40" spans="2:8" s="65" customFormat="1" ht="16.5" customHeight="1">
      <c r="B40" s="371" t="s">
        <v>240</v>
      </c>
      <c r="C40" s="368">
        <v>112266.21319</v>
      </c>
      <c r="D40" s="368">
        <f t="shared" si="2"/>
        <v>363967.06316198</v>
      </c>
      <c r="E40" s="414"/>
      <c r="F40" s="496"/>
      <c r="H40" s="218"/>
    </row>
    <row r="41" spans="2:8" s="65" customFormat="1" ht="16.5" customHeight="1">
      <c r="B41" s="371" t="s">
        <v>160</v>
      </c>
      <c r="C41" s="368">
        <v>100246.76123999999</v>
      </c>
      <c r="D41" s="368">
        <f t="shared" si="2"/>
        <v>324999.99994008</v>
      </c>
      <c r="E41" s="414"/>
      <c r="F41" s="496"/>
      <c r="H41" s="218"/>
    </row>
    <row r="42" spans="2:8" s="65" customFormat="1" ht="16.5" customHeight="1">
      <c r="B42" s="371" t="s">
        <v>190</v>
      </c>
      <c r="C42" s="368">
        <v>34603.55049</v>
      </c>
      <c r="D42" s="368">
        <f t="shared" si="2"/>
        <v>112184.71068858</v>
      </c>
      <c r="E42" s="414"/>
      <c r="F42" s="496"/>
      <c r="H42" s="218"/>
    </row>
    <row r="43" spans="2:8" s="65" customFormat="1" ht="16.5" customHeight="1">
      <c r="B43" s="371" t="s">
        <v>198</v>
      </c>
      <c r="C43" s="368">
        <v>12338.06292</v>
      </c>
      <c r="D43" s="368">
        <f t="shared" si="2"/>
        <v>39999.99998664</v>
      </c>
      <c r="E43" s="497"/>
      <c r="F43" s="496"/>
      <c r="H43" s="218"/>
    </row>
    <row r="44" spans="2:8" s="65" customFormat="1" ht="16.5" customHeight="1">
      <c r="B44" s="371" t="s">
        <v>162</v>
      </c>
      <c r="C44" s="368">
        <v>9000</v>
      </c>
      <c r="D44" s="368">
        <f t="shared" si="2"/>
        <v>29178</v>
      </c>
      <c r="E44" s="414"/>
      <c r="F44" s="496"/>
      <c r="H44" s="218"/>
    </row>
    <row r="45" spans="2:8" s="65" customFormat="1" ht="16.5" customHeight="1">
      <c r="B45" s="371" t="s">
        <v>193</v>
      </c>
      <c r="C45" s="368">
        <v>4022.06337</v>
      </c>
      <c r="D45" s="368">
        <f t="shared" si="2"/>
        <v>13039.52944554</v>
      </c>
      <c r="E45" s="414"/>
      <c r="F45" s="496"/>
      <c r="H45" s="218"/>
    </row>
    <row r="46" spans="2:8" s="65" customFormat="1" ht="9" customHeight="1">
      <c r="B46" s="64"/>
      <c r="C46" s="368"/>
      <c r="D46" s="368"/>
      <c r="H46" s="218"/>
    </row>
    <row r="47" spans="2:8" s="65" customFormat="1" ht="15" customHeight="1">
      <c r="B47" s="568" t="s">
        <v>61</v>
      </c>
      <c r="C47" s="563">
        <f>+C27+C14</f>
        <v>7802233.3730999995</v>
      </c>
      <c r="D47" s="563">
        <f>+D27+D14</f>
        <v>25294840.59559018</v>
      </c>
      <c r="F47" s="376"/>
      <c r="H47" s="218"/>
    </row>
    <row r="48" spans="2:8" s="84" customFormat="1" ht="15" customHeight="1">
      <c r="B48" s="569"/>
      <c r="C48" s="564"/>
      <c r="D48" s="564"/>
      <c r="H48" s="218"/>
    </row>
    <row r="49" spans="2:8" s="84" customFormat="1" ht="7.5" customHeight="1">
      <c r="B49" s="108"/>
      <c r="C49" s="109"/>
      <c r="D49" s="109"/>
      <c r="H49" s="218"/>
    </row>
    <row r="50" spans="2:4" ht="12.75">
      <c r="B50" s="89" t="s">
        <v>241</v>
      </c>
      <c r="C50" s="89"/>
      <c r="D50" s="89"/>
    </row>
    <row r="51" spans="2:4" ht="12.75">
      <c r="B51" s="89" t="s">
        <v>242</v>
      </c>
      <c r="C51" s="89"/>
      <c r="D51" s="89"/>
    </row>
    <row r="52" spans="2:5" ht="14.25">
      <c r="B52" s="89" t="s">
        <v>252</v>
      </c>
      <c r="C52" s="89"/>
      <c r="D52" s="174"/>
      <c r="E52" s="201"/>
    </row>
    <row r="53" spans="2:5" ht="13.5" customHeight="1">
      <c r="B53" s="89" t="s">
        <v>251</v>
      </c>
      <c r="C53" s="89"/>
      <c r="D53" s="89"/>
      <c r="E53" s="201"/>
    </row>
    <row r="54" spans="2:5" ht="12.75">
      <c r="B54" s="89"/>
      <c r="C54" s="201"/>
      <c r="D54" s="201"/>
      <c r="E54" s="201"/>
    </row>
    <row r="55" spans="2:5" ht="12.75">
      <c r="B55" s="89"/>
      <c r="C55" s="201"/>
      <c r="D55" s="201"/>
      <c r="E55" s="201"/>
    </row>
    <row r="56" spans="3:5" ht="12.75">
      <c r="C56" s="201"/>
      <c r="D56" s="201"/>
      <c r="E56" s="201"/>
    </row>
    <row r="57" spans="2:4" s="141" customFormat="1" ht="18">
      <c r="B57" s="134" t="s">
        <v>120</v>
      </c>
      <c r="C57" s="134"/>
      <c r="D57" s="134"/>
    </row>
    <row r="58" spans="2:4" ht="18">
      <c r="B58" s="337" t="s">
        <v>138</v>
      </c>
      <c r="C58" s="337"/>
      <c r="D58" s="337"/>
    </row>
    <row r="59" spans="2:4" ht="18">
      <c r="B59" s="337" t="s">
        <v>139</v>
      </c>
      <c r="C59" s="337"/>
      <c r="D59" s="337"/>
    </row>
    <row r="60" spans="2:4" ht="16.5">
      <c r="B60" s="363" t="s">
        <v>32</v>
      </c>
      <c r="C60" s="193"/>
      <c r="D60" s="193"/>
    </row>
    <row r="61" spans="2:4" s="141" customFormat="1" ht="18">
      <c r="B61" s="138" t="str">
        <f>+B9</f>
        <v>Al 31 de julio de 2017</v>
      </c>
      <c r="C61" s="138"/>
      <c r="D61" s="264"/>
    </row>
    <row r="62" spans="2:4" ht="9.75" customHeight="1">
      <c r="B62" s="573"/>
      <c r="C62" s="573"/>
      <c r="D62" s="573"/>
    </row>
    <row r="63" spans="2:4" ht="16.5" customHeight="1">
      <c r="B63" s="571" t="s">
        <v>97</v>
      </c>
      <c r="C63" s="565" t="s">
        <v>89</v>
      </c>
      <c r="D63" s="555" t="s">
        <v>232</v>
      </c>
    </row>
    <row r="64" spans="2:4" ht="16.5" customHeight="1">
      <c r="B64" s="572"/>
      <c r="C64" s="566"/>
      <c r="D64" s="556"/>
    </row>
    <row r="65" spans="2:4" s="84" customFormat="1" ht="9.75" customHeight="1">
      <c r="B65" s="267"/>
      <c r="C65" s="107"/>
      <c r="D65" s="107"/>
    </row>
    <row r="66" spans="2:6" s="65" customFormat="1" ht="16.5" customHeight="1">
      <c r="B66" s="378" t="s">
        <v>91</v>
      </c>
      <c r="C66" s="370">
        <f>+C68+C71</f>
        <v>691190.25883</v>
      </c>
      <c r="D66" s="370">
        <f>+D68+D71</f>
        <v>2240838.8191268602</v>
      </c>
      <c r="F66" s="376"/>
    </row>
    <row r="67" spans="2:8" s="65" customFormat="1" ht="9.75" customHeight="1">
      <c r="B67" s="64"/>
      <c r="C67" s="368"/>
      <c r="D67" s="368"/>
      <c r="H67" s="218"/>
    </row>
    <row r="68" spans="2:8" s="65" customFormat="1" ht="16.5" customHeight="1">
      <c r="B68" s="380" t="s">
        <v>33</v>
      </c>
      <c r="C68" s="370">
        <f>SUM(C69:C69)</f>
        <v>58012.33807</v>
      </c>
      <c r="D68" s="370">
        <f>SUM(D69:D69)</f>
        <v>188076.00002294</v>
      </c>
      <c r="F68" s="376"/>
      <c r="G68" s="219"/>
      <c r="H68" s="219"/>
    </row>
    <row r="69" spans="2:8" s="65" customFormat="1" ht="16.5" customHeight="1">
      <c r="B69" s="371" t="s">
        <v>173</v>
      </c>
      <c r="C69" s="368">
        <v>58012.33807</v>
      </c>
      <c r="D69" s="368">
        <f>ROUND(+C69*$E$9,8)</f>
        <v>188076.00002294</v>
      </c>
      <c r="F69" s="381"/>
      <c r="H69" s="218"/>
    </row>
    <row r="70" spans="2:4" s="65" customFormat="1" ht="9.75" customHeight="1">
      <c r="B70" s="63"/>
      <c r="C70" s="379"/>
      <c r="D70" s="379"/>
    </row>
    <row r="71" spans="2:8" s="65" customFormat="1" ht="16.5" customHeight="1">
      <c r="B71" s="380" t="s">
        <v>34</v>
      </c>
      <c r="C71" s="370">
        <f>SUM(C72:C77)</f>
        <v>633177.9207599999</v>
      </c>
      <c r="D71" s="370">
        <f>SUM(D72:D77)</f>
        <v>2052762.8191039201</v>
      </c>
      <c r="F71" s="376"/>
      <c r="H71" s="218"/>
    </row>
    <row r="72" spans="2:8" s="65" customFormat="1" ht="16.5" customHeight="1">
      <c r="B72" s="371" t="s">
        <v>198</v>
      </c>
      <c r="C72" s="368">
        <v>338985.90405</v>
      </c>
      <c r="D72" s="368">
        <f aca="true" t="shared" si="3" ref="D72:D77">ROUND(+C72*$E$9,8)</f>
        <v>1098992.3009301</v>
      </c>
      <c r="E72" s="414"/>
      <c r="F72" s="496"/>
      <c r="H72" s="218"/>
    </row>
    <row r="73" spans="2:8" s="65" customFormat="1" ht="16.5" customHeight="1">
      <c r="B73" s="371" t="s">
        <v>197</v>
      </c>
      <c r="C73" s="368">
        <v>269483.85771</v>
      </c>
      <c r="D73" s="368">
        <f>ROUND(+C73*$E$9,8)</f>
        <v>873666.66669582</v>
      </c>
      <c r="E73" s="414"/>
      <c r="F73" s="496"/>
      <c r="H73" s="218"/>
    </row>
    <row r="74" spans="2:8" s="65" customFormat="1" ht="16.5" customHeight="1">
      <c r="B74" s="371" t="s">
        <v>193</v>
      </c>
      <c r="C74" s="368">
        <v>16279.356800000001</v>
      </c>
      <c r="D74" s="368">
        <f>ROUND(+C74*$E$9,8)</f>
        <v>52777.6747456</v>
      </c>
      <c r="E74" s="414"/>
      <c r="F74" s="496"/>
      <c r="H74" s="218"/>
    </row>
    <row r="75" spans="2:8" s="65" customFormat="1" ht="16.5" customHeight="1">
      <c r="B75" s="371" t="s">
        <v>160</v>
      </c>
      <c r="C75" s="368">
        <v>4127.8631000000005</v>
      </c>
      <c r="D75" s="368">
        <f>ROUND(+C75*$E$9,8)</f>
        <v>13382.5321702</v>
      </c>
      <c r="E75" s="414"/>
      <c r="F75" s="496"/>
      <c r="H75" s="218"/>
    </row>
    <row r="76" spans="2:8" s="65" customFormat="1" ht="16.5" customHeight="1">
      <c r="B76" s="371" t="s">
        <v>0</v>
      </c>
      <c r="C76" s="368">
        <v>2671.80719</v>
      </c>
      <c r="D76" s="368">
        <f t="shared" si="3"/>
        <v>8661.99890998</v>
      </c>
      <c r="E76" s="414"/>
      <c r="F76" s="496"/>
      <c r="H76" s="218"/>
    </row>
    <row r="77" spans="2:8" s="65" customFormat="1" ht="16.5" customHeight="1">
      <c r="B77" s="371" t="s">
        <v>174</v>
      </c>
      <c r="C77" s="368">
        <v>1629.1319099999998</v>
      </c>
      <c r="D77" s="368">
        <f t="shared" si="3"/>
        <v>5281.64565222</v>
      </c>
      <c r="E77" s="414"/>
      <c r="F77" s="496"/>
      <c r="H77" s="218"/>
    </row>
    <row r="78" spans="2:8" s="65" customFormat="1" ht="9" customHeight="1">
      <c r="B78" s="64"/>
      <c r="C78" s="368"/>
      <c r="D78" s="368"/>
      <c r="H78" s="218"/>
    </row>
    <row r="79" spans="2:8" s="65" customFormat="1" ht="15" customHeight="1">
      <c r="B79" s="568" t="s">
        <v>61</v>
      </c>
      <c r="C79" s="563">
        <f>+C66</f>
        <v>691190.25883</v>
      </c>
      <c r="D79" s="563">
        <f>+D66</f>
        <v>2240838.8191268602</v>
      </c>
      <c r="F79" s="376"/>
      <c r="H79" s="218"/>
    </row>
    <row r="80" spans="2:8" s="84" customFormat="1" ht="15" customHeight="1">
      <c r="B80" s="569"/>
      <c r="C80" s="564"/>
      <c r="D80" s="564"/>
      <c r="F80" s="226"/>
      <c r="H80" s="218"/>
    </row>
    <row r="82" spans="3:4" ht="12.75">
      <c r="C82" s="105"/>
      <c r="D82" s="299"/>
    </row>
    <row r="83" spans="3:4" ht="12.75">
      <c r="C83" s="301"/>
      <c r="D83" s="301"/>
    </row>
    <row r="84" ht="12.75">
      <c r="C84" s="486"/>
    </row>
    <row r="85" ht="12.75">
      <c r="C85" s="486"/>
    </row>
    <row r="86" ht="12.75">
      <c r="C86" s="486"/>
    </row>
    <row r="87" ht="12.75">
      <c r="C87" s="486"/>
    </row>
    <row r="88" ht="12.75">
      <c r="C88" s="486"/>
    </row>
    <row r="89" ht="12.75">
      <c r="C89" s="486"/>
    </row>
    <row r="90" ht="12.75">
      <c r="C90" s="486"/>
    </row>
  </sheetData>
  <sheetProtection/>
  <mergeCells count="14">
    <mergeCell ref="B10:D10"/>
    <mergeCell ref="B79:B80"/>
    <mergeCell ref="C79:C80"/>
    <mergeCell ref="D79:D80"/>
    <mergeCell ref="B62:D62"/>
    <mergeCell ref="B63:B64"/>
    <mergeCell ref="D11:D12"/>
    <mergeCell ref="C47:C48"/>
    <mergeCell ref="B47:B48"/>
    <mergeCell ref="C63:C64"/>
    <mergeCell ref="D63:D64"/>
    <mergeCell ref="B11:B12"/>
    <mergeCell ref="D47:D48"/>
    <mergeCell ref="C11:C12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0" customWidth="1"/>
    <col min="2" max="2" width="52.00390625" style="90" customWidth="1"/>
    <col min="3" max="4" width="19.7109375" style="90" customWidth="1"/>
    <col min="5" max="5" width="15.7109375" style="90" customWidth="1"/>
    <col min="6" max="6" width="16.28125" style="90" customWidth="1"/>
    <col min="7" max="7" width="17.8515625" style="90" bestFit="1" customWidth="1"/>
    <col min="8" max="8" width="15.7109375" style="228" customWidth="1"/>
    <col min="9" max="9" width="11.421875" style="90" customWidth="1"/>
    <col min="10" max="10" width="17.8515625" style="90" bestFit="1" customWidth="1"/>
    <col min="11" max="16384" width="11.421875" style="90" customWidth="1"/>
  </cols>
  <sheetData>
    <row r="1" ht="12.75">
      <c r="B1" s="106"/>
    </row>
    <row r="2" ht="12.75">
      <c r="B2" s="106"/>
    </row>
    <row r="3" ht="12.75">
      <c r="B3" s="106"/>
    </row>
    <row r="4" ht="11.25" customHeight="1">
      <c r="B4" s="106"/>
    </row>
    <row r="5" spans="2:9" ht="18">
      <c r="B5" s="134" t="s">
        <v>93</v>
      </c>
      <c r="C5" s="134"/>
      <c r="D5" s="134"/>
      <c r="I5" s="289"/>
    </row>
    <row r="6" spans="2:9" ht="18">
      <c r="B6" s="337" t="s">
        <v>138</v>
      </c>
      <c r="C6" s="337"/>
      <c r="D6" s="337"/>
      <c r="I6" s="299"/>
    </row>
    <row r="7" spans="2:4" ht="18">
      <c r="B7" s="337" t="s">
        <v>137</v>
      </c>
      <c r="C7" s="337"/>
      <c r="D7" s="337"/>
    </row>
    <row r="8" spans="2:4" ht="16.5">
      <c r="B8" s="363" t="s">
        <v>1</v>
      </c>
      <c r="C8" s="193"/>
      <c r="D8" s="193"/>
    </row>
    <row r="9" spans="2:5" ht="15.75">
      <c r="B9" s="138" t="str">
        <f>+'DEP-C2'!B9</f>
        <v>Al 31 de julio de 2017</v>
      </c>
      <c r="C9" s="138"/>
      <c r="D9" s="277"/>
      <c r="E9" s="334">
        <f>+Portada!H39</f>
        <v>3.242</v>
      </c>
    </row>
    <row r="10" spans="2:4" ht="9.75" customHeight="1">
      <c r="B10" s="573"/>
      <c r="C10" s="573"/>
      <c r="D10" s="573"/>
    </row>
    <row r="11" spans="2:4" ht="16.5" customHeight="1">
      <c r="B11" s="559" t="s">
        <v>152</v>
      </c>
      <c r="C11" s="555" t="s">
        <v>89</v>
      </c>
      <c r="D11" s="555" t="s">
        <v>168</v>
      </c>
    </row>
    <row r="12" spans="2:8" s="84" customFormat="1" ht="16.5" customHeight="1">
      <c r="B12" s="560"/>
      <c r="C12" s="556"/>
      <c r="D12" s="556"/>
      <c r="H12" s="216"/>
    </row>
    <row r="13" spans="2:8" s="84" customFormat="1" ht="9.75" customHeight="1">
      <c r="B13" s="265"/>
      <c r="C13" s="107"/>
      <c r="D13" s="143"/>
      <c r="H13" s="216"/>
    </row>
    <row r="14" spans="2:9" s="65" customFormat="1" ht="16.5" customHeight="1">
      <c r="B14" s="391" t="s">
        <v>0</v>
      </c>
      <c r="C14" s="370">
        <f>SUM(C15:C16)</f>
        <v>5663385.2662700005</v>
      </c>
      <c r="D14" s="369">
        <f>SUM(D15:D16)</f>
        <v>18360695.03324736</v>
      </c>
      <c r="E14" s="229"/>
      <c r="F14" s="376"/>
      <c r="G14" s="302"/>
      <c r="H14" s="302"/>
      <c r="I14" s="302"/>
    </row>
    <row r="15" spans="2:8" s="65" customFormat="1" ht="16.5" customHeight="1">
      <c r="B15" s="69" t="s">
        <v>24</v>
      </c>
      <c r="C15" s="368">
        <v>990972.8593800002</v>
      </c>
      <c r="D15" s="367">
        <f>ROUND(+C15*$E$9,8)</f>
        <v>3212734.01010996</v>
      </c>
      <c r="E15" s="229"/>
      <c r="F15" s="375"/>
      <c r="G15" s="381"/>
      <c r="H15" s="302"/>
    </row>
    <row r="16" spans="2:8" s="65" customFormat="1" ht="16.5" customHeight="1">
      <c r="B16" s="69" t="s">
        <v>25</v>
      </c>
      <c r="C16" s="368">
        <v>4672412.40689</v>
      </c>
      <c r="D16" s="367">
        <f>ROUND(+C16*$E$9,8)</f>
        <v>15147961.0231374</v>
      </c>
      <c r="E16" s="220"/>
      <c r="F16" s="375"/>
      <c r="G16" s="302"/>
      <c r="H16" s="302"/>
    </row>
    <row r="17" spans="2:8" s="65" customFormat="1" ht="12" customHeight="1">
      <c r="B17" s="69"/>
      <c r="C17" s="368"/>
      <c r="D17" s="367"/>
      <c r="E17" s="229"/>
      <c r="H17" s="220"/>
    </row>
    <row r="18" spans="2:8" s="65" customFormat="1" ht="16.5" customHeight="1">
      <c r="B18" s="391" t="s">
        <v>199</v>
      </c>
      <c r="C18" s="370">
        <f>SUM(C19:C19)</f>
        <v>138848.10683</v>
      </c>
      <c r="D18" s="369">
        <f>SUM(D19:D19)</f>
        <v>450145.56234286</v>
      </c>
      <c r="E18" s="229"/>
      <c r="F18" s="376"/>
      <c r="G18" s="303"/>
      <c r="H18" s="303"/>
    </row>
    <row r="19" spans="2:8" s="65" customFormat="1" ht="16.5" customHeight="1">
      <c r="B19" s="69" t="s">
        <v>24</v>
      </c>
      <c r="C19" s="368">
        <v>138848.10683</v>
      </c>
      <c r="D19" s="367">
        <f>ROUND(+C19*$E$9,8)</f>
        <v>450145.56234286</v>
      </c>
      <c r="E19" s="220"/>
      <c r="F19" s="375"/>
      <c r="H19" s="220"/>
    </row>
    <row r="20" spans="2:8" s="65" customFormat="1" ht="11.25" customHeight="1">
      <c r="B20" s="69"/>
      <c r="C20" s="368"/>
      <c r="D20" s="367"/>
      <c r="E20" s="229"/>
      <c r="H20" s="220"/>
    </row>
    <row r="21" spans="2:8" s="65" customFormat="1" ht="16.5" customHeight="1">
      <c r="B21" s="391" t="s">
        <v>200</v>
      </c>
      <c r="C21" s="370">
        <f>+C22</f>
        <v>2000000</v>
      </c>
      <c r="D21" s="369">
        <f>+D22</f>
        <v>6484000</v>
      </c>
      <c r="E21" s="229"/>
      <c r="F21" s="376"/>
      <c r="H21" s="220"/>
    </row>
    <row r="22" spans="2:8" s="65" customFormat="1" ht="16.5" customHeight="1">
      <c r="B22" s="69" t="s">
        <v>24</v>
      </c>
      <c r="C22" s="368">
        <v>2000000</v>
      </c>
      <c r="D22" s="367">
        <f>ROUND(+C22*$E$9,8)</f>
        <v>6484000</v>
      </c>
      <c r="E22" s="220"/>
      <c r="F22" s="375"/>
      <c r="H22" s="220"/>
    </row>
    <row r="23" spans="2:8" s="65" customFormat="1" ht="9.75" customHeight="1">
      <c r="B23" s="68"/>
      <c r="C23" s="332"/>
      <c r="D23" s="366"/>
      <c r="F23" s="375"/>
      <c r="H23" s="220"/>
    </row>
    <row r="24" spans="2:8" s="65" customFormat="1" ht="15" customHeight="1">
      <c r="B24" s="574" t="s">
        <v>61</v>
      </c>
      <c r="C24" s="563">
        <f>+C18+C14+C21</f>
        <v>7802233.3731</v>
      </c>
      <c r="D24" s="563">
        <f>+D18+D14+D21</f>
        <v>25294840.59559022</v>
      </c>
      <c r="F24" s="376"/>
      <c r="H24" s="220"/>
    </row>
    <row r="25" spans="2:8" s="84" customFormat="1" ht="15" customHeight="1">
      <c r="B25" s="575"/>
      <c r="C25" s="564"/>
      <c r="D25" s="564"/>
      <c r="H25" s="216"/>
    </row>
    <row r="26" spans="2:8" s="84" customFormat="1" ht="7.5" customHeight="1">
      <c r="B26" s="262"/>
      <c r="C26" s="144"/>
      <c r="D26" s="144"/>
      <c r="H26" s="216"/>
    </row>
    <row r="27" spans="2:8" s="65" customFormat="1" ht="17.25" customHeight="1">
      <c r="B27" s="524" t="s">
        <v>201</v>
      </c>
      <c r="C27" s="524"/>
      <c r="D27" s="524"/>
      <c r="H27" s="220"/>
    </row>
    <row r="28" spans="2:8" s="65" customFormat="1" ht="17.25" customHeight="1">
      <c r="B28" s="524" t="s">
        <v>202</v>
      </c>
      <c r="C28" s="524"/>
      <c r="D28" s="524"/>
      <c r="H28" s="220"/>
    </row>
    <row r="29" spans="3:4" ht="12.75">
      <c r="C29" s="255"/>
      <c r="D29" s="255"/>
    </row>
    <row r="30" ht="12.75">
      <c r="C30" s="304"/>
    </row>
    <row r="32" spans="3:4" ht="12.75">
      <c r="C32" s="136"/>
      <c r="D32" s="136"/>
    </row>
    <row r="33" spans="2:8" s="141" customFormat="1" ht="18">
      <c r="B33" s="134" t="s">
        <v>121</v>
      </c>
      <c r="C33" s="134"/>
      <c r="D33" s="134"/>
      <c r="H33" s="230"/>
    </row>
    <row r="34" spans="2:8" s="141" customFormat="1" ht="18">
      <c r="B34" s="337" t="s">
        <v>138</v>
      </c>
      <c r="C34" s="337"/>
      <c r="D34" s="337"/>
      <c r="H34" s="230"/>
    </row>
    <row r="35" spans="2:8" s="141" customFormat="1" ht="18">
      <c r="B35" s="337" t="s">
        <v>139</v>
      </c>
      <c r="C35" s="337"/>
      <c r="D35" s="337"/>
      <c r="H35" s="230"/>
    </row>
    <row r="36" spans="2:8" s="141" customFormat="1" ht="18">
      <c r="B36" s="363" t="s">
        <v>1</v>
      </c>
      <c r="C36" s="193"/>
      <c r="D36" s="193"/>
      <c r="H36" s="230"/>
    </row>
    <row r="37" spans="2:8" s="141" customFormat="1" ht="18">
      <c r="B37" s="138" t="str">
        <f>+B9</f>
        <v>Al 31 de julio de 2017</v>
      </c>
      <c r="C37" s="138"/>
      <c r="D37" s="264"/>
      <c r="H37" s="230"/>
    </row>
    <row r="38" spans="2:4" ht="9.75" customHeight="1">
      <c r="B38" s="573"/>
      <c r="C38" s="573"/>
      <c r="D38" s="573"/>
    </row>
    <row r="39" spans="2:4" ht="16.5" customHeight="1">
      <c r="B39" s="559" t="s">
        <v>152</v>
      </c>
      <c r="C39" s="555" t="s">
        <v>89</v>
      </c>
      <c r="D39" s="555" t="s">
        <v>168</v>
      </c>
    </row>
    <row r="40" spans="2:8" s="84" customFormat="1" ht="16.5" customHeight="1">
      <c r="B40" s="560"/>
      <c r="C40" s="556"/>
      <c r="D40" s="556"/>
      <c r="H40" s="216"/>
    </row>
    <row r="41" spans="2:8" s="84" customFormat="1" ht="9.75" customHeight="1">
      <c r="B41" s="265"/>
      <c r="C41" s="271"/>
      <c r="D41" s="145"/>
      <c r="H41" s="216"/>
    </row>
    <row r="42" spans="2:8" s="65" customFormat="1" ht="16.5" customHeight="1">
      <c r="B42" s="391" t="s">
        <v>0</v>
      </c>
      <c r="C42" s="370">
        <f>SUM(C43:C43)</f>
        <v>43163.11508999999</v>
      </c>
      <c r="D42" s="369">
        <f>SUM(D43:D43)</f>
        <v>139934.81912178</v>
      </c>
      <c r="E42" s="229"/>
      <c r="H42" s="220"/>
    </row>
    <row r="43" spans="2:8" s="65" customFormat="1" ht="16.5" customHeight="1">
      <c r="B43" s="69" t="s">
        <v>24</v>
      </c>
      <c r="C43" s="368">
        <v>43163.11508999999</v>
      </c>
      <c r="D43" s="367">
        <f>ROUND(+C43*$E$9,8)</f>
        <v>139934.81912178</v>
      </c>
      <c r="E43" s="229"/>
      <c r="F43" s="390"/>
      <c r="H43" s="220"/>
    </row>
    <row r="44" spans="2:8" s="65" customFormat="1" ht="12" customHeight="1">
      <c r="B44" s="69"/>
      <c r="C44" s="368"/>
      <c r="D44" s="367"/>
      <c r="E44" s="229"/>
      <c r="H44" s="220"/>
    </row>
    <row r="45" spans="2:8" s="65" customFormat="1" ht="16.5" customHeight="1">
      <c r="B45" s="391" t="s">
        <v>163</v>
      </c>
      <c r="C45" s="370">
        <f>+C46</f>
        <v>648027.1437399999</v>
      </c>
      <c r="D45" s="369">
        <f>+D46</f>
        <v>2100904.00000508</v>
      </c>
      <c r="E45" s="231"/>
      <c r="F45" s="112"/>
      <c r="H45" s="220"/>
    </row>
    <row r="46" spans="2:8" s="65" customFormat="1" ht="16.5" customHeight="1">
      <c r="B46" s="69" t="s">
        <v>24</v>
      </c>
      <c r="C46" s="368">
        <v>648027.1437399999</v>
      </c>
      <c r="D46" s="367">
        <f>ROUND(+C46*$E$9,8)</f>
        <v>2100904.00000508</v>
      </c>
      <c r="E46" s="231"/>
      <c r="F46" s="381"/>
      <c r="H46" s="220"/>
    </row>
    <row r="47" spans="2:8" s="65" customFormat="1" ht="9.75" customHeight="1">
      <c r="B47" s="68"/>
      <c r="C47" s="332"/>
      <c r="D47" s="366"/>
      <c r="H47" s="220"/>
    </row>
    <row r="48" spans="2:8" s="65" customFormat="1" ht="15" customHeight="1">
      <c r="B48" s="574" t="s">
        <v>61</v>
      </c>
      <c r="C48" s="563">
        <f>+C42+C45</f>
        <v>691190.2588299998</v>
      </c>
      <c r="D48" s="563">
        <f>+D42+D45</f>
        <v>2240838.81912686</v>
      </c>
      <c r="H48" s="220"/>
    </row>
    <row r="49" spans="2:8" s="84" customFormat="1" ht="15" customHeight="1">
      <c r="B49" s="575"/>
      <c r="C49" s="564"/>
      <c r="D49" s="564"/>
      <c r="H49" s="216"/>
    </row>
    <row r="50" ht="4.5" customHeight="1"/>
    <row r="51" spans="3:4" ht="12.75">
      <c r="C51" s="486"/>
      <c r="D51" s="255"/>
    </row>
    <row r="52" ht="12.75">
      <c r="C52" s="173"/>
    </row>
    <row r="55" ht="12.75">
      <c r="C55" s="173"/>
    </row>
  </sheetData>
  <sheetProtection/>
  <mergeCells count="16">
    <mergeCell ref="B38:D38"/>
    <mergeCell ref="D24:D25"/>
    <mergeCell ref="B48:B49"/>
    <mergeCell ref="C48:C49"/>
    <mergeCell ref="D48:D49"/>
    <mergeCell ref="B39:B40"/>
    <mergeCell ref="C11:C12"/>
    <mergeCell ref="B24:B25"/>
    <mergeCell ref="C39:C40"/>
    <mergeCell ref="D39:D40"/>
    <mergeCell ref="B28:D28"/>
    <mergeCell ref="B10:D10"/>
    <mergeCell ref="C24:C25"/>
    <mergeCell ref="D11:D12"/>
    <mergeCell ref="B11:B12"/>
    <mergeCell ref="B27:D27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2017-07-19T19:12:00Z</cp:lastPrinted>
  <dcterms:created xsi:type="dcterms:W3CDTF">2010-09-21T14:57:59Z</dcterms:created>
  <dcterms:modified xsi:type="dcterms:W3CDTF">2017-09-05T20:49:22Z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