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'DEP-C1'!$B$1:$V$46</definedName>
    <definedName name="_xlnm.Print_Area" localSheetId="5">'DEP-C2'!$B$1:$D$46</definedName>
    <definedName name="_xlnm.Print_Area" localSheetId="6">'DEP-C3'!$B$5:$D$65</definedName>
    <definedName name="_xlnm.Print_Area" localSheetId="7">'DEP-C4'!$B$1:$D$89</definedName>
    <definedName name="_xlnm.Print_Area" localSheetId="8">'DEP-C5'!$B$1:$D$50</definedName>
    <definedName name="_xlnm.Print_Area" localSheetId="9">'DEP-C6'!$B$1:$E$87</definedName>
    <definedName name="_xlnm.Print_Area" localSheetId="10">'DEP-C7'!$B$1:$E$91</definedName>
    <definedName name="_xlnm.Print_Area" localSheetId="11">'DEP-C8'!$B$1:$D$136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<sst xmlns="http://schemas.openxmlformats.org/spreadsheetml/2006/main" count="661" uniqueCount="260">
  <si>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</si>
  <si>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</si>
  <si>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</si>
  <si>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</si>
  <si>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</si>
  <si>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</si>
  <si>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</si>
  <si>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</si>
  <si>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</si>
  <si>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</si>
  <si>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</si>
  <si>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</si>
  <si>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</si>
  <si>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</si>
  <si>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</si>
  <si>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</si>
  <si>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</si>
  <si>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</si>
  <si>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</si>
  <si>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</si>
  <si>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</si>
  <si>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</si>
  <si>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</si>
  <si>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</si>
  <si>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</si>
  <si>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</si>
  <si>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</si>
  <si>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</si>
  <si>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</si>
  <si>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</si>
  <si>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</si>
  <si>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</si>
  <si>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</si>
  <si>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</si>
  <si>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</si>
  <si>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</si>
  <si>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</si>
  <si>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</si>
  <si>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</si>
  <si>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</si>
  <si>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</si>
  <si>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</si>
  <si>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</si>
  <si>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</si>
  <si>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</si>
  <si>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</si>
  <si>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</si>
  <si>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</si>
  <si>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</si>
  <si>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</si>
  <si>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</si>
  <si>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</si>
  <si>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</si>
  <si>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</si>
  <si>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</si>
  <si>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</si>
  <si>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</si>
  <si>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</si>
  <si>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</si>
  <si>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</si>
  <si>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</si>
  <si>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</si>
  <si>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</si>
  <si>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</si>
  <si>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</si>
  <si>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</si>
  <si>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</si>
  <si>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</si>
  <si>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</si>
  <si>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</si>
  <si>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</si>
  <si>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Empresa de Generación Eléctrica Machupicchu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</si>
  <si>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</si>
  <si>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</si>
  <si>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</si>
  <si>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</si>
  <si>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</si>
  <si>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</si>
  <si>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</si>
  <si>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</si>
  <si>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</si>
  <si>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</si>
  <si>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</si>
  <si>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</si>
  <si>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</si>
  <si>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</si>
  <si>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</si>
  <si>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</si>
  <si>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</si>
  <si>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</si>
  <si>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</si>
  <si>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</si>
  <si>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</si>
  <si>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</si>
  <si>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</si>
  <si>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</si>
  <si>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</si>
  <si>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</si>
  <si>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</si>
  <si>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</si>
  <si>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</si>
  <si>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</si>
  <si>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</si>
  <si>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</si>
  <si>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</si>
  <si>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</si>
  <si>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</si>
  <si>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</si>
  <si>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</si>
  <si>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</si>
  <si>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</si>
  <si>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</si>
  <si>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</si>
  <si>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</si>
  <si>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</si>
  <si>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</si>
  <si>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</si>
  <si>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</si>
  <si>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</si>
  <si>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</si>
  <si>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</si>
  <si>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</si>
  <si>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</si>
  <si>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</si>
  <si>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</si>
  <si>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</si>
  <si>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</si>
  <si>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</si>
  <si>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</si>
  <si>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</si>
  <si>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</si>
  <si>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</si>
  <si>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</si>
  <si>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</si>
  <si>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</si>
  <si>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</si>
  <si>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</si>
  <si>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</si>
  <si>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</si>
  <si>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</si>
  <si>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</si>
  <si>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</si>
  <si>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</si>
  <si>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</si>
  <si>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</si>
  <si>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</si>
  <si>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</si>
  <si>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</si>
  <si>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</si>
  <si>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</si>
  <si>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</si>
  <si>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</si>
  <si>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</si>
  <si>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</si>
  <si>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</si>
  <si>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</si>
  <si>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Mizuho Bank Ltd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</si>
  <si>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</si>
  <si>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</si>
  <si>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</si>
  <si>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</si>
  <si>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</si>
  <si>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</si>
  <si>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</si>
  <si>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ICBC Perú Bank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</si>
  <si>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</si>
  <si>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</si>
  <si>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</si>
  <si>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</si>
  <si>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</si>
  <si>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</si>
  <si>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</si>
  <si>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</si>
  <si>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</si>
  <si>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</si>
  <si>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</si>
  <si>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</si>
  <si>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</si>
  <si>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</si>
  <si>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</si>
  <si>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</si>
  <si>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</si>
  <si>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Deutsche Bank</t>
  </si>
  <si>
    <t>Tipo de cambio bancario venta al final del mes de diciembre, según la Superintendencia de Banca y Seguros -  SBS.</t>
  </si>
  <si>
    <t>Dic</t>
  </si>
  <si>
    <t>OK</t>
  </si>
  <si>
    <t>Mercantil Commercebank N.A.</t>
  </si>
  <si>
    <t>CUADROS RESUMEN</t>
  </si>
  <si>
    <t>RESUMEN GRÁFICOS</t>
  </si>
  <si>
    <t>Dólar Estadounidense (US$)</t>
  </si>
  <si>
    <t>Yen (¥)</t>
  </si>
  <si>
    <t>Franco Suizo (SZL)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</si>
  <si>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</si>
  <si>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</si>
  <si>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</si>
  <si>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</si>
  <si>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</si>
  <si>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</si>
  <si>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</si>
  <si>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</si>
  <si>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Santander de Uruguay</t>
  </si>
  <si>
    <t>Banco Interamericano de Finanzas</t>
  </si>
  <si>
    <t>Banco Latinoamericano de Comercio Exterior</t>
  </si>
  <si>
    <t>American Family Life Assurance Company</t>
  </si>
  <si>
    <t>Banco de Credito del Perú</t>
  </si>
  <si>
    <t>Banco GNB Perú</t>
  </si>
  <si>
    <t>Citibank del Perú, Lima</t>
  </si>
  <si>
    <t>Scotiabank Perú</t>
  </si>
  <si>
    <t>Banco Santander del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</si>
  <si>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</si>
  <si>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</si>
  <si>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</si>
  <si>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</si>
  <si>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</si>
  <si>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</si>
  <si>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</si>
  <si>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</si>
  <si>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Agua Potable y Alcantarillado de Chincha</t>
  </si>
  <si>
    <t>Empresa Municipal de Agua Potable y Alcantarillado Virgen de Guadalupe del Sur</t>
  </si>
  <si>
    <t>Empresa Municipal de Servicio Eléctrico de Tocache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</si>
  <si>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</si>
  <si>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</si>
  <si>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</si>
  <si>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</si>
  <si>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</si>
  <si>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</si>
  <si>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</si>
  <si>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</si>
  <si>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</si>
  <si>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</si>
  <si>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</si>
  <si>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Prestadora de Servicios de Saneamiento de Cajamarca</t>
  </si>
  <si>
    <t>Entidad Prestadora de Servicios de Saneamiento de Ayacucho</t>
  </si>
  <si>
    <t>Empresa Municipal Prestadora de Servicios de Saneamiento de las Provincias Alto Andinas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</si>
  <si>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</si>
  <si>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</si>
  <si>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</si>
  <si>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</si>
  <si>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</si>
  <si>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>Corporación Financiera De Desarrollo - COFIDE</t>
  </si>
  <si>
    <r>
      <t xml:space="preserve">Ministerio de Economía y Finanzas  </t>
    </r>
    <r>
      <rPr>
        <b/>
        <sz val="9"/>
        <rFont val="Arial"/>
        <family val="2"/>
      </rPr>
      <t>1/</t>
    </r>
  </si>
  <si>
    <r>
      <t xml:space="preserve">Bonistas Externos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</si>
  <si>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3/</t>
    </r>
  </si>
  <si>
    <t xml:space="preserve"> 1/  Incluye deuda contratada por el Gobierno Nacional y trasladada a las Empresas Públicas con Convenio de Traspaso de Recursos.</t>
  </si>
  <si>
    <r>
      <t xml:space="preserve">Bonistas Internos   </t>
    </r>
    <r>
      <rPr>
        <b/>
        <sz val="8"/>
        <rFont val="Arial"/>
        <family val="2"/>
      </rPr>
      <t>3/</t>
    </r>
  </si>
  <si>
    <r>
      <t xml:space="preserve">Bonistas Externos   </t>
    </r>
    <r>
      <rPr>
        <b/>
        <sz val="8"/>
        <rFont val="Arial"/>
        <family val="2"/>
      </rPr>
      <t>2/</t>
    </r>
  </si>
  <si>
    <r>
      <t xml:space="preserve">Ministerio de Economía y Finanzas   </t>
    </r>
    <r>
      <rPr>
        <b/>
        <sz val="8"/>
        <rFont val="Arial"/>
        <family val="2"/>
      </rPr>
      <t xml:space="preserve">1/ </t>
    </r>
  </si>
  <si>
    <t xml:space="preserve"> 1/  Incluye deuda contratada por el Gobierno Nacional y trasladada a las Empresas Públicas con Convenio de Traspasos de Recursos.</t>
  </si>
  <si>
    <t xml:space="preserve"> Tipo de Empresa /</t>
  </si>
  <si>
    <t>Grupo del Acreedor</t>
  </si>
  <si>
    <t>Corporación Andina de Fomento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</si>
  <si>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</si>
  <si>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</si>
  <si>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</si>
  <si>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</si>
  <si>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AL 28 DE FEBRERO 2017</t>
  </si>
  <si>
    <t>Período: De 2009 al 28 de febrero de 2017</t>
  </si>
  <si>
    <t>Al 28 de febrero de 2017</t>
  </si>
  <si>
    <t xml:space="preserve"> 2/  Incluye: Bonos COFIDE por US$ 1 900,0 millones y Bonos Fondo MIVIVIENDA por US$ 1 676,2 millones.</t>
  </si>
  <si>
    <t xml:space="preserve"> 3/  Incluye: Bonos COFIDE por US$ 313,5 millones y Bonos Fondo MIVIVIENDA por US$ 130,6 millones.</t>
  </si>
</sst>
</file>

<file path=xl/styles.xml><?xml version="1.0" encoding="utf-8"?>
<styleSheet xmlns="http://schemas.openxmlformats.org/spreadsheetml/2006/main">
  <numFmts count="7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[$€]\ * #,##0.00_);_([$€]\ * \(#,##0.00\);_([$€]\ * &quot;-&quot;??_);_(@_)"/>
    <numFmt numFmtId="173" formatCode="#\ ###\ ###;[Red]\-#,\ ###,\ ###,000"/>
    <numFmt numFmtId="174" formatCode="_ * #,##0_ ;_ * \-#,##0_ ;_ * &quot;-&quot;??_ ;_ @_ "/>
    <numFmt numFmtId="175" formatCode="_ * #,##0_ ;_ * \-#,##0_ ;_ * &quot;0&quot;??_ ;_ @_ "/>
    <numFmt numFmtId="176" formatCode="###,###,###,###,###"/>
    <numFmt numFmtId="177" formatCode="0.0%"/>
    <numFmt numFmtId="178" formatCode="0.000"/>
    <numFmt numFmtId="179" formatCode="_ * #,##0.0_ ;_ * \-#,##0.0_ ;_ * &quot;-&quot;??_ ;_ @_ "/>
    <numFmt numFmtId="180" formatCode="0.0000"/>
    <numFmt numFmtId="181" formatCode="#,##0.00000000;[Red]\-#,##0.00000000"/>
    <numFmt numFmtId="182" formatCode="_ * #,##0.000_ ;_ * \-#,##0.000_ ;_ * &quot;-&quot;??_ ;_ @_ "/>
    <numFmt numFmtId="183" formatCode="#,##0.000000000;[Red]\-#,##0.000000000"/>
    <numFmt numFmtId="184" formatCode="#,##0.00000000000;[Red]\-#,##0.00000000000"/>
    <numFmt numFmtId="185" formatCode="#,##0.000000000000000;[Red]\-#,##0.000000000000000"/>
    <numFmt numFmtId="186" formatCode="0.00000"/>
    <numFmt numFmtId="187" formatCode="0.0000000"/>
    <numFmt numFmtId="188" formatCode="0.000000000"/>
    <numFmt numFmtId="189" formatCode="###,###,###,###,###.0"/>
    <numFmt numFmtId="190" formatCode="0.0000000000"/>
    <numFmt numFmtId="191" formatCode="0.00000000000"/>
    <numFmt numFmtId="192" formatCode="0.0000000000000"/>
    <numFmt numFmtId="193" formatCode="0.00000000000000"/>
    <numFmt numFmtId="194" formatCode="0.000000000000000"/>
    <numFmt numFmtId="195" formatCode="0.000000"/>
    <numFmt numFmtId="196" formatCode="0.00000000"/>
    <numFmt numFmtId="197" formatCode="0.000000000000"/>
    <numFmt numFmtId="198" formatCode="#,##0.0000000000;[Red]\-#,##0.0000000000"/>
    <numFmt numFmtId="199" formatCode="#,##0.0000000000000;[Red]\-#,##0.0000000000000"/>
    <numFmt numFmtId="200" formatCode="#.#;[Red]\-#.###0"/>
    <numFmt numFmtId="201" formatCode="#,##0.0;[Red]\-#,##0.0"/>
    <numFmt numFmtId="202" formatCode="#,##0.0"/>
    <numFmt numFmtId="203" formatCode="0.0_ ;[Red]\-0.0\ "/>
    <numFmt numFmtId="204" formatCode="#,##0.00000000000"/>
    <numFmt numFmtId="205" formatCode="#,##0.000000;[Red]\-#,##0.000000"/>
    <numFmt numFmtId="206" formatCode="#,##0.0000000;[Red]\-#,##0.0000000"/>
    <numFmt numFmtId="207" formatCode="###,###,###,###.0000"/>
    <numFmt numFmtId="208" formatCode="#,##0.00000;[Red]\-#,##0.00000"/>
    <numFmt numFmtId="209" formatCode="#,##0.000;[Red]\-#,##0.000"/>
    <numFmt numFmtId="210" formatCode="#,##0.00000000"/>
    <numFmt numFmtId="211" formatCode="#,##0.000000000000;[Red]\-#,##0.000000000000"/>
    <numFmt numFmtId="212" formatCode="#,##0.000000;\-#,##0.000000"/>
    <numFmt numFmtId="213" formatCode="#,##0.0000;[Red]\-#,##0.0000"/>
    <numFmt numFmtId="214" formatCode="#,##0.0000000000;\-#,##0.0000000000"/>
    <numFmt numFmtId="215" formatCode="#,##0.00000000;\-#,##0.00000000"/>
    <numFmt numFmtId="216" formatCode="#,##0.0_ ;[Red]\-#,##0.0\ "/>
    <numFmt numFmtId="217" formatCode="#,##0_ ;[Red]\-#,##0\ "/>
    <numFmt numFmtId="218" formatCode="#,##0.000"/>
    <numFmt numFmtId="219" formatCode="#,##0.0000"/>
    <numFmt numFmtId="220" formatCode="#,##0.00000"/>
    <numFmt numFmtId="221" formatCode="#,##0.000000"/>
    <numFmt numFmtId="222" formatCode="#,##0.0000000"/>
    <numFmt numFmtId="223" formatCode="#,##0.0000000000"/>
    <numFmt numFmtId="224" formatCode="#,##0.00000000000000"/>
    <numFmt numFmtId="225" formatCode="#,##0;[Red]#,##0"/>
    <numFmt numFmtId="226" formatCode="0.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.15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/>
      <right/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23"/>
      </left>
      <right/>
      <top style="thin">
        <color rgb="FF808080"/>
      </top>
      <bottom style="thin">
        <color indexed="23"/>
      </bottom>
    </border>
    <border>
      <left/>
      <right style="thin">
        <color indexed="23"/>
      </right>
      <top style="thin">
        <color rgb="FF808080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7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589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4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82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71" fontId="0" fillId="47" borderId="0" xfId="305" applyFont="1" applyFill="1" applyAlignment="1">
      <alignment horizontal="center"/>
    </xf>
    <xf numFmtId="174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4" fontId="0" fillId="47" borderId="0" xfId="300" applyNumberFormat="1" applyFont="1" applyFill="1" applyBorder="1" applyAlignment="1">
      <alignment wrapText="1"/>
    </xf>
    <xf numFmtId="171" fontId="0" fillId="47" borderId="0" xfId="305" applyFont="1" applyFill="1" applyAlignment="1">
      <alignment horizontal="left" indent="2"/>
    </xf>
    <xf numFmtId="174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2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38" fontId="0" fillId="48" borderId="22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73" fontId="3" fillId="48" borderId="0" xfId="300" applyNumberFormat="1" applyFont="1" applyFill="1" applyBorder="1" applyAlignment="1">
      <alignment horizontal="center" vertical="center"/>
    </xf>
    <xf numFmtId="197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81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6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4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177" fontId="0" fillId="48" borderId="31" xfId="350" applyNumberFormat="1" applyFont="1" applyFill="1" applyBorder="1" applyAlignment="1">
      <alignment horizontal="center" vertical="center"/>
    </xf>
    <xf numFmtId="0" fontId="3" fillId="48" borderId="32" xfId="331" applyFont="1" applyFill="1" applyBorder="1" applyAlignment="1">
      <alignment horizontal="center" vertical="center"/>
      <protection/>
    </xf>
    <xf numFmtId="177" fontId="3" fillId="48" borderId="33" xfId="350" applyNumberFormat="1" applyFont="1" applyFill="1" applyBorder="1" applyAlignment="1">
      <alignment horizontal="center" vertical="center"/>
    </xf>
    <xf numFmtId="174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83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7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4" fontId="6" fillId="48" borderId="0" xfId="300" applyNumberFormat="1" applyFont="1" applyFill="1" applyBorder="1" applyAlignment="1">
      <alignment horizontal="center" vertical="center"/>
    </xf>
    <xf numFmtId="0" fontId="11" fillId="48" borderId="34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4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6" fontId="35" fillId="48" borderId="0" xfId="331" applyNumberFormat="1" applyFont="1" applyFill="1">
      <alignment/>
      <protection/>
    </xf>
    <xf numFmtId="197" fontId="0" fillId="48" borderId="0" xfId="331" applyNumberFormat="1" applyFont="1" applyFill="1" applyBorder="1" applyAlignment="1">
      <alignment vertical="center"/>
      <protection/>
    </xf>
    <xf numFmtId="188" fontId="0" fillId="48" borderId="0" xfId="331" applyNumberFormat="1" applyFont="1" applyFill="1" applyBorder="1" applyAlignment="1">
      <alignment vertical="center"/>
      <protection/>
    </xf>
    <xf numFmtId="190" fontId="0" fillId="48" borderId="0" xfId="331" applyNumberFormat="1" applyFont="1" applyFill="1" applyBorder="1" applyAlignment="1">
      <alignment vertical="center"/>
      <protection/>
    </xf>
    <xf numFmtId="192" fontId="0" fillId="48" borderId="0" xfId="0" applyNumberFormat="1" applyFont="1" applyFill="1" applyAlignment="1">
      <alignment vertical="center"/>
    </xf>
    <xf numFmtId="190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5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10" fontId="0" fillId="48" borderId="0" xfId="0" applyNumberFormat="1" applyFont="1" applyFill="1" applyAlignment="1">
      <alignment/>
    </xf>
    <xf numFmtId="171" fontId="8" fillId="48" borderId="0" xfId="300" applyFont="1" applyFill="1" applyAlignment="1">
      <alignment/>
    </xf>
    <xf numFmtId="196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6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2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4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37" xfId="300" applyNumberFormat="1" applyFont="1" applyFill="1" applyBorder="1" applyAlignment="1">
      <alignment horizontal="right" vertical="center" wrapText="1" indent="2"/>
    </xf>
    <xf numFmtId="187" fontId="0" fillId="47" borderId="0" xfId="300" applyNumberFormat="1" applyFont="1" applyFill="1" applyAlignment="1">
      <alignment/>
    </xf>
    <xf numFmtId="214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5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6" fontId="0" fillId="48" borderId="0" xfId="0" applyNumberFormat="1" applyFont="1" applyFill="1" applyAlignment="1">
      <alignment/>
    </xf>
    <xf numFmtId="208" fontId="0" fillId="48" borderId="0" xfId="0" applyNumberFormat="1" applyFont="1" applyFill="1" applyAlignment="1">
      <alignment/>
    </xf>
    <xf numFmtId="192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82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91" fontId="0" fillId="48" borderId="0" xfId="331" applyNumberFormat="1" applyFont="1" applyFill="1" applyBorder="1" applyAlignment="1">
      <alignment vertical="center"/>
      <protection/>
    </xf>
    <xf numFmtId="181" fontId="0" fillId="48" borderId="0" xfId="331" applyNumberFormat="1" applyFont="1" applyFill="1" applyBorder="1" applyAlignment="1">
      <alignment vertical="center"/>
      <protection/>
    </xf>
    <xf numFmtId="212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9" fontId="8" fillId="48" borderId="0" xfId="0" applyNumberFormat="1" applyFont="1" applyFill="1" applyAlignment="1">
      <alignment/>
    </xf>
    <xf numFmtId="171" fontId="8" fillId="48" borderId="0" xfId="0" applyNumberFormat="1" applyFont="1" applyFill="1" applyAlignment="1">
      <alignment/>
    </xf>
    <xf numFmtId="206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73" fontId="8" fillId="48" borderId="0" xfId="0" applyNumberFormat="1" applyFont="1" applyFill="1" applyAlignment="1">
      <alignment/>
    </xf>
    <xf numFmtId="197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0" fontId="8" fillId="48" borderId="0" xfId="323" applyFont="1" applyFill="1" applyAlignment="1">
      <alignment horizontal="left"/>
      <protection/>
    </xf>
    <xf numFmtId="38" fontId="8" fillId="48" borderId="0" xfId="323" applyNumberFormat="1" applyFont="1" applyFill="1" applyAlignment="1">
      <alignment horizontal="left"/>
      <protection/>
    </xf>
    <xf numFmtId="209" fontId="8" fillId="48" borderId="0" xfId="323" applyNumberFormat="1" applyFont="1" applyFill="1" applyAlignment="1">
      <alignment horizontal="left"/>
      <protection/>
    </xf>
    <xf numFmtId="205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197" fontId="0" fillId="48" borderId="0" xfId="300" applyNumberFormat="1" applyFont="1" applyFill="1" applyBorder="1" applyAlignment="1">
      <alignment horizontal="right" vertical="center" indent="2"/>
    </xf>
    <xf numFmtId="187" fontId="8" fillId="48" borderId="0" xfId="0" applyNumberFormat="1" applyFont="1" applyFill="1" applyAlignment="1">
      <alignment/>
    </xf>
    <xf numFmtId="190" fontId="7" fillId="48" borderId="0" xfId="0" applyNumberFormat="1" applyFont="1" applyFill="1" applyAlignment="1">
      <alignment/>
    </xf>
    <xf numFmtId="178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197" fontId="0" fillId="48" borderId="0" xfId="300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8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90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201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202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5" fontId="0" fillId="48" borderId="0" xfId="307" applyNumberFormat="1" applyFont="1" applyFill="1" applyBorder="1" applyAlignment="1">
      <alignment horizontal="right" vertical="center"/>
    </xf>
    <xf numFmtId="188" fontId="3" fillId="48" borderId="0" xfId="0" applyNumberFormat="1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6" fontId="0" fillId="48" borderId="0" xfId="0" applyNumberFormat="1" applyFont="1" applyFill="1" applyAlignment="1">
      <alignment vertical="center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91" fontId="0" fillId="48" borderId="0" xfId="0" applyNumberFormat="1" applyFont="1" applyFill="1" applyAlignment="1">
      <alignment/>
    </xf>
    <xf numFmtId="195" fontId="0" fillId="48" borderId="0" xfId="0" applyNumberFormat="1" applyFont="1" applyFill="1" applyAlignment="1">
      <alignment/>
    </xf>
    <xf numFmtId="195" fontId="0" fillId="48" borderId="0" xfId="308" applyNumberFormat="1" applyFont="1" applyFill="1" applyAlignment="1">
      <alignment/>
    </xf>
    <xf numFmtId="190" fontId="0" fillId="48" borderId="0" xfId="0" applyNumberFormat="1" applyFont="1" applyFill="1" applyAlignment="1">
      <alignment/>
    </xf>
    <xf numFmtId="183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6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8" fontId="3" fillId="48" borderId="0" xfId="300" applyNumberFormat="1" applyFont="1" applyFill="1" applyBorder="1" applyAlignment="1">
      <alignment vertical="center"/>
    </xf>
    <xf numFmtId="188" fontId="3" fillId="48" borderId="0" xfId="307" applyNumberFormat="1" applyFont="1" applyFill="1" applyBorder="1" applyAlignment="1">
      <alignment vertical="center"/>
    </xf>
    <xf numFmtId="179" fontId="0" fillId="48" borderId="0" xfId="331" applyNumberFormat="1" applyFont="1" applyFill="1" applyBorder="1" applyAlignment="1">
      <alignment vertical="center"/>
      <protection/>
    </xf>
    <xf numFmtId="187" fontId="0" fillId="48" borderId="0" xfId="307" applyNumberFormat="1" applyFont="1" applyFill="1" applyBorder="1" applyAlignment="1">
      <alignment vertical="center"/>
    </xf>
    <xf numFmtId="187" fontId="3" fillId="48" borderId="0" xfId="307" applyNumberFormat="1" applyFont="1" applyFill="1" applyBorder="1" applyAlignment="1">
      <alignment vertical="center"/>
    </xf>
    <xf numFmtId="188" fontId="0" fillId="48" borderId="0" xfId="323" applyNumberFormat="1" applyFont="1" applyFill="1" applyBorder="1" applyAlignment="1">
      <alignment vertical="center" wrapText="1"/>
      <protection/>
    </xf>
    <xf numFmtId="191" fontId="0" fillId="48" borderId="0" xfId="323" applyNumberFormat="1" applyFont="1" applyFill="1" applyBorder="1" applyAlignment="1">
      <alignment vertical="center" wrapText="1"/>
      <protection/>
    </xf>
    <xf numFmtId="178" fontId="8" fillId="48" borderId="0" xfId="0" applyNumberFormat="1" applyFont="1" applyFill="1" applyAlignment="1">
      <alignment horizontal="right"/>
    </xf>
    <xf numFmtId="196" fontId="12" fillId="47" borderId="0" xfId="0" applyNumberFormat="1" applyFont="1" applyFill="1" applyAlignment="1">
      <alignment/>
    </xf>
    <xf numFmtId="190" fontId="12" fillId="47" borderId="0" xfId="0" applyNumberFormat="1" applyFont="1" applyFill="1" applyAlignment="1">
      <alignment/>
    </xf>
    <xf numFmtId="187" fontId="12" fillId="47" borderId="0" xfId="0" applyNumberFormat="1" applyFont="1" applyFill="1" applyBorder="1" applyAlignment="1">
      <alignment/>
    </xf>
    <xf numFmtId="193" fontId="12" fillId="47" borderId="0" xfId="0" applyNumberFormat="1" applyFont="1" applyFill="1" applyBorder="1" applyAlignment="1">
      <alignment/>
    </xf>
    <xf numFmtId="180" fontId="8" fillId="48" borderId="0" xfId="0" applyNumberFormat="1" applyFont="1" applyFill="1" applyAlignment="1">
      <alignment/>
    </xf>
    <xf numFmtId="201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6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200" fontId="8" fillId="48" borderId="0" xfId="0" applyNumberFormat="1" applyFont="1" applyFill="1" applyAlignment="1">
      <alignment/>
    </xf>
    <xf numFmtId="203" fontId="8" fillId="48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19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93" fontId="0" fillId="48" borderId="0" xfId="0" applyNumberFormat="1" applyFont="1" applyFill="1" applyAlignment="1">
      <alignment/>
    </xf>
    <xf numFmtId="178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7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4" fontId="35" fillId="48" borderId="0" xfId="323" applyNumberFormat="1" applyFont="1" applyFill="1" applyAlignment="1">
      <alignment vertical="top"/>
      <protection/>
    </xf>
    <xf numFmtId="211" fontId="0" fillId="48" borderId="0" xfId="323" applyNumberFormat="1" applyFont="1" applyFill="1" applyAlignment="1">
      <alignment/>
      <protection/>
    </xf>
    <xf numFmtId="198" fontId="0" fillId="48" borderId="0" xfId="323" applyNumberFormat="1" applyFont="1" applyFill="1">
      <alignment/>
      <protection/>
    </xf>
    <xf numFmtId="209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83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9" fontId="0" fillId="48" borderId="0" xfId="323" applyNumberFormat="1" applyFont="1" applyFill="1">
      <alignment/>
      <protection/>
    </xf>
    <xf numFmtId="181" fontId="0" fillId="48" borderId="0" xfId="323" applyNumberFormat="1" applyFont="1" applyFill="1">
      <alignment/>
      <protection/>
    </xf>
    <xf numFmtId="198" fontId="35" fillId="48" borderId="0" xfId="323" applyNumberFormat="1" applyFont="1" applyFill="1" applyAlignment="1">
      <alignment vertical="top"/>
      <protection/>
    </xf>
    <xf numFmtId="184" fontId="0" fillId="48" borderId="0" xfId="323" applyNumberFormat="1" applyFont="1" applyFill="1">
      <alignment/>
      <protection/>
    </xf>
    <xf numFmtId="206" fontId="0" fillId="48" borderId="0" xfId="323" applyNumberFormat="1" applyFont="1" applyFill="1">
      <alignment/>
      <protection/>
    </xf>
    <xf numFmtId="19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38" fontId="8" fillId="48" borderId="0" xfId="323" applyNumberFormat="1" applyFont="1" applyFill="1">
      <alignment/>
      <protection/>
    </xf>
    <xf numFmtId="1" fontId="8" fillId="48" borderId="0" xfId="323" applyNumberFormat="1" applyFont="1" applyFill="1">
      <alignment/>
      <protection/>
    </xf>
    <xf numFmtId="3" fontId="33" fillId="48" borderId="0" xfId="300" applyNumberFormat="1" applyFont="1" applyFill="1" applyBorder="1" applyAlignment="1">
      <alignment horizontal="right" vertical="center" indent="2"/>
    </xf>
    <xf numFmtId="3" fontId="33" fillId="48" borderId="22" xfId="300" applyNumberFormat="1" applyFont="1" applyFill="1" applyBorder="1" applyAlignment="1">
      <alignment horizontal="right" vertical="center" indent="2"/>
    </xf>
    <xf numFmtId="0" fontId="43" fillId="48" borderId="0" xfId="289" applyFont="1" applyFill="1" applyAlignment="1" applyProtection="1">
      <alignment vertical="center"/>
      <protection/>
    </xf>
    <xf numFmtId="178" fontId="90" fillId="48" borderId="0" xfId="0" applyNumberFormat="1" applyFont="1" applyFill="1" applyAlignment="1">
      <alignment horizontal="center" vertical="center"/>
    </xf>
    <xf numFmtId="38" fontId="6" fillId="48" borderId="19" xfId="300" applyNumberFormat="1" applyFont="1" applyFill="1" applyBorder="1" applyAlignment="1">
      <alignment horizontal="right" vertical="center" indent="2"/>
    </xf>
    <xf numFmtId="38" fontId="33" fillId="48" borderId="19" xfId="300" applyNumberFormat="1" applyFont="1" applyFill="1" applyBorder="1" applyAlignment="1">
      <alignment horizontal="right" vertical="center" indent="2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201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12" fontId="91" fillId="47" borderId="0" xfId="0" applyNumberFormat="1" applyFont="1" applyFill="1" applyAlignment="1">
      <alignment/>
    </xf>
    <xf numFmtId="190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5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38" fontId="92" fillId="48" borderId="0" xfId="0" applyNumberFormat="1" applyFont="1" applyFill="1" applyAlignment="1">
      <alignment/>
    </xf>
    <xf numFmtId="0" fontId="92" fillId="48" borderId="0" xfId="0" applyFont="1" applyFill="1" applyAlignment="1" applyProtection="1">
      <alignment/>
      <protection/>
    </xf>
    <xf numFmtId="183" fontId="92" fillId="48" borderId="0" xfId="0" applyNumberFormat="1" applyFont="1" applyFill="1" applyAlignment="1">
      <alignment/>
    </xf>
    <xf numFmtId="199" fontId="92" fillId="48" borderId="0" xfId="0" applyNumberFormat="1" applyFont="1" applyFill="1" applyAlignment="1">
      <alignment/>
    </xf>
    <xf numFmtId="205" fontId="92" fillId="48" borderId="0" xfId="0" applyNumberFormat="1" applyFont="1" applyFill="1" applyAlignment="1">
      <alignment/>
    </xf>
    <xf numFmtId="213" fontId="92" fillId="47" borderId="0" xfId="0" applyNumberFormat="1" applyFont="1" applyFill="1" applyAlignment="1">
      <alignment/>
    </xf>
    <xf numFmtId="184" fontId="92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198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185" fontId="92" fillId="48" borderId="0" xfId="0" applyNumberFormat="1" applyFont="1" applyFill="1" applyAlignment="1">
      <alignment/>
    </xf>
    <xf numFmtId="0" fontId="6" fillId="48" borderId="0" xfId="0" applyFont="1" applyFill="1" applyAlignment="1">
      <alignment vertical="center"/>
    </xf>
    <xf numFmtId="3" fontId="6" fillId="48" borderId="27" xfId="300" applyNumberFormat="1" applyFont="1" applyFill="1" applyBorder="1" applyAlignment="1">
      <alignment horizontal="right" vertical="center" indent="2"/>
    </xf>
    <xf numFmtId="3" fontId="6" fillId="48" borderId="22" xfId="300" applyNumberFormat="1" applyFont="1" applyFill="1" applyBorder="1" applyAlignment="1">
      <alignment horizontal="right" vertical="center" indent="2"/>
    </xf>
    <xf numFmtId="3" fontId="33" fillId="48" borderId="27" xfId="300" applyNumberFormat="1" applyFont="1" applyFill="1" applyBorder="1" applyAlignment="1">
      <alignment horizontal="right" vertical="center" indent="2"/>
    </xf>
    <xf numFmtId="3" fontId="8" fillId="48" borderId="27" xfId="300" applyNumberFormat="1" applyFont="1" applyFill="1" applyBorder="1" applyAlignment="1">
      <alignment horizontal="right" vertical="center" indent="2"/>
    </xf>
    <xf numFmtId="3" fontId="8" fillId="48" borderId="22" xfId="300" applyNumberFormat="1" applyFont="1" applyFill="1" applyBorder="1" applyAlignment="1">
      <alignment horizontal="right" vertical="center" indent="2"/>
    </xf>
    <xf numFmtId="3" fontId="11" fillId="48" borderId="27" xfId="300" applyNumberFormat="1" applyFont="1" applyFill="1" applyBorder="1" applyAlignment="1">
      <alignment horizontal="right" vertical="center" indent="2"/>
    </xf>
    <xf numFmtId="3" fontId="11" fillId="48" borderId="22" xfId="300" applyNumberFormat="1" applyFont="1" applyFill="1" applyBorder="1" applyAlignment="1">
      <alignment horizontal="right" vertical="center" indent="2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3" fontId="5" fillId="48" borderId="22" xfId="300" applyNumberFormat="1" applyFont="1" applyFill="1" applyBorder="1" applyAlignment="1">
      <alignment horizontal="right" vertical="center" indent="2"/>
    </xf>
    <xf numFmtId="0" fontId="11" fillId="48" borderId="22" xfId="0" applyFont="1" applyFill="1" applyBorder="1" applyAlignment="1">
      <alignment horizontal="left" vertical="center" indent="2"/>
    </xf>
    <xf numFmtId="181" fontId="92" fillId="48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10" fontId="77" fillId="48" borderId="0" xfId="0" applyNumberFormat="1" applyFont="1" applyFill="1" applyAlignment="1">
      <alignment/>
    </xf>
    <xf numFmtId="210" fontId="0" fillId="48" borderId="0" xfId="0" applyNumberFormat="1" applyFill="1" applyAlignment="1">
      <alignment/>
    </xf>
    <xf numFmtId="4" fontId="92" fillId="48" borderId="0" xfId="0" applyNumberFormat="1" applyFont="1" applyFill="1" applyAlignment="1">
      <alignment/>
    </xf>
    <xf numFmtId="0" fontId="94" fillId="48" borderId="0" xfId="0" applyFont="1" applyFill="1" applyAlignment="1">
      <alignment/>
    </xf>
    <xf numFmtId="210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3" fontId="8" fillId="48" borderId="0" xfId="300" applyNumberFormat="1" applyFont="1" applyFill="1" applyBorder="1" applyAlignment="1">
      <alignment horizontal="right" vertical="center" indent="2"/>
    </xf>
    <xf numFmtId="3" fontId="11" fillId="48" borderId="0" xfId="300" applyNumberFormat="1" applyFont="1" applyFill="1" applyBorder="1" applyAlignment="1">
      <alignment horizontal="right" vertical="center" indent="2"/>
    </xf>
    <xf numFmtId="3" fontId="11" fillId="48" borderId="38" xfId="300" applyNumberFormat="1" applyFont="1" applyFill="1" applyBorder="1" applyAlignment="1">
      <alignment horizontal="right" vertical="center" indent="2"/>
    </xf>
    <xf numFmtId="3" fontId="8" fillId="48" borderId="37" xfId="300" applyNumberFormat="1" applyFont="1" applyFill="1" applyBorder="1" applyAlignment="1">
      <alignment horizontal="right" vertical="center" indent="2"/>
    </xf>
    <xf numFmtId="3" fontId="8" fillId="48" borderId="23" xfId="300" applyNumberFormat="1" applyFont="1" applyFill="1" applyBorder="1" applyAlignment="1">
      <alignment horizontal="right" vertical="center" indent="2"/>
    </xf>
    <xf numFmtId="210" fontId="92" fillId="48" borderId="0" xfId="0" applyNumberFormat="1" applyFont="1" applyFill="1" applyAlignment="1">
      <alignment/>
    </xf>
    <xf numFmtId="178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8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0" fontId="0" fillId="0" borderId="0" xfId="0" applyNumberFormat="1" applyFont="1" applyAlignment="1">
      <alignment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8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17" fontId="6" fillId="48" borderId="22" xfId="300" applyNumberFormat="1" applyFont="1" applyFill="1" applyBorder="1" applyAlignment="1">
      <alignment horizontal="right" vertical="center" indent="1"/>
    </xf>
    <xf numFmtId="217" fontId="11" fillId="48" borderId="22" xfId="300" applyNumberFormat="1" applyFont="1" applyFill="1" applyBorder="1" applyAlignment="1">
      <alignment horizontal="right" vertical="center" indent="1"/>
    </xf>
    <xf numFmtId="217" fontId="8" fillId="48" borderId="22" xfId="300" applyNumberFormat="1" applyFont="1" applyFill="1" applyBorder="1" applyAlignment="1">
      <alignment horizontal="right" vertical="center" indent="1"/>
    </xf>
    <xf numFmtId="217" fontId="0" fillId="48" borderId="22" xfId="300" applyNumberFormat="1" applyFont="1" applyFill="1" applyBorder="1" applyAlignment="1">
      <alignment horizontal="right" vertical="center" indent="1"/>
    </xf>
    <xf numFmtId="217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8" fontId="35" fillId="48" borderId="0" xfId="323" applyNumberFormat="1" applyFont="1" applyFill="1" applyAlignment="1">
      <alignment vertical="top"/>
      <protection/>
    </xf>
    <xf numFmtId="217" fontId="35" fillId="48" borderId="0" xfId="323" applyNumberFormat="1" applyFont="1" applyFill="1" applyAlignment="1">
      <alignment vertical="top"/>
      <protection/>
    </xf>
    <xf numFmtId="220" fontId="0" fillId="48" borderId="0" xfId="0" applyNumberFormat="1" applyFont="1" applyFill="1" applyAlignment="1">
      <alignment/>
    </xf>
    <xf numFmtId="210" fontId="0" fillId="48" borderId="0" xfId="300" applyNumberFormat="1" applyFont="1" applyFill="1" applyAlignment="1">
      <alignment/>
    </xf>
    <xf numFmtId="3" fontId="0" fillId="48" borderId="22" xfId="300" applyNumberFormat="1" applyFont="1" applyFill="1" applyBorder="1" applyAlignment="1">
      <alignment horizontal="right" vertical="center" indent="2"/>
    </xf>
    <xf numFmtId="0" fontId="6" fillId="48" borderId="23" xfId="323" applyFont="1" applyFill="1" applyBorder="1" applyAlignment="1">
      <alignment horizontal="center" vertical="center"/>
      <protection/>
    </xf>
    <xf numFmtId="0" fontId="0" fillId="48" borderId="22" xfId="0" applyFont="1" applyFill="1" applyBorder="1" applyAlignment="1">
      <alignment horizontal="left" vertical="center" indent="3"/>
    </xf>
    <xf numFmtId="0" fontId="6" fillId="48" borderId="39" xfId="0" applyFont="1" applyFill="1" applyBorder="1" applyAlignment="1">
      <alignment horizontal="left" vertical="center" indent="10"/>
    </xf>
    <xf numFmtId="0" fontId="6" fillId="48" borderId="40" xfId="0" applyFont="1" applyFill="1" applyBorder="1" applyAlignment="1">
      <alignment horizontal="left" vertical="center" indent="5"/>
    </xf>
    <xf numFmtId="225" fontId="11" fillId="48" borderId="22" xfId="300" applyNumberFormat="1" applyFont="1" applyFill="1" applyBorder="1" applyAlignment="1">
      <alignment horizontal="right" vertical="center" indent="2"/>
    </xf>
    <xf numFmtId="225" fontId="5" fillId="48" borderId="22" xfId="300" applyNumberFormat="1" applyFont="1" applyFill="1" applyBorder="1" applyAlignment="1">
      <alignment horizontal="right" vertical="center" indent="2"/>
    </xf>
    <xf numFmtId="225" fontId="8" fillId="48" borderId="23" xfId="300" applyNumberFormat="1" applyFont="1" applyFill="1" applyBorder="1" applyAlignment="1">
      <alignment horizontal="right" vertical="center" indent="2"/>
    </xf>
    <xf numFmtId="0" fontId="7" fillId="47" borderId="34" xfId="323" applyFont="1" applyFill="1" applyBorder="1">
      <alignment/>
      <protection/>
    </xf>
    <xf numFmtId="37" fontId="33" fillId="47" borderId="27" xfId="300" applyNumberFormat="1" applyFont="1" applyFill="1" applyBorder="1" applyAlignment="1">
      <alignment horizontal="right" vertical="center" wrapText="1" indent="1"/>
    </xf>
    <xf numFmtId="37" fontId="8" fillId="47" borderId="26" xfId="300" applyNumberFormat="1" applyFont="1" applyFill="1" applyBorder="1" applyAlignment="1">
      <alignment horizontal="right" vertical="center" wrapText="1" indent="1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6" fillId="47" borderId="41" xfId="323" applyFont="1" applyFill="1" applyBorder="1" applyAlignment="1">
      <alignment horizontal="center" vertical="center"/>
      <protection/>
    </xf>
    <xf numFmtId="0" fontId="7" fillId="47" borderId="42" xfId="323" applyFont="1" applyFill="1" applyBorder="1">
      <alignment/>
      <protection/>
    </xf>
    <xf numFmtId="0" fontId="7" fillId="47" borderId="43" xfId="323" applyFont="1" applyFill="1" applyBorder="1">
      <alignment/>
      <protection/>
    </xf>
    <xf numFmtId="37" fontId="33" fillId="47" borderId="44" xfId="300" applyNumberFormat="1" applyFont="1" applyFill="1" applyBorder="1" applyAlignment="1">
      <alignment horizontal="right" vertical="center" wrapText="1" indent="1"/>
    </xf>
    <xf numFmtId="37" fontId="33" fillId="47" borderId="45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0" fontId="6" fillId="47" borderId="47" xfId="323" applyFont="1" applyFill="1" applyBorder="1" applyAlignment="1">
      <alignment vertical="center" wrapText="1"/>
      <protection/>
    </xf>
    <xf numFmtId="0" fontId="6" fillId="47" borderId="48" xfId="323" applyFont="1" applyFill="1" applyBorder="1" applyAlignment="1">
      <alignment vertical="center" wrapText="1"/>
      <protection/>
    </xf>
    <xf numFmtId="0" fontId="6" fillId="47" borderId="26" xfId="323" applyFont="1" applyFill="1" applyBorder="1" applyAlignment="1">
      <alignment horizontal="center" vertical="center"/>
      <protection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0" fontId="44" fillId="48" borderId="31" xfId="331" applyFont="1" applyFill="1" applyBorder="1" applyAlignment="1">
      <alignment horizontal="center" vertical="center"/>
      <protection/>
    </xf>
    <xf numFmtId="202" fontId="0" fillId="48" borderId="0" xfId="307" applyNumberFormat="1" applyFont="1" applyFill="1" applyBorder="1" applyAlignment="1">
      <alignment vertical="center"/>
    </xf>
    <xf numFmtId="202" fontId="3" fillId="48" borderId="35" xfId="307" applyNumberFormat="1" applyFont="1" applyFill="1" applyBorder="1" applyAlignment="1">
      <alignment vertical="center"/>
    </xf>
    <xf numFmtId="177" fontId="44" fillId="48" borderId="31" xfId="331" applyNumberFormat="1" applyFont="1" applyFill="1" applyBorder="1" applyAlignment="1">
      <alignment horizontal="right" vertical="center" indent="2"/>
      <protection/>
    </xf>
    <xf numFmtId="177" fontId="0" fillId="48" borderId="31" xfId="350" applyNumberFormat="1" applyFont="1" applyFill="1" applyBorder="1" applyAlignment="1">
      <alignment horizontal="right" vertical="center" indent="1"/>
    </xf>
    <xf numFmtId="177" fontId="3" fillId="48" borderId="33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31" xfId="331" applyFont="1" applyFill="1" applyBorder="1" applyAlignment="1">
      <alignment horizontal="right" vertical="center" indent="2"/>
      <protection/>
    </xf>
    <xf numFmtId="0" fontId="3" fillId="48" borderId="3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0" fillId="48" borderId="0" xfId="308" applyNumberFormat="1" applyFont="1" applyFill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8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3" fillId="48" borderId="49" xfId="331" applyFont="1" applyFill="1" applyBorder="1" applyAlignment="1">
      <alignment horizontal="center" vertical="center"/>
      <protection/>
    </xf>
    <xf numFmtId="0" fontId="3" fillId="48" borderId="50" xfId="331" applyFont="1" applyFill="1" applyBorder="1" applyAlignment="1">
      <alignment horizontal="center" vertical="center"/>
      <protection/>
    </xf>
    <xf numFmtId="0" fontId="3" fillId="48" borderId="5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43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52" xfId="323" applyFont="1" applyFill="1" applyBorder="1" applyAlignment="1">
      <alignment horizontal="center" vertical="center"/>
      <protection/>
    </xf>
    <xf numFmtId="0" fontId="6" fillId="47" borderId="46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5" xfId="300" applyNumberFormat="1" applyFont="1" applyFill="1" applyBorder="1" applyAlignment="1">
      <alignment horizontal="right" vertical="center" wrapText="1" indent="2"/>
    </xf>
    <xf numFmtId="37" fontId="6" fillId="48" borderId="37" xfId="300" applyNumberFormat="1" applyFont="1" applyFill="1" applyBorder="1" applyAlignment="1">
      <alignment horizontal="right" vertical="center" wrapText="1" indent="2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7" borderId="34" xfId="300" applyNumberFormat="1" applyFont="1" applyFill="1" applyBorder="1" applyAlignment="1">
      <alignment horizontal="right" vertical="center" wrapText="1" indent="1"/>
    </xf>
    <xf numFmtId="37" fontId="6" fillId="47" borderId="26" xfId="300" applyNumberFormat="1" applyFont="1" applyFill="1" applyBorder="1" applyAlignment="1">
      <alignment horizontal="right" vertical="center" wrapText="1" indent="1"/>
    </xf>
    <xf numFmtId="37" fontId="6" fillId="47" borderId="20" xfId="300" applyNumberFormat="1" applyFont="1" applyFill="1" applyBorder="1" applyAlignment="1">
      <alignment horizontal="right" vertical="center" wrapText="1" indent="1"/>
    </xf>
    <xf numFmtId="37" fontId="6" fillId="47" borderId="24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3" xfId="323" applyFont="1" applyFill="1" applyBorder="1" applyAlignment="1">
      <alignment horizontal="center" vertical="center" wrapText="1"/>
      <protection/>
    </xf>
    <xf numFmtId="0" fontId="6" fillId="47" borderId="54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37" xfId="323" applyFont="1" applyFill="1" applyBorder="1" applyAlignment="1">
      <alignment horizontal="center" vertical="center" wrapText="1"/>
      <protection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55" xfId="0" applyFont="1" applyFill="1" applyBorder="1" applyAlignment="1">
      <alignment horizontal="center" vertical="center" wrapText="1"/>
    </xf>
    <xf numFmtId="0" fontId="11" fillId="48" borderId="56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2"/>
    </xf>
    <xf numFmtId="3" fontId="6" fillId="48" borderId="23" xfId="300" applyNumberFormat="1" applyFont="1" applyFill="1" applyBorder="1" applyAlignment="1">
      <alignment horizontal="right" vertical="center" indent="2"/>
    </xf>
    <xf numFmtId="0" fontId="11" fillId="48" borderId="57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2"/>
    </xf>
    <xf numFmtId="3" fontId="6" fillId="48" borderId="37" xfId="300" applyNumberFormat="1" applyFont="1" applyFill="1" applyBorder="1" applyAlignment="1">
      <alignment horizontal="right" vertical="center" indent="2"/>
    </xf>
    <xf numFmtId="0" fontId="11" fillId="48" borderId="0" xfId="0" applyFont="1" applyFill="1" applyBorder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0" fontId="11" fillId="48" borderId="58" xfId="0" applyFont="1" applyFill="1" applyBorder="1" applyAlignment="1">
      <alignment horizontal="center" vertical="center" wrapText="1"/>
    </xf>
    <xf numFmtId="0" fontId="11" fillId="48" borderId="59" xfId="0" applyFont="1" applyFill="1" applyBorder="1" applyAlignment="1">
      <alignment horizontal="center" vertical="center" wrapText="1"/>
    </xf>
    <xf numFmtId="0" fontId="6" fillId="48" borderId="55" xfId="0" applyFont="1" applyFill="1" applyBorder="1" applyAlignment="1">
      <alignment horizontal="center" vertical="center" wrapText="1"/>
    </xf>
    <xf numFmtId="0" fontId="6" fillId="48" borderId="56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225" fontId="6" fillId="48" borderId="22" xfId="300" applyNumberFormat="1" applyFont="1" applyFill="1" applyBorder="1" applyAlignment="1">
      <alignment horizontal="right" vertical="center" indent="2"/>
    </xf>
    <xf numFmtId="225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2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17" fontId="6" fillId="48" borderId="21" xfId="300" applyNumberFormat="1" applyFont="1" applyFill="1" applyBorder="1" applyAlignment="1">
      <alignment horizontal="right" vertical="center" indent="1"/>
    </xf>
    <xf numFmtId="217" fontId="6" fillId="48" borderId="23" xfId="300" applyNumberFormat="1" applyFont="1" applyFill="1" applyBorder="1" applyAlignment="1">
      <alignment horizontal="right" vertical="center" indent="1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4630.70885889</c:v>
                </c:pt>
                <c:pt idx="1">
                  <c:v>2337.0077551699997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4728.813704409999</c:v>
                </c:pt>
                <c:pt idx="1">
                  <c:v>2238.90290965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6272.79704381</c:v>
                </c:pt>
                <c:pt idx="1">
                  <c:v>694.9195702500001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2947.40095363</c:v>
                </c:pt>
                <c:pt idx="1">
                  <c:v>4020.31566043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4020.31566043</c:v>
                </c:pt>
                <c:pt idx="1">
                  <c:v>1340.1344402900004</c:v>
                </c:pt>
                <c:pt idx="2">
                  <c:v>1062.7806386799998</c:v>
                </c:pt>
                <c:pt idx="3">
                  <c:v>149.32947832</c:v>
                </c:pt>
                <c:pt idx="4">
                  <c:v>395.15639634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Resumen!$G$20:$G$24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Resumen!$H$20:$H$24</c:f>
              <c:numCache>
                <c:ptCount val="5"/>
                <c:pt idx="0">
                  <c:v>3962.61745248</c:v>
                </c:pt>
                <c:pt idx="1">
                  <c:v>2088.62444373</c:v>
                </c:pt>
                <c:pt idx="2">
                  <c:v>553.22346031</c:v>
                </c:pt>
                <c:pt idx="3">
                  <c:v>266.54918786</c:v>
                </c:pt>
                <c:pt idx="4">
                  <c:v>96.70206968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75"/>
          <c:w val="0.758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'DEP-C1'!$C$15:$AG$15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'DEP-C1'!$C$16:$AG$16</c:f>
              <c:numCache/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8875"/>
          <c:w val="0.192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28022017.xls#Indice!B6" /><Relationship Id="rId10" Type="http://schemas.openxmlformats.org/officeDocument/2006/relationships/hyperlink" Target="#Reporte_Deuda_Empresas_SG_2802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17.xls#Indice!B6" /><Relationship Id="rId4" Type="http://schemas.openxmlformats.org/officeDocument/2006/relationships/hyperlink" Target="#Reporte_Deuda_Empresas_SG_2802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857250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7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6038850</xdr:colOff>
      <xdr:row>0</xdr:row>
      <xdr:rowOff>133350</xdr:rowOff>
    </xdr:from>
    <xdr:to>
      <xdr:col>1</xdr:col>
      <xdr:colOff>6438900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33350"/>
          <a:ext cx="4000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104775</xdr:rowOff>
    </xdr:from>
    <xdr:to>
      <xdr:col>3</xdr:col>
      <xdr:colOff>1171575</xdr:colOff>
      <xdr:row>1</xdr:row>
      <xdr:rowOff>190500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47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6477000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76200</xdr:rowOff>
    </xdr:from>
    <xdr:to>
      <xdr:col>6</xdr:col>
      <xdr:colOff>695325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6200"/>
          <a:ext cx="4095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104775</xdr:rowOff>
    </xdr:from>
    <xdr:to>
      <xdr:col>6</xdr:col>
      <xdr:colOff>257175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4775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1238250</xdr:colOff>
      <xdr:row>0</xdr:row>
      <xdr:rowOff>38100</xdr:rowOff>
    </xdr:from>
    <xdr:to>
      <xdr:col>6</xdr:col>
      <xdr:colOff>314325</xdr:colOff>
      <xdr:row>2</xdr:row>
      <xdr:rowOff>76200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3810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5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8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0</xdr:row>
      <xdr:rowOff>133350</xdr:rowOff>
    </xdr:from>
    <xdr:to>
      <xdr:col>17</xdr:col>
      <xdr:colOff>342900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33350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21</xdr:row>
      <xdr:rowOff>38100</xdr:rowOff>
    </xdr:from>
    <xdr:to>
      <xdr:col>22</xdr:col>
      <xdr:colOff>0</xdr:colOff>
      <xdr:row>45</xdr:row>
      <xdr:rowOff>28575</xdr:rowOff>
    </xdr:to>
    <xdr:graphicFrame>
      <xdr:nvGraphicFramePr>
        <xdr:cNvPr id="3" name="7 Gráfico"/>
        <xdr:cNvGraphicFramePr/>
      </xdr:nvGraphicFramePr>
      <xdr:xfrm>
        <a:off x="2609850" y="4038600"/>
        <a:ext cx="794385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66675</xdr:rowOff>
    </xdr:from>
    <xdr:to>
      <xdr:col>4</xdr:col>
      <xdr:colOff>142875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104775</xdr:rowOff>
    </xdr:from>
    <xdr:to>
      <xdr:col>3</xdr:col>
      <xdr:colOff>1247775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76200</xdr:rowOff>
    </xdr:from>
    <xdr:to>
      <xdr:col>2</xdr:col>
      <xdr:colOff>1123950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62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\cmaguina\CONFIG~1\Temp\_Consultor\Consultoria%20DNEP%20Walter\Informes%20Pagos\2009\Informe%2011\Trimestre%20III\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6"/>
      <c r="C4" s="136"/>
      <c r="D4" s="240"/>
    </row>
    <row r="5" spans="2:4" s="4" customFormat="1" ht="12.75" customHeight="1">
      <c r="B5" s="136"/>
      <c r="C5" s="136"/>
      <c r="D5" s="136"/>
    </row>
    <row r="6" spans="2:7" s="4" customFormat="1" ht="24.75" customHeight="1">
      <c r="B6" s="489" t="str">
        <f>+Portada!$B$6</f>
        <v>DEUDA DE LAS EMPRESAS PÚBLICAS</v>
      </c>
      <c r="C6" s="489"/>
      <c r="D6" s="489"/>
      <c r="E6" s="489"/>
      <c r="F6" s="489"/>
      <c r="G6" s="489"/>
    </row>
    <row r="7" spans="2:7" s="4" customFormat="1" ht="24.75" customHeight="1">
      <c r="B7" s="490" t="s">
        <v>255</v>
      </c>
      <c r="C7" s="490"/>
      <c r="D7" s="490"/>
      <c r="E7" s="490"/>
      <c r="F7" s="490"/>
      <c r="G7" s="490"/>
    </row>
    <row r="8" spans="2:5" s="4" customFormat="1" ht="15.75" customHeight="1">
      <c r="B8" s="268"/>
      <c r="C8" s="268"/>
      <c r="D8" s="268"/>
      <c r="E8" s="136"/>
    </row>
    <row r="9" spans="2:5" ht="19.5" customHeight="1">
      <c r="B9" s="89"/>
      <c r="C9" s="89"/>
      <c r="D9" s="472" t="s">
        <v>69</v>
      </c>
      <c r="E9" s="89"/>
    </row>
    <row r="10" spans="2:5" s="7" customFormat="1" ht="19.5" customHeight="1">
      <c r="B10" s="193"/>
      <c r="C10" s="193"/>
      <c r="D10" s="472" t="s">
        <v>187</v>
      </c>
      <c r="E10" s="71"/>
    </row>
    <row r="11" spans="2:5" s="7" customFormat="1" ht="19.5" customHeight="1">
      <c r="B11" s="194"/>
      <c r="C11" s="193"/>
      <c r="D11" s="472" t="s">
        <v>188</v>
      </c>
      <c r="E11" s="71"/>
    </row>
    <row r="12" spans="2:5" s="7" customFormat="1" ht="9.75" customHeight="1">
      <c r="B12" s="194"/>
      <c r="C12" s="193"/>
      <c r="D12" s="344"/>
      <c r="E12" s="71"/>
    </row>
    <row r="13" spans="2:8" s="7" customFormat="1" ht="19.5" customHeight="1">
      <c r="B13" s="193" t="s">
        <v>11</v>
      </c>
      <c r="C13" s="193" t="s">
        <v>8</v>
      </c>
      <c r="D13" s="488" t="s">
        <v>253</v>
      </c>
      <c r="E13" s="488"/>
      <c r="F13" s="488"/>
      <c r="G13" s="488"/>
      <c r="H13" s="488"/>
    </row>
    <row r="14" spans="2:6" s="7" customFormat="1" ht="19.5" customHeight="1">
      <c r="B14" s="193" t="s">
        <v>12</v>
      </c>
      <c r="C14" s="193" t="s">
        <v>8</v>
      </c>
      <c r="D14" s="488" t="s">
        <v>158</v>
      </c>
      <c r="E14" s="488"/>
      <c r="F14" s="488"/>
    </row>
    <row r="15" spans="2:6" s="7" customFormat="1" ht="19.5" customHeight="1">
      <c r="B15" s="193" t="s">
        <v>13</v>
      </c>
      <c r="C15" s="193" t="s">
        <v>8</v>
      </c>
      <c r="D15" s="491" t="s">
        <v>37</v>
      </c>
      <c r="E15" s="491"/>
      <c r="F15" s="491"/>
    </row>
    <row r="16" spans="2:6" s="7" customFormat="1" ht="19.5" customHeight="1">
      <c r="B16" s="193" t="s">
        <v>14</v>
      </c>
      <c r="C16" s="193" t="s">
        <v>8</v>
      </c>
      <c r="D16" s="491" t="s">
        <v>32</v>
      </c>
      <c r="E16" s="491"/>
      <c r="F16" s="491"/>
    </row>
    <row r="17" spans="2:6" s="7" customFormat="1" ht="19.5" customHeight="1">
      <c r="B17" s="193" t="s">
        <v>94</v>
      </c>
      <c r="C17" s="193" t="s">
        <v>8</v>
      </c>
      <c r="D17" s="491" t="s">
        <v>1</v>
      </c>
      <c r="E17" s="491"/>
      <c r="F17" s="491"/>
    </row>
    <row r="18" spans="2:6" s="7" customFormat="1" ht="19.5" customHeight="1">
      <c r="B18" s="193" t="s">
        <v>61</v>
      </c>
      <c r="C18" s="193" t="s">
        <v>8</v>
      </c>
      <c r="D18" s="491" t="s">
        <v>59</v>
      </c>
      <c r="E18" s="491"/>
      <c r="F18" s="491"/>
    </row>
    <row r="19" spans="2:6" s="7" customFormat="1" ht="19.5" customHeight="1">
      <c r="B19" s="193" t="s">
        <v>15</v>
      </c>
      <c r="C19" s="193" t="s">
        <v>8</v>
      </c>
      <c r="D19" s="491" t="s">
        <v>108</v>
      </c>
      <c r="E19" s="491"/>
      <c r="F19" s="491"/>
    </row>
    <row r="20" spans="2:6" s="7" customFormat="1" ht="19.5" customHeight="1">
      <c r="B20" s="193" t="s">
        <v>16</v>
      </c>
      <c r="C20" s="193" t="s">
        <v>8</v>
      </c>
      <c r="D20" s="491" t="s">
        <v>60</v>
      </c>
      <c r="E20" s="491"/>
      <c r="F20" s="491"/>
    </row>
    <row r="21" spans="2:5" ht="15">
      <c r="B21" s="89"/>
      <c r="C21" s="89"/>
      <c r="D21" s="195"/>
      <c r="E21" s="89"/>
    </row>
    <row r="22" spans="2:5" ht="12.75">
      <c r="B22" s="89"/>
      <c r="C22" s="89"/>
      <c r="D22" s="196"/>
      <c r="E22" s="89"/>
    </row>
    <row r="23" spans="2:5" ht="12.75">
      <c r="B23" s="89"/>
      <c r="C23" s="89"/>
      <c r="D23" s="196"/>
      <c r="E23" s="89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28022017.xls#Resumen!B5" display="CUADROS RESUMEN"/>
    <hyperlink ref="D11" location="Reporte_Deuda_Empresas_SG_28022017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28022017.xls#Portada!B6" display="PORTADA"/>
    <hyperlink ref="D19" location="'Grupo Acreedor'!A1" display="POR GRUPO DEL ACREEDOR"/>
    <hyperlink ref="D14:F14" location="Reporte_Deuda_Empresas_SG_28022017.xls#'DEP-C2'!B5" display="POR TIPO DE DEUDA Y TIPO DE EMPRESA"/>
    <hyperlink ref="D16:F16" location="Reporte_Deuda_Empresas_SG_28022017.xls#'DEP-C4'!B5" display="POR TIPO DE EMPRESA Y ACREEDOR"/>
    <hyperlink ref="D15:F15" location="Reporte_Deuda_Empresas_SG_28022017.xls#'DEP-C3'!B5" display="POR TIPO DE MONEDA"/>
    <hyperlink ref="D17:F17" location="Reporte_Deuda_Empresas_SG_28022017.xls#'DEP-C5'!B5" display="POR GRUPO EMPRESARIAL DEL DEUDOR"/>
    <hyperlink ref="D18:F18" location="Reporte_Deuda_Empresas_SG_28022017.xls#'DEP-C6'!B5" display="POR GRUPO EMPRESARIAL Y ENTIDAD DEUDORA"/>
    <hyperlink ref="D20:F20" location="Reporte_Deuda_Empresas_SG_28022017.xls#'DEP-C8'!B5" display="POR TIPO DE CONCERTACIÓN Y TIPO DE EMPRESA"/>
    <hyperlink ref="D19:F19" location="Reporte_Deuda_Empresas_SG_28022017.xls#'DEP-C7'!B5" display="POR TIPO DE EMPRESA Y GRUPO DEL ACREEDOR "/>
    <hyperlink ref="D13:F13" r:id="rId1" display="EVOLUCIÓN DE LA DEUDA DE LAS EMPRESAS PÚBLICAS"/>
    <hyperlink ref="D13:H13" location="Reporte_Deuda_Empresas_SG_28022017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9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90" customWidth="1"/>
    <col min="2" max="2" width="106.8515625" style="90" customWidth="1"/>
    <col min="3" max="3" width="18.57421875" style="90" customWidth="1"/>
    <col min="4" max="5" width="20.7109375" style="90" customWidth="1"/>
    <col min="6" max="6" width="11.421875" style="89" customWidth="1"/>
    <col min="7" max="16384" width="11.421875" style="90" customWidth="1"/>
  </cols>
  <sheetData>
    <row r="1" spans="2:3" ht="12.75">
      <c r="B1" s="107"/>
      <c r="C1" s="107"/>
    </row>
    <row r="2" spans="2:3" ht="12.75">
      <c r="B2" s="107"/>
      <c r="C2" s="107"/>
    </row>
    <row r="3" spans="2:3" ht="12.75">
      <c r="B3" s="107"/>
      <c r="C3" s="107"/>
    </row>
    <row r="4" spans="2:3" ht="19.5" customHeight="1">
      <c r="B4" s="107"/>
      <c r="C4" s="107"/>
    </row>
    <row r="5" spans="2:5" ht="18">
      <c r="B5" s="135" t="s">
        <v>61</v>
      </c>
      <c r="C5" s="135"/>
      <c r="D5" s="135"/>
      <c r="E5" s="135"/>
    </row>
    <row r="6" spans="2:6" s="92" customFormat="1" ht="18.75">
      <c r="B6" s="348" t="s">
        <v>139</v>
      </c>
      <c r="C6" s="348"/>
      <c r="D6" s="348"/>
      <c r="E6" s="348"/>
      <c r="F6" s="91"/>
    </row>
    <row r="7" spans="2:6" s="92" customFormat="1" ht="18.75">
      <c r="B7" s="348" t="s">
        <v>138</v>
      </c>
      <c r="C7" s="348"/>
      <c r="D7" s="348"/>
      <c r="E7" s="283"/>
      <c r="F7" s="91"/>
    </row>
    <row r="8" spans="2:6" s="92" customFormat="1" ht="18.75">
      <c r="B8" s="376" t="s">
        <v>59</v>
      </c>
      <c r="C8" s="406"/>
      <c r="D8" s="406"/>
      <c r="E8" s="406"/>
      <c r="F8" s="91"/>
    </row>
    <row r="9" spans="2:6" s="92" customFormat="1" ht="18.75">
      <c r="B9" s="139" t="str">
        <f>+'DEP-C2'!B9</f>
        <v>Al 28 de febrero de 2017</v>
      </c>
      <c r="C9" s="407"/>
      <c r="D9" s="288"/>
      <c r="E9" s="288"/>
      <c r="F9" s="345">
        <f>+Portada!H39</f>
        <v>3.263</v>
      </c>
    </row>
    <row r="10" spans="2:5" ht="9.75" customHeight="1">
      <c r="B10" s="556"/>
      <c r="C10" s="556"/>
      <c r="D10" s="556"/>
      <c r="E10" s="556"/>
    </row>
    <row r="11" spans="2:5" ht="18" customHeight="1">
      <c r="B11" s="554" t="s">
        <v>99</v>
      </c>
      <c r="C11" s="554" t="s">
        <v>26</v>
      </c>
      <c r="D11" s="559" t="s">
        <v>90</v>
      </c>
      <c r="E11" s="560" t="s">
        <v>170</v>
      </c>
    </row>
    <row r="12" spans="2:6" s="84" customFormat="1" ht="18" customHeight="1">
      <c r="B12" s="555"/>
      <c r="C12" s="555"/>
      <c r="D12" s="549"/>
      <c r="E12" s="561"/>
      <c r="F12" s="93"/>
    </row>
    <row r="13" spans="2:6" s="84" customFormat="1" ht="9.75" customHeight="1">
      <c r="B13" s="114"/>
      <c r="C13" s="286"/>
      <c r="D13" s="98"/>
      <c r="E13" s="289"/>
      <c r="F13" s="93"/>
    </row>
    <row r="14" spans="2:6" s="65" customFormat="1" ht="16.5" customHeight="1">
      <c r="B14" s="412" t="s">
        <v>254</v>
      </c>
      <c r="C14" s="413"/>
      <c r="D14" s="415">
        <f>SUM(D15:D28)</f>
        <v>5703483.557619999</v>
      </c>
      <c r="E14" s="383">
        <f>SUM(E15:E28)</f>
        <v>18610466.848514058</v>
      </c>
      <c r="F14" s="71"/>
    </row>
    <row r="15" spans="2:6" s="65" customFormat="1" ht="16.5" customHeight="1">
      <c r="B15" s="97" t="s">
        <v>238</v>
      </c>
      <c r="C15" s="86" t="s">
        <v>95</v>
      </c>
      <c r="D15" s="414">
        <v>2513306.6958999997</v>
      </c>
      <c r="E15" s="381">
        <f aca="true" t="shared" si="0" ref="E15:E28">ROUND(D15*$F$9,8)</f>
        <v>8200919.7487217</v>
      </c>
      <c r="F15" s="94"/>
    </row>
    <row r="16" spans="2:6" s="65" customFormat="1" ht="16.5" customHeight="1">
      <c r="B16" s="97" t="s">
        <v>179</v>
      </c>
      <c r="C16" s="86" t="s">
        <v>95</v>
      </c>
      <c r="D16" s="414">
        <v>1917467.0548500002</v>
      </c>
      <c r="E16" s="381">
        <f t="shared" si="0"/>
        <v>6256694.99997555</v>
      </c>
      <c r="F16" s="71"/>
    </row>
    <row r="17" spans="2:6" s="65" customFormat="1" ht="16.5" customHeight="1">
      <c r="B17" s="97" t="s">
        <v>236</v>
      </c>
      <c r="C17" s="86" t="s">
        <v>96</v>
      </c>
      <c r="D17" s="414">
        <v>729691.85338</v>
      </c>
      <c r="E17" s="381">
        <f t="shared" si="0"/>
        <v>2380984.51757894</v>
      </c>
      <c r="F17" s="71"/>
    </row>
    <row r="18" spans="2:6" s="65" customFormat="1" ht="16.5" customHeight="1">
      <c r="B18" s="97" t="s">
        <v>127</v>
      </c>
      <c r="C18" s="86" t="s">
        <v>95</v>
      </c>
      <c r="D18" s="414">
        <v>298039.95366</v>
      </c>
      <c r="E18" s="381">
        <f t="shared" si="0"/>
        <v>972504.36879258</v>
      </c>
      <c r="F18" s="71"/>
    </row>
    <row r="19" spans="2:6" s="65" customFormat="1" ht="16.5" customHeight="1">
      <c r="B19" s="97" t="s">
        <v>38</v>
      </c>
      <c r="C19" s="86" t="s">
        <v>96</v>
      </c>
      <c r="D19" s="414">
        <v>74061.29329</v>
      </c>
      <c r="E19" s="381">
        <f t="shared" si="0"/>
        <v>241662.00000527</v>
      </c>
      <c r="F19" s="71"/>
    </row>
    <row r="20" spans="2:6" s="65" customFormat="1" ht="16.5" customHeight="1">
      <c r="B20" s="97" t="s">
        <v>215</v>
      </c>
      <c r="C20" s="86" t="s">
        <v>96</v>
      </c>
      <c r="D20" s="414">
        <v>46073.641169999995</v>
      </c>
      <c r="E20" s="381">
        <f t="shared" si="0"/>
        <v>150338.29113771</v>
      </c>
      <c r="F20" s="71"/>
    </row>
    <row r="21" spans="2:6" s="65" customFormat="1" ht="16.5" customHeight="1">
      <c r="B21" s="97" t="s">
        <v>178</v>
      </c>
      <c r="C21" s="86" t="s">
        <v>96</v>
      </c>
      <c r="D21" s="414">
        <v>40662.75671</v>
      </c>
      <c r="E21" s="381">
        <f t="shared" si="0"/>
        <v>132682.57514473</v>
      </c>
      <c r="F21" s="71"/>
    </row>
    <row r="22" spans="2:6" s="65" customFormat="1" ht="16.5" customHeight="1">
      <c r="B22" s="97" t="s">
        <v>213</v>
      </c>
      <c r="C22" s="86" t="s">
        <v>96</v>
      </c>
      <c r="D22" s="414">
        <v>22476.294439999998</v>
      </c>
      <c r="E22" s="381">
        <f t="shared" si="0"/>
        <v>73340.14875772</v>
      </c>
      <c r="F22" s="71"/>
    </row>
    <row r="23" spans="2:6" s="65" customFormat="1" ht="16.5" customHeight="1">
      <c r="B23" s="97" t="s">
        <v>177</v>
      </c>
      <c r="C23" s="86" t="s">
        <v>96</v>
      </c>
      <c r="D23" s="414">
        <v>18987.529410000003</v>
      </c>
      <c r="E23" s="381">
        <f t="shared" si="0"/>
        <v>61956.30846483</v>
      </c>
      <c r="F23" s="71"/>
    </row>
    <row r="24" spans="2:6" s="65" customFormat="1" ht="16.5" customHeight="1">
      <c r="B24" s="97" t="s">
        <v>71</v>
      </c>
      <c r="C24" s="86" t="s">
        <v>96</v>
      </c>
      <c r="D24" s="414">
        <v>16222.320090000001</v>
      </c>
      <c r="E24" s="381">
        <f t="shared" si="0"/>
        <v>52933.43045367</v>
      </c>
      <c r="F24" s="71"/>
    </row>
    <row r="25" spans="2:6" s="65" customFormat="1" ht="16.5" customHeight="1">
      <c r="B25" s="97" t="s">
        <v>180</v>
      </c>
      <c r="C25" s="86" t="s">
        <v>96</v>
      </c>
      <c r="D25" s="414">
        <v>15463.817460000002</v>
      </c>
      <c r="E25" s="381">
        <f t="shared" si="0"/>
        <v>50458.43637198</v>
      </c>
      <c r="F25" s="71"/>
    </row>
    <row r="26" spans="2:6" s="65" customFormat="1" ht="16.5" customHeight="1">
      <c r="B26" s="97" t="s">
        <v>216</v>
      </c>
      <c r="C26" s="86" t="s">
        <v>96</v>
      </c>
      <c r="D26" s="414">
        <v>6284.36494</v>
      </c>
      <c r="E26" s="381">
        <f t="shared" si="0"/>
        <v>20505.88279922</v>
      </c>
      <c r="F26" s="71"/>
    </row>
    <row r="27" spans="2:6" s="65" customFormat="1" ht="16.5" customHeight="1">
      <c r="B27" s="66" t="s">
        <v>214</v>
      </c>
      <c r="C27" s="86" t="s">
        <v>96</v>
      </c>
      <c r="D27" s="414">
        <v>3293.1668</v>
      </c>
      <c r="E27" s="381">
        <f t="shared" si="0"/>
        <v>10745.6032684</v>
      </c>
      <c r="F27" s="71"/>
    </row>
    <row r="28" spans="2:6" s="65" customFormat="1" ht="16.5" customHeight="1">
      <c r="B28" s="66" t="s">
        <v>163</v>
      </c>
      <c r="C28" s="86" t="s">
        <v>96</v>
      </c>
      <c r="D28" s="414">
        <v>1452.81552</v>
      </c>
      <c r="E28" s="381">
        <f t="shared" si="0"/>
        <v>4740.53704176</v>
      </c>
      <c r="F28" s="71"/>
    </row>
    <row r="29" spans="2:6" s="65" customFormat="1" ht="12" customHeight="1">
      <c r="B29" s="97"/>
      <c r="C29" s="86"/>
      <c r="D29" s="414"/>
      <c r="E29" s="381"/>
      <c r="F29" s="71"/>
    </row>
    <row r="30" spans="2:6" s="65" customFormat="1" ht="16.5" customHeight="1">
      <c r="B30" s="412" t="s">
        <v>118</v>
      </c>
      <c r="C30" s="413"/>
      <c r="D30" s="415">
        <f>SUM(D31:D56)</f>
        <v>152646.81953</v>
      </c>
      <c r="E30" s="383">
        <f>SUM(E31:E56)</f>
        <v>498086.57212638995</v>
      </c>
      <c r="F30" s="95"/>
    </row>
    <row r="31" spans="2:7" s="96" customFormat="1" ht="16.5" customHeight="1">
      <c r="B31" s="97" t="s">
        <v>222</v>
      </c>
      <c r="C31" s="86" t="s">
        <v>96</v>
      </c>
      <c r="D31" s="414">
        <v>48412.74875</v>
      </c>
      <c r="E31" s="381">
        <f aca="true" t="shared" si="1" ref="E31:E56">ROUND(D31*$F$9,8)</f>
        <v>157970.79917125</v>
      </c>
      <c r="F31" s="95"/>
      <c r="G31" s="65"/>
    </row>
    <row r="32" spans="2:7" s="96" customFormat="1" ht="16.5" customHeight="1">
      <c r="B32" s="97" t="s">
        <v>230</v>
      </c>
      <c r="C32" s="86" t="s">
        <v>96</v>
      </c>
      <c r="D32" s="414">
        <v>24538.10604</v>
      </c>
      <c r="E32" s="381">
        <f t="shared" si="1"/>
        <v>80067.84000852</v>
      </c>
      <c r="F32" s="95"/>
      <c r="G32" s="65"/>
    </row>
    <row r="33" spans="2:7" s="96" customFormat="1" ht="16.5" customHeight="1">
      <c r="B33" s="97" t="s">
        <v>43</v>
      </c>
      <c r="C33" s="86" t="s">
        <v>96</v>
      </c>
      <c r="D33" s="414">
        <v>14147.41557</v>
      </c>
      <c r="E33" s="381">
        <f t="shared" si="1"/>
        <v>46163.01700491</v>
      </c>
      <c r="F33" s="95"/>
      <c r="G33" s="65"/>
    </row>
    <row r="34" spans="2:7" s="96" customFormat="1" ht="16.5" customHeight="1">
      <c r="B34" s="97" t="s">
        <v>221</v>
      </c>
      <c r="C34" s="86" t="s">
        <v>96</v>
      </c>
      <c r="D34" s="414">
        <v>13625.384940000002</v>
      </c>
      <c r="E34" s="381">
        <f t="shared" si="1"/>
        <v>44459.63105922</v>
      </c>
      <c r="F34" s="95"/>
      <c r="G34" s="65"/>
    </row>
    <row r="35" spans="2:7" s="96" customFormat="1" ht="16.5" customHeight="1">
      <c r="B35" s="97" t="s">
        <v>148</v>
      </c>
      <c r="C35" s="86" t="s">
        <v>96</v>
      </c>
      <c r="D35" s="414">
        <v>7753.27838</v>
      </c>
      <c r="E35" s="381">
        <f t="shared" si="1"/>
        <v>25298.94735394</v>
      </c>
      <c r="F35" s="95"/>
      <c r="G35" s="65"/>
    </row>
    <row r="36" spans="2:7" s="96" customFormat="1" ht="16.5" customHeight="1">
      <c r="B36" s="97" t="s">
        <v>40</v>
      </c>
      <c r="C36" s="86" t="s">
        <v>96</v>
      </c>
      <c r="D36" s="414">
        <v>6388.6702000000005</v>
      </c>
      <c r="E36" s="381">
        <f t="shared" si="1"/>
        <v>20846.2308626</v>
      </c>
      <c r="F36" s="95"/>
      <c r="G36" s="65"/>
    </row>
    <row r="37" spans="2:7" s="96" customFormat="1" ht="16.5" customHeight="1">
      <c r="B37" s="97" t="s">
        <v>220</v>
      </c>
      <c r="C37" s="86" t="s">
        <v>96</v>
      </c>
      <c r="D37" s="414">
        <v>6268.41761</v>
      </c>
      <c r="E37" s="381">
        <f t="shared" si="1"/>
        <v>20453.84666143</v>
      </c>
      <c r="F37" s="95"/>
      <c r="G37" s="65"/>
    </row>
    <row r="38" spans="2:7" s="96" customFormat="1" ht="16.5" customHeight="1">
      <c r="B38" s="97" t="s">
        <v>231</v>
      </c>
      <c r="C38" s="86" t="s">
        <v>96</v>
      </c>
      <c r="D38" s="414">
        <v>5365.30791</v>
      </c>
      <c r="E38" s="381">
        <f t="shared" si="1"/>
        <v>17506.99971033</v>
      </c>
      <c r="F38" s="95"/>
      <c r="G38" s="65"/>
    </row>
    <row r="39" spans="2:7" s="96" customFormat="1" ht="16.5" customHeight="1">
      <c r="B39" s="97" t="s">
        <v>72</v>
      </c>
      <c r="C39" s="86" t="s">
        <v>96</v>
      </c>
      <c r="D39" s="414">
        <v>4185.62401</v>
      </c>
      <c r="E39" s="381">
        <f t="shared" si="1"/>
        <v>13657.69114463</v>
      </c>
      <c r="F39" s="95"/>
      <c r="G39" s="65"/>
    </row>
    <row r="40" spans="2:7" s="96" customFormat="1" ht="16.5" customHeight="1">
      <c r="B40" s="97" t="s">
        <v>48</v>
      </c>
      <c r="C40" s="86" t="s">
        <v>96</v>
      </c>
      <c r="D40" s="414">
        <v>3903.4676600000003</v>
      </c>
      <c r="E40" s="381">
        <f t="shared" si="1"/>
        <v>12737.01497458</v>
      </c>
      <c r="F40" s="95"/>
      <c r="G40" s="65"/>
    </row>
    <row r="41" spans="2:7" s="96" customFormat="1" ht="16.5" customHeight="1">
      <c r="B41" s="97" t="s">
        <v>42</v>
      </c>
      <c r="C41" s="86" t="s">
        <v>96</v>
      </c>
      <c r="D41" s="414">
        <v>3427.4375800000003</v>
      </c>
      <c r="E41" s="381">
        <f t="shared" si="1"/>
        <v>11183.72882354</v>
      </c>
      <c r="F41" s="95"/>
      <c r="G41" s="65"/>
    </row>
    <row r="42" spans="2:7" s="96" customFormat="1" ht="16.5" customHeight="1">
      <c r="B42" s="97" t="s">
        <v>45</v>
      </c>
      <c r="C42" s="86" t="s">
        <v>96</v>
      </c>
      <c r="D42" s="414">
        <v>3297.4784600000003</v>
      </c>
      <c r="E42" s="381">
        <f t="shared" si="1"/>
        <v>10759.67221498</v>
      </c>
      <c r="F42" s="95"/>
      <c r="G42" s="65"/>
    </row>
    <row r="43" spans="2:7" s="96" customFormat="1" ht="16.5" customHeight="1">
      <c r="B43" s="97" t="s">
        <v>232</v>
      </c>
      <c r="C43" s="86" t="s">
        <v>96</v>
      </c>
      <c r="D43" s="414">
        <v>2316.73811</v>
      </c>
      <c r="E43" s="381">
        <f t="shared" si="1"/>
        <v>7559.51645293</v>
      </c>
      <c r="F43" s="95"/>
      <c r="G43" s="65"/>
    </row>
    <row r="44" spans="2:7" s="96" customFormat="1" ht="16.5" customHeight="1">
      <c r="B44" s="97" t="s">
        <v>50</v>
      </c>
      <c r="C44" s="86" t="s">
        <v>96</v>
      </c>
      <c r="D44" s="414">
        <v>2302.21168</v>
      </c>
      <c r="E44" s="381">
        <f t="shared" si="1"/>
        <v>7512.11671184</v>
      </c>
      <c r="F44" s="95"/>
      <c r="G44" s="65"/>
    </row>
    <row r="45" spans="2:7" s="96" customFormat="1" ht="16.5" customHeight="1">
      <c r="B45" s="97" t="s">
        <v>217</v>
      </c>
      <c r="C45" s="86" t="s">
        <v>96</v>
      </c>
      <c r="D45" s="414">
        <v>1702.8351499999999</v>
      </c>
      <c r="E45" s="381">
        <f t="shared" si="1"/>
        <v>5556.35109445</v>
      </c>
      <c r="F45" s="95"/>
      <c r="G45" s="65"/>
    </row>
    <row r="46" spans="2:7" s="96" customFormat="1" ht="16.5" customHeight="1">
      <c r="B46" s="97" t="s">
        <v>52</v>
      </c>
      <c r="C46" s="86" t="s">
        <v>96</v>
      </c>
      <c r="D46" s="414">
        <v>1661.12275</v>
      </c>
      <c r="E46" s="381">
        <f t="shared" si="1"/>
        <v>5420.24353325</v>
      </c>
      <c r="F46" s="95"/>
      <c r="G46" s="65"/>
    </row>
    <row r="47" spans="2:7" s="96" customFormat="1" ht="16.5" customHeight="1">
      <c r="B47" s="97" t="s">
        <v>219</v>
      </c>
      <c r="C47" s="86" t="s">
        <v>96</v>
      </c>
      <c r="D47" s="414">
        <v>955.4644</v>
      </c>
      <c r="E47" s="381">
        <f t="shared" si="1"/>
        <v>3117.6803372</v>
      </c>
      <c r="F47" s="95"/>
      <c r="G47" s="65"/>
    </row>
    <row r="48" spans="2:7" s="96" customFormat="1" ht="16.5" customHeight="1">
      <c r="B48" s="97" t="s">
        <v>233</v>
      </c>
      <c r="C48" s="86" t="s">
        <v>96</v>
      </c>
      <c r="D48" s="414">
        <v>818.3389500000001</v>
      </c>
      <c r="E48" s="381">
        <f t="shared" si="1"/>
        <v>2670.23999385</v>
      </c>
      <c r="F48" s="95"/>
      <c r="G48" s="65"/>
    </row>
    <row r="49" spans="2:7" s="96" customFormat="1" ht="16.5" customHeight="1">
      <c r="B49" s="97" t="s">
        <v>234</v>
      </c>
      <c r="C49" s="86" t="s">
        <v>96</v>
      </c>
      <c r="D49" s="414">
        <v>624.47232</v>
      </c>
      <c r="E49" s="381">
        <f t="shared" si="1"/>
        <v>2037.65318016</v>
      </c>
      <c r="F49" s="95"/>
      <c r="G49" s="65"/>
    </row>
    <row r="50" spans="2:7" s="96" customFormat="1" ht="16.5" customHeight="1">
      <c r="B50" s="97" t="s">
        <v>51</v>
      </c>
      <c r="C50" s="86" t="s">
        <v>96</v>
      </c>
      <c r="D50" s="414">
        <v>368.92852</v>
      </c>
      <c r="E50" s="381">
        <f t="shared" si="1"/>
        <v>1203.81376076</v>
      </c>
      <c r="F50" s="95"/>
      <c r="G50" s="65"/>
    </row>
    <row r="51" spans="2:7" s="96" customFormat="1" ht="16.5" customHeight="1">
      <c r="B51" s="97" t="s">
        <v>44</v>
      </c>
      <c r="C51" s="86" t="s">
        <v>96</v>
      </c>
      <c r="D51" s="414">
        <v>149.38843</v>
      </c>
      <c r="E51" s="381">
        <f t="shared" si="1"/>
        <v>487.45444709</v>
      </c>
      <c r="F51" s="95"/>
      <c r="G51" s="65"/>
    </row>
    <row r="52" spans="2:7" s="96" customFormat="1" ht="16.5" customHeight="1">
      <c r="B52" s="97" t="s">
        <v>218</v>
      </c>
      <c r="C52" s="86" t="s">
        <v>96</v>
      </c>
      <c r="D52" s="414">
        <v>131.05103</v>
      </c>
      <c r="E52" s="381">
        <f t="shared" si="1"/>
        <v>427.61951089</v>
      </c>
      <c r="F52" s="95"/>
      <c r="G52" s="65"/>
    </row>
    <row r="53" spans="2:7" s="96" customFormat="1" ht="16.5" customHeight="1">
      <c r="B53" s="97" t="s">
        <v>58</v>
      </c>
      <c r="C53" s="86" t="s">
        <v>96</v>
      </c>
      <c r="D53" s="414">
        <v>113.67827</v>
      </c>
      <c r="E53" s="381">
        <f t="shared" si="1"/>
        <v>370.93219501</v>
      </c>
      <c r="F53" s="95"/>
      <c r="G53" s="65"/>
    </row>
    <row r="54" spans="2:7" s="96" customFormat="1" ht="16.5" customHeight="1">
      <c r="B54" s="97" t="s">
        <v>235</v>
      </c>
      <c r="C54" s="86" t="s">
        <v>96</v>
      </c>
      <c r="D54" s="414">
        <v>84.53233</v>
      </c>
      <c r="E54" s="381">
        <f t="shared" si="1"/>
        <v>275.82899279</v>
      </c>
      <c r="F54" s="95"/>
      <c r="G54" s="65"/>
    </row>
    <row r="55" spans="2:7" s="96" customFormat="1" ht="16.5" customHeight="1">
      <c r="B55" s="97" t="s">
        <v>55</v>
      </c>
      <c r="C55" s="86" t="s">
        <v>96</v>
      </c>
      <c r="D55" s="414">
        <v>76.68242</v>
      </c>
      <c r="E55" s="381">
        <f t="shared" si="1"/>
        <v>250.21473646</v>
      </c>
      <c r="F55" s="95"/>
      <c r="G55" s="65"/>
    </row>
    <row r="56" spans="2:7" s="96" customFormat="1" ht="16.5" customHeight="1">
      <c r="B56" s="97" t="s">
        <v>57</v>
      </c>
      <c r="C56" s="86" t="s">
        <v>96</v>
      </c>
      <c r="D56" s="414">
        <v>28.03806</v>
      </c>
      <c r="E56" s="381">
        <f t="shared" si="1"/>
        <v>91.48818978</v>
      </c>
      <c r="F56" s="95"/>
      <c r="G56" s="65"/>
    </row>
    <row r="57" spans="2:6" s="65" customFormat="1" ht="12" customHeight="1">
      <c r="B57" s="97"/>
      <c r="C57" s="86"/>
      <c r="D57" s="414"/>
      <c r="E57" s="381"/>
      <c r="F57" s="71"/>
    </row>
    <row r="58" spans="2:7" s="96" customFormat="1" ht="16.5" customHeight="1">
      <c r="B58" s="412" t="s">
        <v>89</v>
      </c>
      <c r="C58" s="413"/>
      <c r="D58" s="415">
        <f>+D59</f>
        <v>416666.66666</v>
      </c>
      <c r="E58" s="416">
        <f>+E59</f>
        <v>1359583.33331158</v>
      </c>
      <c r="F58" s="95"/>
      <c r="G58" s="65"/>
    </row>
    <row r="59" spans="2:7" s="96" customFormat="1" ht="16.5" customHeight="1">
      <c r="B59" s="97" t="s">
        <v>225</v>
      </c>
      <c r="C59" s="86" t="s">
        <v>96</v>
      </c>
      <c r="D59" s="414">
        <v>416666.66666</v>
      </c>
      <c r="E59" s="381">
        <f>ROUND(D59*$F$9,8)</f>
        <v>1359583.33331158</v>
      </c>
      <c r="F59" s="95"/>
      <c r="G59" s="65"/>
    </row>
    <row r="60" spans="2:6" s="65" customFormat="1" ht="9.75" customHeight="1">
      <c r="B60" s="87"/>
      <c r="C60" s="88"/>
      <c r="D60" s="417"/>
      <c r="E60" s="418"/>
      <c r="F60" s="71"/>
    </row>
    <row r="61" spans="2:7" s="84" customFormat="1" ht="15" customHeight="1">
      <c r="B61" s="551" t="s">
        <v>62</v>
      </c>
      <c r="C61" s="562"/>
      <c r="D61" s="564">
        <f>+D30+D14+D58</f>
        <v>6272797.043809999</v>
      </c>
      <c r="E61" s="546">
        <f>+E30+E14+E58</f>
        <v>20468136.753952026</v>
      </c>
      <c r="F61" s="93"/>
      <c r="G61" s="65"/>
    </row>
    <row r="62" spans="2:7" s="84" customFormat="1" ht="15" customHeight="1">
      <c r="B62" s="552"/>
      <c r="C62" s="563"/>
      <c r="D62" s="565"/>
      <c r="E62" s="547"/>
      <c r="F62" s="93"/>
      <c r="G62" s="65"/>
    </row>
    <row r="63" ht="14.25">
      <c r="G63" s="65"/>
    </row>
    <row r="64" spans="4:5" ht="12.75">
      <c r="D64" s="447"/>
      <c r="E64" s="239"/>
    </row>
    <row r="65" spans="4:5" ht="12.75">
      <c r="D65" s="446"/>
      <c r="E65" s="137"/>
    </row>
    <row r="66" spans="3:5" ht="12.75">
      <c r="C66" s="137"/>
      <c r="D66" s="446"/>
      <c r="E66" s="137"/>
    </row>
    <row r="67" spans="4:5" ht="12.75">
      <c r="D67" s="313"/>
      <c r="E67" s="313"/>
    </row>
    <row r="68" spans="2:5" ht="18">
      <c r="B68" s="408" t="s">
        <v>123</v>
      </c>
      <c r="C68" s="408"/>
      <c r="D68" s="408"/>
      <c r="E68" s="408"/>
    </row>
    <row r="69" spans="2:6" s="92" customFormat="1" ht="18.75">
      <c r="B69" s="409" t="s">
        <v>139</v>
      </c>
      <c r="C69" s="409"/>
      <c r="D69" s="409"/>
      <c r="E69" s="409"/>
      <c r="F69" s="91"/>
    </row>
    <row r="70" spans="2:6" s="92" customFormat="1" ht="18.75">
      <c r="B70" s="409" t="s">
        <v>140</v>
      </c>
      <c r="C70" s="409"/>
      <c r="D70" s="409"/>
      <c r="E70" s="277"/>
      <c r="F70" s="91"/>
    </row>
    <row r="71" spans="2:6" s="92" customFormat="1" ht="18.75">
      <c r="B71" s="411" t="s">
        <v>59</v>
      </c>
      <c r="C71" s="410"/>
      <c r="D71" s="410"/>
      <c r="E71" s="410"/>
      <c r="F71" s="91"/>
    </row>
    <row r="72" spans="2:6" s="92" customFormat="1" ht="18.75">
      <c r="B72" s="139" t="str">
        <f>+B9</f>
        <v>Al 28 de febrero de 2017</v>
      </c>
      <c r="C72" s="407"/>
      <c r="D72" s="276"/>
      <c r="E72" s="276"/>
      <c r="F72" s="91"/>
    </row>
    <row r="73" spans="2:5" ht="6" customHeight="1">
      <c r="B73" s="566"/>
      <c r="C73" s="566"/>
      <c r="D73" s="566"/>
      <c r="E73" s="566"/>
    </row>
    <row r="74" spans="2:5" ht="18" customHeight="1">
      <c r="B74" s="554" t="s">
        <v>99</v>
      </c>
      <c r="C74" s="554" t="s">
        <v>26</v>
      </c>
      <c r="D74" s="559" t="s">
        <v>90</v>
      </c>
      <c r="E74" s="560" t="s">
        <v>170</v>
      </c>
    </row>
    <row r="75" spans="2:6" s="84" customFormat="1" ht="18" customHeight="1">
      <c r="B75" s="555"/>
      <c r="C75" s="555"/>
      <c r="D75" s="549"/>
      <c r="E75" s="561"/>
      <c r="F75" s="93"/>
    </row>
    <row r="76" spans="2:6" s="84" customFormat="1" ht="9.75" customHeight="1">
      <c r="B76" s="114"/>
      <c r="C76" s="275"/>
      <c r="D76" s="98"/>
      <c r="E76" s="279"/>
      <c r="F76" s="93"/>
    </row>
    <row r="77" spans="2:6" s="65" customFormat="1" ht="16.5" customHeight="1">
      <c r="B77" s="412" t="s">
        <v>88</v>
      </c>
      <c r="C77" s="413"/>
      <c r="D77" s="415">
        <f>SUM(D78:D81)</f>
        <v>15611.94415</v>
      </c>
      <c r="E77" s="383">
        <f>SUM(E78:E81)</f>
        <v>50941.77376145</v>
      </c>
      <c r="F77" s="71"/>
    </row>
    <row r="78" spans="2:6" s="65" customFormat="1" ht="16.5" customHeight="1">
      <c r="B78" s="97" t="s">
        <v>180</v>
      </c>
      <c r="C78" s="86" t="s">
        <v>96</v>
      </c>
      <c r="D78" s="414">
        <v>9228.073049999999</v>
      </c>
      <c r="E78" s="381">
        <f>ROUND(D78*$F$9,8)</f>
        <v>30111.20236215</v>
      </c>
      <c r="F78" s="71"/>
    </row>
    <row r="79" spans="2:6" s="65" customFormat="1" ht="16.5" customHeight="1">
      <c r="B79" s="97" t="s">
        <v>223</v>
      </c>
      <c r="C79" s="86" t="s">
        <v>96</v>
      </c>
      <c r="D79" s="414">
        <v>3272.39052</v>
      </c>
      <c r="E79" s="381">
        <f>ROUND(D79*$F$9,8)</f>
        <v>10677.81026676</v>
      </c>
      <c r="F79" s="71"/>
    </row>
    <row r="80" spans="2:6" s="65" customFormat="1" ht="16.5" customHeight="1">
      <c r="B80" s="97" t="s">
        <v>177</v>
      </c>
      <c r="C80" s="86" t="s">
        <v>96</v>
      </c>
      <c r="D80" s="414">
        <v>2413.42258</v>
      </c>
      <c r="E80" s="381">
        <f>ROUND(D80*$F$9,8)</f>
        <v>7874.99787854</v>
      </c>
      <c r="F80" s="71"/>
    </row>
    <row r="81" spans="2:6" s="65" customFormat="1" ht="16.5" customHeight="1">
      <c r="B81" s="97" t="s">
        <v>214</v>
      </c>
      <c r="C81" s="86" t="s">
        <v>96</v>
      </c>
      <c r="D81" s="414">
        <v>698.058</v>
      </c>
      <c r="E81" s="381">
        <f>ROUND(D81*$F$9,8)</f>
        <v>2277.763254</v>
      </c>
      <c r="F81" s="71"/>
    </row>
    <row r="82" spans="2:6" s="65" customFormat="1" ht="12" customHeight="1">
      <c r="B82" s="70"/>
      <c r="C82" s="72"/>
      <c r="D82" s="342"/>
      <c r="E82" s="343"/>
      <c r="F82" s="71"/>
    </row>
    <row r="83" spans="2:6" s="96" customFormat="1" ht="16.5" customHeight="1">
      <c r="B83" s="412" t="s">
        <v>165</v>
      </c>
      <c r="C83" s="72"/>
      <c r="D83" s="415">
        <f>+D84</f>
        <v>679307.6261</v>
      </c>
      <c r="E83" s="383">
        <f>+E84</f>
        <v>2216580.7839643</v>
      </c>
      <c r="F83" s="95"/>
    </row>
    <row r="84" spans="2:6" s="96" customFormat="1" ht="16.5" customHeight="1">
      <c r="B84" s="97" t="s">
        <v>225</v>
      </c>
      <c r="C84" s="86" t="s">
        <v>96</v>
      </c>
      <c r="D84" s="414">
        <v>679307.6261</v>
      </c>
      <c r="E84" s="381">
        <f>ROUND(D84*$F$9,8)</f>
        <v>2216580.7839643</v>
      </c>
      <c r="F84" s="95"/>
    </row>
    <row r="85" spans="2:6" s="65" customFormat="1" ht="9.75" customHeight="1">
      <c r="B85" s="87"/>
      <c r="C85" s="88"/>
      <c r="D85" s="417"/>
      <c r="E85" s="418"/>
      <c r="F85" s="71"/>
    </row>
    <row r="86" spans="2:6" s="84" customFormat="1" ht="15" customHeight="1">
      <c r="B86" s="551" t="s">
        <v>62</v>
      </c>
      <c r="C86" s="562"/>
      <c r="D86" s="564">
        <f>+D77+D83</f>
        <v>694919.57025</v>
      </c>
      <c r="E86" s="546">
        <f>+E77+E83</f>
        <v>2267522.55772575</v>
      </c>
      <c r="F86" s="93"/>
    </row>
    <row r="87" spans="2:6" s="84" customFormat="1" ht="15" customHeight="1">
      <c r="B87" s="552"/>
      <c r="C87" s="563"/>
      <c r="D87" s="565"/>
      <c r="E87" s="547"/>
      <c r="F87" s="93"/>
    </row>
    <row r="89" spans="2:5" ht="15">
      <c r="B89" s="140"/>
      <c r="D89" s="419"/>
      <c r="E89" s="314"/>
    </row>
    <row r="90" spans="4:5" ht="12.75">
      <c r="D90" s="204"/>
      <c r="E90" s="204"/>
    </row>
    <row r="91" spans="4:5" ht="12.75">
      <c r="D91" s="315"/>
      <c r="E91" s="315"/>
    </row>
    <row r="92" spans="4:5" ht="12.75">
      <c r="D92" s="263"/>
      <c r="E92" s="263"/>
    </row>
  </sheetData>
  <sheetProtection/>
  <mergeCells count="18">
    <mergeCell ref="B10:E10"/>
    <mergeCell ref="B11:B12"/>
    <mergeCell ref="C11:C12"/>
    <mergeCell ref="E11:E12"/>
    <mergeCell ref="D11:D12"/>
    <mergeCell ref="E86:E87"/>
    <mergeCell ref="B86:B87"/>
    <mergeCell ref="C86:C87"/>
    <mergeCell ref="D86:D87"/>
    <mergeCell ref="B73:E73"/>
    <mergeCell ref="B74:B75"/>
    <mergeCell ref="C74:C75"/>
    <mergeCell ref="D74:D75"/>
    <mergeCell ref="E74:E75"/>
    <mergeCell ref="B61:B62"/>
    <mergeCell ref="C61:C62"/>
    <mergeCell ref="D61:D62"/>
    <mergeCell ref="E61:E62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65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65.8515625" style="90" customWidth="1"/>
    <col min="3" max="3" width="11.7109375" style="90" customWidth="1"/>
    <col min="4" max="5" width="19.7109375" style="90" customWidth="1"/>
    <col min="6" max="6" width="8.421875" style="90" customWidth="1"/>
    <col min="7" max="16384" width="11.421875" style="90" customWidth="1"/>
  </cols>
  <sheetData>
    <row r="1" spans="2:5" s="142" customFormat="1" ht="18.75" customHeight="1">
      <c r="B1" s="569"/>
      <c r="C1" s="569"/>
      <c r="D1" s="569"/>
      <c r="E1" s="569"/>
    </row>
    <row r="2" spans="2:5" s="142" customFormat="1" ht="18.75" customHeight="1">
      <c r="B2" s="569"/>
      <c r="C2" s="569"/>
      <c r="D2" s="569"/>
      <c r="E2" s="569"/>
    </row>
    <row r="3" spans="2:5" s="142" customFormat="1" ht="11.25" customHeight="1">
      <c r="B3" s="569"/>
      <c r="C3" s="569"/>
      <c r="D3" s="569"/>
      <c r="E3" s="569"/>
    </row>
    <row r="4" spans="2:11" s="142" customFormat="1" ht="15" customHeight="1">
      <c r="B4" s="569"/>
      <c r="C4" s="569"/>
      <c r="D4" s="569"/>
      <c r="E4" s="569"/>
      <c r="G4" s="200"/>
      <c r="H4" s="200"/>
      <c r="I4" s="200"/>
      <c r="J4" s="200"/>
      <c r="K4" s="200"/>
    </row>
    <row r="5" spans="2:11" ht="18">
      <c r="B5" s="135" t="s">
        <v>15</v>
      </c>
      <c r="C5" s="99"/>
      <c r="D5" s="99"/>
      <c r="E5" s="99"/>
      <c r="G5" s="138"/>
      <c r="H5" s="138"/>
      <c r="I5" s="138"/>
      <c r="J5" s="138"/>
      <c r="K5" s="138"/>
    </row>
    <row r="6" spans="2:11" ht="18">
      <c r="B6" s="348" t="s">
        <v>139</v>
      </c>
      <c r="C6" s="348"/>
      <c r="D6" s="348"/>
      <c r="E6" s="348"/>
      <c r="F6" s="141"/>
      <c r="G6" s="138"/>
      <c r="H6" s="138"/>
      <c r="I6" s="138"/>
      <c r="J6" s="138"/>
      <c r="K6" s="138"/>
    </row>
    <row r="7" spans="2:11" ht="18">
      <c r="B7" s="348" t="s">
        <v>138</v>
      </c>
      <c r="C7" s="348"/>
      <c r="D7" s="348"/>
      <c r="E7" s="348"/>
      <c r="F7" s="141"/>
      <c r="G7" s="138"/>
      <c r="H7" s="138"/>
      <c r="I7" s="138"/>
      <c r="J7" s="138"/>
      <c r="K7" s="138"/>
    </row>
    <row r="8" spans="2:11" ht="16.5">
      <c r="B8" s="376" t="s">
        <v>108</v>
      </c>
      <c r="C8" s="194"/>
      <c r="D8" s="194"/>
      <c r="E8" s="194"/>
      <c r="G8" s="138"/>
      <c r="H8" s="138"/>
      <c r="I8" s="138"/>
      <c r="J8" s="138"/>
      <c r="K8" s="138"/>
    </row>
    <row r="9" spans="2:11" ht="15.75">
      <c r="B9" s="139" t="str">
        <f>+'DEP-C2'!B9</f>
        <v>Al 28 de febrero de 2017</v>
      </c>
      <c r="C9" s="139"/>
      <c r="D9" s="139"/>
      <c r="E9" s="285"/>
      <c r="F9" s="420">
        <f>+Portada!H39</f>
        <v>3.263</v>
      </c>
      <c r="G9" s="138"/>
      <c r="H9" s="138"/>
      <c r="I9" s="138"/>
      <c r="J9" s="138"/>
      <c r="K9" s="138"/>
    </row>
    <row r="10" spans="2:11" ht="9.75" customHeight="1">
      <c r="B10" s="194"/>
      <c r="C10" s="194"/>
      <c r="D10" s="194"/>
      <c r="E10" s="194"/>
      <c r="G10" s="138"/>
      <c r="H10" s="138"/>
      <c r="I10" s="138"/>
      <c r="J10" s="138"/>
      <c r="K10" s="138"/>
    </row>
    <row r="11" spans="2:11" ht="16.5" customHeight="1">
      <c r="B11" s="452" t="s">
        <v>248</v>
      </c>
      <c r="C11" s="572" t="s">
        <v>104</v>
      </c>
      <c r="D11" s="570" t="s">
        <v>90</v>
      </c>
      <c r="E11" s="538" t="s">
        <v>170</v>
      </c>
      <c r="G11" s="138"/>
      <c r="H11" s="138"/>
      <c r="I11" s="138"/>
      <c r="J11" s="138"/>
      <c r="K11" s="138"/>
    </row>
    <row r="12" spans="2:11" s="84" customFormat="1" ht="16.5" customHeight="1">
      <c r="B12" s="451" t="s">
        <v>249</v>
      </c>
      <c r="C12" s="573"/>
      <c r="D12" s="571"/>
      <c r="E12" s="539"/>
      <c r="G12" s="172"/>
      <c r="H12" s="172"/>
      <c r="I12" s="172"/>
      <c r="J12" s="172"/>
      <c r="K12" s="172"/>
    </row>
    <row r="13" spans="2:11" s="84" customFormat="1" ht="9.75" customHeight="1">
      <c r="B13" s="284"/>
      <c r="C13" s="148"/>
      <c r="D13" s="100"/>
      <c r="E13" s="100"/>
      <c r="G13" s="172"/>
      <c r="H13" s="172"/>
      <c r="I13" s="172"/>
      <c r="J13" s="172"/>
      <c r="K13" s="172"/>
    </row>
    <row r="14" spans="2:11" s="65" customFormat="1" ht="16.5" customHeight="1">
      <c r="B14" s="405" t="s">
        <v>92</v>
      </c>
      <c r="C14" s="405"/>
      <c r="D14" s="383">
        <f>+D15+D18+D20+D23</f>
        <v>1543983.3394000002</v>
      </c>
      <c r="E14" s="383">
        <f>+E15+E18+E20+E23</f>
        <v>5038017.63647</v>
      </c>
      <c r="G14" s="171"/>
      <c r="H14" s="171"/>
      <c r="I14" s="171"/>
      <c r="J14" s="171"/>
      <c r="K14" s="171"/>
    </row>
    <row r="15" spans="2:11" s="65" customFormat="1" ht="16.5" customHeight="1">
      <c r="B15" s="73" t="s">
        <v>35</v>
      </c>
      <c r="C15" s="74"/>
      <c r="D15" s="392">
        <f>SUM(D16:D17)</f>
        <v>417622.13106000004</v>
      </c>
      <c r="E15" s="392">
        <f>SUM(E16:E17)</f>
        <v>1362701.0136499999</v>
      </c>
      <c r="G15" s="171"/>
      <c r="H15" s="171"/>
      <c r="I15" s="171"/>
      <c r="J15" s="171"/>
      <c r="K15" s="171"/>
    </row>
    <row r="16" spans="2:11" s="65" customFormat="1" ht="16.5" customHeight="1">
      <c r="B16" s="437" t="s">
        <v>156</v>
      </c>
      <c r="C16" s="74" t="s">
        <v>106</v>
      </c>
      <c r="D16" s="448">
        <v>416666.66666000005</v>
      </c>
      <c r="E16" s="448">
        <f>ROUND(+D16*$F$9,5)</f>
        <v>1359583.33331</v>
      </c>
      <c r="G16" s="486"/>
      <c r="H16" s="171"/>
      <c r="I16" s="171"/>
      <c r="J16" s="171"/>
      <c r="K16" s="171"/>
    </row>
    <row r="17" spans="2:11" s="65" customFormat="1" ht="16.5" customHeight="1">
      <c r="B17" s="437" t="s">
        <v>162</v>
      </c>
      <c r="C17" s="74" t="s">
        <v>105</v>
      </c>
      <c r="D17" s="448">
        <v>955.4644</v>
      </c>
      <c r="E17" s="448">
        <f aca="true" t="shared" si="0" ref="E17:E22">ROUND(+D17*$F$9,5)</f>
        <v>3117.68034</v>
      </c>
      <c r="G17" s="486"/>
      <c r="H17" s="171"/>
      <c r="I17" s="171"/>
      <c r="J17" s="171"/>
      <c r="K17" s="171"/>
    </row>
    <row r="18" spans="2:11" s="65" customFormat="1" ht="16.5" customHeight="1">
      <c r="B18" s="73" t="s">
        <v>128</v>
      </c>
      <c r="C18" s="74"/>
      <c r="D18" s="392">
        <f>+D19</f>
        <v>2317.52613</v>
      </c>
      <c r="E18" s="392">
        <f>+E19</f>
        <v>7562.08776</v>
      </c>
      <c r="G18" s="171"/>
      <c r="H18" s="171"/>
      <c r="I18" s="171"/>
      <c r="J18" s="171"/>
      <c r="K18" s="171"/>
    </row>
    <row r="19" spans="2:11" s="65" customFormat="1" ht="16.5" customHeight="1">
      <c r="B19" s="437" t="s">
        <v>199</v>
      </c>
      <c r="C19" s="74" t="s">
        <v>105</v>
      </c>
      <c r="D19" s="448">
        <v>2317.52613</v>
      </c>
      <c r="E19" s="448">
        <f t="shared" si="0"/>
        <v>7562.08776</v>
      </c>
      <c r="G19" s="171"/>
      <c r="H19" s="171"/>
      <c r="I19" s="171"/>
      <c r="J19" s="171"/>
      <c r="K19" s="171"/>
    </row>
    <row r="20" spans="2:11" s="65" customFormat="1" ht="16.5" customHeight="1">
      <c r="B20" s="73" t="s">
        <v>91</v>
      </c>
      <c r="C20" s="73"/>
      <c r="D20" s="392">
        <f>SUM(D21:D22)</f>
        <v>954430.40276</v>
      </c>
      <c r="E20" s="392">
        <f>SUM(E21:E22)</f>
        <v>3114306.4042100003</v>
      </c>
      <c r="G20" s="171"/>
      <c r="H20" s="171"/>
      <c r="I20" s="171"/>
      <c r="J20" s="171"/>
      <c r="K20" s="171"/>
    </row>
    <row r="21" spans="2:11" s="65" customFormat="1" ht="16.5" customHeight="1">
      <c r="B21" s="437" t="s">
        <v>246</v>
      </c>
      <c r="C21" s="74" t="s">
        <v>105</v>
      </c>
      <c r="D21" s="448">
        <v>681964.25185</v>
      </c>
      <c r="E21" s="448">
        <f t="shared" si="0"/>
        <v>2225249.35379</v>
      </c>
      <c r="G21" s="171"/>
      <c r="H21" s="171"/>
      <c r="I21" s="171"/>
      <c r="J21" s="171"/>
      <c r="K21" s="171"/>
    </row>
    <row r="22" spans="2:11" s="65" customFormat="1" ht="16.5" customHeight="1">
      <c r="B22" s="437" t="s">
        <v>196</v>
      </c>
      <c r="C22" s="74" t="s">
        <v>105</v>
      </c>
      <c r="D22" s="448">
        <v>272466.15091</v>
      </c>
      <c r="E22" s="448">
        <f t="shared" si="0"/>
        <v>889057.05042</v>
      </c>
      <c r="G22" s="171"/>
      <c r="H22" s="171"/>
      <c r="I22" s="171"/>
      <c r="J22" s="171"/>
      <c r="K22" s="171"/>
    </row>
    <row r="23" spans="2:11" s="65" customFormat="1" ht="16.5" customHeight="1">
      <c r="B23" s="73" t="s">
        <v>36</v>
      </c>
      <c r="C23" s="74"/>
      <c r="D23" s="392">
        <f>SUM(D24:D25)</f>
        <v>169613.27945</v>
      </c>
      <c r="E23" s="392">
        <f>SUM(E24:E25)</f>
        <v>553448.13085</v>
      </c>
      <c r="G23" s="171"/>
      <c r="H23" s="171"/>
      <c r="I23" s="171"/>
      <c r="J23" s="171"/>
      <c r="K23" s="171"/>
    </row>
    <row r="24" spans="2:11" s="65" customFormat="1" ht="16.5" customHeight="1">
      <c r="B24" s="437" t="s">
        <v>0</v>
      </c>
      <c r="C24" s="74" t="s">
        <v>105</v>
      </c>
      <c r="D24" s="448">
        <v>169463.89102</v>
      </c>
      <c r="E24" s="448">
        <f>ROUND(+D24*$F$9,5)</f>
        <v>552960.6764</v>
      </c>
      <c r="G24" s="171"/>
      <c r="H24" s="171"/>
      <c r="I24" s="171"/>
      <c r="J24" s="171"/>
      <c r="K24" s="171"/>
    </row>
    <row r="25" spans="2:11" s="65" customFormat="1" ht="16.5" customHeight="1">
      <c r="B25" s="437" t="s">
        <v>197</v>
      </c>
      <c r="C25" s="74" t="s">
        <v>105</v>
      </c>
      <c r="D25" s="448">
        <v>149.38843</v>
      </c>
      <c r="E25" s="448">
        <f>ROUND(+D25*$F$9,5)</f>
        <v>487.45445</v>
      </c>
      <c r="G25" s="171"/>
      <c r="H25" s="171"/>
      <c r="I25" s="171"/>
      <c r="J25" s="171"/>
      <c r="K25" s="171"/>
    </row>
    <row r="26" spans="2:11" s="65" customFormat="1" ht="12" customHeight="1">
      <c r="B26" s="69"/>
      <c r="C26" s="74"/>
      <c r="D26" s="381"/>
      <c r="E26" s="381"/>
      <c r="G26" s="171"/>
      <c r="H26" s="171"/>
      <c r="I26" s="171"/>
      <c r="J26" s="171"/>
      <c r="K26" s="171"/>
    </row>
    <row r="27" spans="2:11" s="65" customFormat="1" ht="21.75" customHeight="1">
      <c r="B27" s="405" t="s">
        <v>93</v>
      </c>
      <c r="C27" s="68"/>
      <c r="D27" s="383">
        <f>+D28+D36+D38+D41+D43</f>
        <v>4728813.704410001</v>
      </c>
      <c r="E27" s="383">
        <f>+E28+E36+E38+E41+E43</f>
        <v>15430119.11749</v>
      </c>
      <c r="F27" s="234"/>
      <c r="G27" s="486"/>
      <c r="H27" s="171"/>
      <c r="I27" s="171"/>
      <c r="J27" s="171"/>
      <c r="K27" s="171"/>
    </row>
    <row r="28" spans="2:6" s="65" customFormat="1" ht="16.5" customHeight="1">
      <c r="B28" s="73" t="s">
        <v>35</v>
      </c>
      <c r="C28" s="74"/>
      <c r="D28" s="392">
        <f>SUM(D29:D35)</f>
        <v>327437.80829</v>
      </c>
      <c r="E28" s="392">
        <f>SUM(E29:E35)</f>
        <v>1068429.5684399998</v>
      </c>
      <c r="F28" s="280"/>
    </row>
    <row r="29" spans="2:7" s="65" customFormat="1" ht="16.5" customHeight="1">
      <c r="B29" s="437" t="s">
        <v>162</v>
      </c>
      <c r="C29" s="74" t="s">
        <v>105</v>
      </c>
      <c r="D29" s="448">
        <v>96230.46278</v>
      </c>
      <c r="E29" s="448">
        <f aca="true" t="shared" si="1" ref="E29:E40">ROUND(+D29*$F$9,5)</f>
        <v>314000.00005</v>
      </c>
      <c r="F29" s="222"/>
      <c r="G29" s="486"/>
    </row>
    <row r="30" spans="2:7" s="65" customFormat="1" ht="16.5" customHeight="1">
      <c r="B30" s="437" t="s">
        <v>203</v>
      </c>
      <c r="C30" s="74" t="s">
        <v>106</v>
      </c>
      <c r="D30" s="448">
        <v>82745.93931999999</v>
      </c>
      <c r="E30" s="448">
        <f t="shared" si="1"/>
        <v>270000</v>
      </c>
      <c r="F30" s="222"/>
      <c r="G30" s="486"/>
    </row>
    <row r="31" spans="2:6" s="65" customFormat="1" ht="16.5" customHeight="1">
      <c r="B31" s="437" t="s">
        <v>182</v>
      </c>
      <c r="C31" s="74" t="s">
        <v>106</v>
      </c>
      <c r="D31" s="448">
        <v>60000</v>
      </c>
      <c r="E31" s="448">
        <f t="shared" si="1"/>
        <v>195780</v>
      </c>
      <c r="F31" s="222"/>
    </row>
    <row r="32" spans="2:6" s="65" customFormat="1" ht="16.5" customHeight="1">
      <c r="B32" s="437" t="s">
        <v>175</v>
      </c>
      <c r="C32" s="74" t="s">
        <v>106</v>
      </c>
      <c r="D32" s="448">
        <v>59170.16549</v>
      </c>
      <c r="E32" s="448">
        <f t="shared" si="1"/>
        <v>193072.24999</v>
      </c>
      <c r="F32" s="222"/>
    </row>
    <row r="33" spans="2:6" s="65" customFormat="1" ht="16.5" customHeight="1">
      <c r="B33" s="437" t="s">
        <v>202</v>
      </c>
      <c r="C33" s="74" t="s">
        <v>106</v>
      </c>
      <c r="D33" s="448">
        <v>16000</v>
      </c>
      <c r="E33" s="448">
        <f t="shared" si="1"/>
        <v>52208</v>
      </c>
      <c r="F33" s="222"/>
    </row>
    <row r="34" spans="2:6" s="65" customFormat="1" ht="16.5" customHeight="1">
      <c r="B34" s="437" t="s">
        <v>164</v>
      </c>
      <c r="C34" s="74" t="s">
        <v>105</v>
      </c>
      <c r="D34" s="448">
        <v>9000</v>
      </c>
      <c r="E34" s="448">
        <f t="shared" si="1"/>
        <v>29367</v>
      </c>
      <c r="F34" s="222"/>
    </row>
    <row r="35" spans="2:7" s="65" customFormat="1" ht="16.5" customHeight="1">
      <c r="B35" s="437" t="s">
        <v>198</v>
      </c>
      <c r="C35" s="74" t="s">
        <v>105</v>
      </c>
      <c r="D35" s="448">
        <v>4291.2407</v>
      </c>
      <c r="E35" s="448">
        <f t="shared" si="1"/>
        <v>14002.3184</v>
      </c>
      <c r="F35" s="222"/>
      <c r="G35" s="395"/>
    </row>
    <row r="36" spans="2:5" s="65" customFormat="1" ht="16.5" customHeight="1">
      <c r="B36" s="73" t="s">
        <v>128</v>
      </c>
      <c r="C36" s="74"/>
      <c r="D36" s="392">
        <f>+D37</f>
        <v>85718.66380000001</v>
      </c>
      <c r="E36" s="392">
        <f>+E37</f>
        <v>279699.99998</v>
      </c>
    </row>
    <row r="37" spans="2:7" s="65" customFormat="1" ht="16.5" customHeight="1">
      <c r="B37" s="437" t="s">
        <v>199</v>
      </c>
      <c r="C37" s="74" t="s">
        <v>105</v>
      </c>
      <c r="D37" s="448">
        <v>85718.66380000001</v>
      </c>
      <c r="E37" s="448">
        <f t="shared" si="1"/>
        <v>279699.99998</v>
      </c>
      <c r="G37" s="395"/>
    </row>
    <row r="38" spans="2:5" s="65" customFormat="1" ht="16.5" customHeight="1">
      <c r="B38" s="73" t="s">
        <v>78</v>
      </c>
      <c r="C38" s="74"/>
      <c r="D38" s="392">
        <f>SUM(D39:D40)</f>
        <v>4020315.66043</v>
      </c>
      <c r="E38" s="392">
        <f>SUM(E39:E40)</f>
        <v>13118289.99999</v>
      </c>
    </row>
    <row r="39" spans="2:5" s="65" customFormat="1" ht="16.5" customHeight="1">
      <c r="B39" s="450" t="s">
        <v>245</v>
      </c>
      <c r="C39" s="74" t="s">
        <v>106</v>
      </c>
      <c r="D39" s="448">
        <v>3576248.85075</v>
      </c>
      <c r="E39" s="448">
        <f t="shared" si="1"/>
        <v>11669300</v>
      </c>
    </row>
    <row r="40" spans="2:5" s="65" customFormat="1" ht="16.5" customHeight="1">
      <c r="B40" s="450" t="s">
        <v>244</v>
      </c>
      <c r="C40" s="74" t="s">
        <v>105</v>
      </c>
      <c r="D40" s="448">
        <f>313498.31443+130568.49525</f>
        <v>444066.80968000006</v>
      </c>
      <c r="E40" s="448">
        <f t="shared" si="1"/>
        <v>1448989.99999</v>
      </c>
    </row>
    <row r="41" spans="2:5" s="65" customFormat="1" ht="16.5" customHeight="1">
      <c r="B41" s="73" t="s">
        <v>91</v>
      </c>
      <c r="C41" s="73"/>
      <c r="D41" s="392">
        <f>+D42</f>
        <v>108350.23592</v>
      </c>
      <c r="E41" s="392">
        <f>+E42</f>
        <v>353546.81981</v>
      </c>
    </row>
    <row r="42" spans="2:5" s="65" customFormat="1" ht="16.5" customHeight="1">
      <c r="B42" s="437" t="s">
        <v>246</v>
      </c>
      <c r="C42" s="74" t="s">
        <v>105</v>
      </c>
      <c r="D42" s="448">
        <v>108350.23592</v>
      </c>
      <c r="E42" s="448">
        <f>ROUND(+D42*$F$9,5)</f>
        <v>353546.81981</v>
      </c>
    </row>
    <row r="43" spans="2:5" s="65" customFormat="1" ht="16.5" customHeight="1">
      <c r="B43" s="73" t="s">
        <v>36</v>
      </c>
      <c r="C43" s="74"/>
      <c r="D43" s="392">
        <f>SUM(D44:D46)</f>
        <v>186991.33597000001</v>
      </c>
      <c r="E43" s="392">
        <f>SUM(E44:E46)</f>
        <v>610152.72927</v>
      </c>
    </row>
    <row r="44" spans="2:5" s="65" customFormat="1" ht="16.5" customHeight="1">
      <c r="B44" s="437" t="s">
        <v>237</v>
      </c>
      <c r="C44" s="74" t="s">
        <v>105</v>
      </c>
      <c r="D44" s="448">
        <v>85660.59026</v>
      </c>
      <c r="E44" s="448">
        <f>ROUND(+D44*$F$9,5)</f>
        <v>279510.50602</v>
      </c>
    </row>
    <row r="45" spans="2:7" s="65" customFormat="1" ht="16.5" customHeight="1">
      <c r="B45" s="437" t="s">
        <v>173</v>
      </c>
      <c r="C45" s="74" t="s">
        <v>106</v>
      </c>
      <c r="D45" s="448">
        <v>65485.74931</v>
      </c>
      <c r="E45" s="448">
        <f>ROUND(+D45*$F$9,5)</f>
        <v>213680</v>
      </c>
      <c r="G45" s="395"/>
    </row>
    <row r="46" spans="2:8" s="65" customFormat="1" ht="16.5" customHeight="1">
      <c r="B46" s="437" t="s">
        <v>174</v>
      </c>
      <c r="C46" s="74" t="s">
        <v>106</v>
      </c>
      <c r="D46" s="448">
        <v>35844.9964</v>
      </c>
      <c r="E46" s="448">
        <f>ROUND(+D46*$F$9,5)</f>
        <v>116962.22325</v>
      </c>
      <c r="H46" s="404"/>
    </row>
    <row r="47" spans="2:5" s="65" customFormat="1" ht="9.75" customHeight="1">
      <c r="B47" s="149"/>
      <c r="C47" s="150"/>
      <c r="D47" s="418"/>
      <c r="E47" s="418"/>
    </row>
    <row r="48" spans="2:5" s="84" customFormat="1" ht="15" customHeight="1">
      <c r="B48" s="574" t="s">
        <v>103</v>
      </c>
      <c r="C48" s="151"/>
      <c r="D48" s="578">
        <f>+D27+D14</f>
        <v>6272797.043810001</v>
      </c>
      <c r="E48" s="546">
        <f>+E27+E14</f>
        <v>20468136.75396</v>
      </c>
    </row>
    <row r="49" spans="2:5" s="84" customFormat="1" ht="15" customHeight="1">
      <c r="B49" s="552"/>
      <c r="C49" s="152"/>
      <c r="D49" s="547"/>
      <c r="E49" s="547"/>
    </row>
    <row r="50" spans="2:5" ht="6" customHeight="1">
      <c r="B50" s="153"/>
      <c r="C50" s="153"/>
      <c r="D50" s="101"/>
      <c r="E50" s="101"/>
    </row>
    <row r="51" spans="2:5" ht="14.25">
      <c r="B51" s="89" t="s">
        <v>247</v>
      </c>
      <c r="C51" s="89"/>
      <c r="D51" s="175"/>
      <c r="E51" s="65"/>
    </row>
    <row r="52" spans="2:5" ht="14.25">
      <c r="B52" s="89" t="s">
        <v>258</v>
      </c>
      <c r="C52" s="89"/>
      <c r="D52" s="175"/>
      <c r="E52" s="65"/>
    </row>
    <row r="53" spans="2:5" ht="12.75">
      <c r="B53" s="89" t="s">
        <v>259</v>
      </c>
      <c r="C53" s="89"/>
      <c r="D53" s="89"/>
      <c r="E53" s="223"/>
    </row>
    <row r="54" spans="2:5" ht="12.75">
      <c r="B54" s="568"/>
      <c r="C54" s="568"/>
      <c r="D54" s="568"/>
      <c r="E54" s="223"/>
    </row>
    <row r="55" spans="4:6" ht="15">
      <c r="D55" s="445"/>
      <c r="F55" s="231"/>
    </row>
    <row r="56" spans="2:5" ht="12.75">
      <c r="B56" s="89"/>
      <c r="D56" s="264"/>
      <c r="E56" s="264"/>
    </row>
    <row r="57" spans="2:5" ht="12.75">
      <c r="B57" s="89"/>
      <c r="D57" s="264"/>
      <c r="E57" s="264"/>
    </row>
    <row r="58" ht="12.75">
      <c r="D58" s="102"/>
    </row>
    <row r="59" spans="2:5" s="142" customFormat="1" ht="18">
      <c r="B59" s="99" t="s">
        <v>124</v>
      </c>
      <c r="C59" s="99"/>
      <c r="D59" s="99"/>
      <c r="E59" s="99"/>
    </row>
    <row r="60" spans="2:6" s="142" customFormat="1" ht="18">
      <c r="B60" s="567" t="s">
        <v>139</v>
      </c>
      <c r="C60" s="567"/>
      <c r="D60" s="567"/>
      <c r="E60" s="567"/>
      <c r="F60" s="141"/>
    </row>
    <row r="61" spans="2:6" s="142" customFormat="1" ht="18">
      <c r="B61" s="567" t="s">
        <v>140</v>
      </c>
      <c r="C61" s="567"/>
      <c r="D61" s="567"/>
      <c r="E61" s="567"/>
      <c r="F61" s="141"/>
    </row>
    <row r="62" spans="2:5" ht="16.5">
      <c r="B62" s="577" t="s">
        <v>108</v>
      </c>
      <c r="C62" s="577"/>
      <c r="D62" s="577"/>
      <c r="E62" s="577"/>
    </row>
    <row r="63" spans="2:5" ht="15.75">
      <c r="B63" s="550" t="str">
        <f>+B9</f>
        <v>Al 28 de febrero de 2017</v>
      </c>
      <c r="C63" s="550"/>
      <c r="D63" s="550"/>
      <c r="E63" s="272"/>
    </row>
    <row r="64" spans="2:5" ht="9.75" customHeight="1">
      <c r="B64" s="194"/>
      <c r="C64" s="194"/>
      <c r="D64" s="194"/>
      <c r="E64" s="194"/>
    </row>
    <row r="65" spans="2:5" ht="16.5" customHeight="1">
      <c r="B65" s="452" t="s">
        <v>248</v>
      </c>
      <c r="C65" s="572" t="s">
        <v>104</v>
      </c>
      <c r="D65" s="570" t="s">
        <v>90</v>
      </c>
      <c r="E65" s="538" t="s">
        <v>170</v>
      </c>
    </row>
    <row r="66" spans="2:5" s="84" customFormat="1" ht="16.5" customHeight="1">
      <c r="B66" s="451" t="s">
        <v>249</v>
      </c>
      <c r="C66" s="573"/>
      <c r="D66" s="571"/>
      <c r="E66" s="539"/>
    </row>
    <row r="67" spans="2:5" s="84" customFormat="1" ht="9.75" customHeight="1">
      <c r="B67" s="201"/>
      <c r="C67" s="148"/>
      <c r="D67" s="100"/>
      <c r="E67" s="100"/>
    </row>
    <row r="68" spans="2:5" s="65" customFormat="1" ht="16.5" customHeight="1">
      <c r="B68" s="405" t="s">
        <v>92</v>
      </c>
      <c r="C68" s="405"/>
      <c r="D68" s="453">
        <f>+D69+D84+D86</f>
        <v>694919.5702500001</v>
      </c>
      <c r="E68" s="453">
        <f>+E69+E84+E86</f>
        <v>2267522.55771</v>
      </c>
    </row>
    <row r="69" spans="2:5" s="65" customFormat="1" ht="16.5" customHeight="1">
      <c r="B69" s="73" t="s">
        <v>35</v>
      </c>
      <c r="C69" s="73"/>
      <c r="D69" s="454">
        <f>SUM(D70:D83)</f>
        <v>595074.50094</v>
      </c>
      <c r="E69" s="454">
        <f>SUM(E70:E83)</f>
        <v>1941728.0965500001</v>
      </c>
    </row>
    <row r="70" spans="2:5" s="65" customFormat="1" ht="16.5" customHeight="1">
      <c r="B70" s="437" t="s">
        <v>162</v>
      </c>
      <c r="C70" s="74" t="s">
        <v>105</v>
      </c>
      <c r="D70" s="448">
        <v>203642.31736000002</v>
      </c>
      <c r="E70" s="448">
        <f aca="true" t="shared" si="2" ref="E70:E88">ROUND(+D70*$F$9,5)</f>
        <v>664484.88155</v>
      </c>
    </row>
    <row r="71" spans="2:5" s="65" customFormat="1" ht="16.5" customHeight="1">
      <c r="B71" s="437" t="s">
        <v>175</v>
      </c>
      <c r="C71" s="74" t="s">
        <v>106</v>
      </c>
      <c r="D71" s="448">
        <v>103646.49096</v>
      </c>
      <c r="E71" s="448">
        <f t="shared" si="2"/>
        <v>338198.5</v>
      </c>
    </row>
    <row r="72" spans="2:5" s="65" customFormat="1" ht="16.5" customHeight="1">
      <c r="B72" s="437" t="s">
        <v>202</v>
      </c>
      <c r="C72" s="74" t="s">
        <v>106</v>
      </c>
      <c r="D72" s="448">
        <v>103000</v>
      </c>
      <c r="E72" s="448">
        <f t="shared" si="2"/>
        <v>336089</v>
      </c>
    </row>
    <row r="73" spans="2:5" s="65" customFormat="1" ht="16.5" customHeight="1">
      <c r="B73" s="437" t="s">
        <v>182</v>
      </c>
      <c r="C73" s="74" t="s">
        <v>106</v>
      </c>
      <c r="D73" s="448">
        <v>16000</v>
      </c>
      <c r="E73" s="448">
        <f t="shared" si="2"/>
        <v>52208</v>
      </c>
    </row>
    <row r="74" spans="2:5" s="65" customFormat="1" ht="16.5" customHeight="1">
      <c r="B74" s="437" t="s">
        <v>207</v>
      </c>
      <c r="C74" s="74" t="s">
        <v>105</v>
      </c>
      <c r="D74" s="448">
        <v>46501.783890000006</v>
      </c>
      <c r="E74" s="448">
        <f t="shared" si="2"/>
        <v>151735.32083</v>
      </c>
    </row>
    <row r="75" spans="2:5" s="65" customFormat="1" ht="16.5" customHeight="1">
      <c r="B75" s="437" t="s">
        <v>200</v>
      </c>
      <c r="C75" s="74" t="s">
        <v>106</v>
      </c>
      <c r="D75" s="448">
        <v>40000</v>
      </c>
      <c r="E75" s="448">
        <f t="shared" si="2"/>
        <v>130520</v>
      </c>
    </row>
    <row r="76" spans="2:5" s="65" customFormat="1" ht="16.5" customHeight="1">
      <c r="B76" s="437" t="s">
        <v>186</v>
      </c>
      <c r="C76" s="74" t="s">
        <v>106</v>
      </c>
      <c r="D76" s="448">
        <v>20000</v>
      </c>
      <c r="E76" s="448">
        <f t="shared" si="2"/>
        <v>65260</v>
      </c>
    </row>
    <row r="77" spans="2:5" s="65" customFormat="1" ht="16.5" customHeight="1">
      <c r="B77" s="437" t="s">
        <v>206</v>
      </c>
      <c r="C77" s="74" t="s">
        <v>105</v>
      </c>
      <c r="D77" s="448">
        <v>18387.98652</v>
      </c>
      <c r="E77" s="448">
        <f t="shared" si="2"/>
        <v>60000.00001</v>
      </c>
    </row>
    <row r="78" spans="2:5" s="65" customFormat="1" ht="16.5" customHeight="1">
      <c r="B78" s="437" t="s">
        <v>208</v>
      </c>
      <c r="C78" s="74" t="s">
        <v>105</v>
      </c>
      <c r="D78" s="448">
        <v>14000</v>
      </c>
      <c r="E78" s="448">
        <f t="shared" si="2"/>
        <v>45682</v>
      </c>
    </row>
    <row r="79" spans="2:5" s="65" customFormat="1" ht="16.5" customHeight="1">
      <c r="B79" s="437" t="s">
        <v>198</v>
      </c>
      <c r="C79" s="74" t="s">
        <v>105</v>
      </c>
      <c r="D79" s="448">
        <v>12808.637429999999</v>
      </c>
      <c r="E79" s="448">
        <f t="shared" si="2"/>
        <v>41794.58393</v>
      </c>
    </row>
    <row r="80" spans="2:5" s="65" customFormat="1" ht="16.5" customHeight="1">
      <c r="B80" s="437" t="s">
        <v>201</v>
      </c>
      <c r="C80" s="74" t="s">
        <v>105</v>
      </c>
      <c r="D80" s="448">
        <v>9806.92614</v>
      </c>
      <c r="E80" s="448">
        <f t="shared" si="2"/>
        <v>31999.99999</v>
      </c>
    </row>
    <row r="81" spans="2:5" s="65" customFormat="1" ht="16.5" customHeight="1">
      <c r="B81" s="437" t="s">
        <v>205</v>
      </c>
      <c r="C81" s="74" t="s">
        <v>105</v>
      </c>
      <c r="D81" s="448">
        <v>6000</v>
      </c>
      <c r="E81" s="448">
        <f t="shared" si="2"/>
        <v>19578</v>
      </c>
    </row>
    <row r="82" spans="2:5" s="65" customFormat="1" ht="16.5" customHeight="1">
      <c r="B82" s="437" t="s">
        <v>176</v>
      </c>
      <c r="C82" s="74" t="s">
        <v>105</v>
      </c>
      <c r="D82" s="448">
        <v>820.6589799999999</v>
      </c>
      <c r="E82" s="448">
        <f t="shared" si="2"/>
        <v>2677.81025</v>
      </c>
    </row>
    <row r="83" spans="2:5" s="65" customFormat="1" ht="16.5" customHeight="1">
      <c r="B83" s="437" t="s">
        <v>204</v>
      </c>
      <c r="C83" s="74" t="s">
        <v>105</v>
      </c>
      <c r="D83" s="448">
        <v>459.69965999999994</v>
      </c>
      <c r="E83" s="448">
        <f t="shared" si="2"/>
        <v>1499.99999</v>
      </c>
    </row>
    <row r="84" spans="2:5" s="65" customFormat="1" ht="16.5" customHeight="1">
      <c r="B84" s="73" t="s">
        <v>128</v>
      </c>
      <c r="C84" s="75"/>
      <c r="D84" s="454">
        <f>+D85</f>
        <v>61293.28839</v>
      </c>
      <c r="E84" s="454">
        <f>+E85</f>
        <v>200000.00002</v>
      </c>
    </row>
    <row r="85" spans="2:5" s="65" customFormat="1" ht="16.5" customHeight="1">
      <c r="B85" s="437" t="s">
        <v>199</v>
      </c>
      <c r="C85" s="74" t="s">
        <v>105</v>
      </c>
      <c r="D85" s="448">
        <v>61293.28839</v>
      </c>
      <c r="E85" s="448">
        <f t="shared" si="2"/>
        <v>200000.00002</v>
      </c>
    </row>
    <row r="86" spans="2:5" s="65" customFormat="1" ht="16.5" customHeight="1">
      <c r="B86" s="73" t="s">
        <v>36</v>
      </c>
      <c r="C86" s="74"/>
      <c r="D86" s="392">
        <f>SUM(D87:D88)</f>
        <v>38551.78092</v>
      </c>
      <c r="E86" s="392">
        <f>SUM(E87:E88)</f>
        <v>125794.46114</v>
      </c>
    </row>
    <row r="87" spans="2:7" s="65" customFormat="1" ht="16.5" customHeight="1">
      <c r="B87" s="437" t="s">
        <v>250</v>
      </c>
      <c r="C87" s="74" t="s">
        <v>106</v>
      </c>
      <c r="D87" s="448">
        <v>35900</v>
      </c>
      <c r="E87" s="448">
        <f t="shared" si="2"/>
        <v>117141.7</v>
      </c>
      <c r="G87" s="395"/>
    </row>
    <row r="88" spans="2:8" s="65" customFormat="1" ht="16.5" customHeight="1">
      <c r="B88" s="437" t="s">
        <v>0</v>
      </c>
      <c r="C88" s="74" t="s">
        <v>105</v>
      </c>
      <c r="D88" s="448">
        <v>2651.78092</v>
      </c>
      <c r="E88" s="448">
        <f t="shared" si="2"/>
        <v>8652.76114</v>
      </c>
      <c r="H88" s="395"/>
    </row>
    <row r="89" spans="2:5" s="65" customFormat="1" ht="9.75" customHeight="1">
      <c r="B89" s="149"/>
      <c r="C89" s="149"/>
      <c r="D89" s="455"/>
      <c r="E89" s="455"/>
    </row>
    <row r="90" spans="2:7" s="84" customFormat="1" ht="15" customHeight="1">
      <c r="B90" s="574" t="s">
        <v>103</v>
      </c>
      <c r="C90" s="151"/>
      <c r="D90" s="575">
        <f>+D68</f>
        <v>694919.5702500001</v>
      </c>
      <c r="E90" s="575">
        <f>+E68</f>
        <v>2267522.55771</v>
      </c>
      <c r="G90" s="65"/>
    </row>
    <row r="91" spans="2:7" s="84" customFormat="1" ht="15" customHeight="1">
      <c r="B91" s="552"/>
      <c r="C91" s="152"/>
      <c r="D91" s="576"/>
      <c r="E91" s="576"/>
      <c r="G91" s="65"/>
    </row>
    <row r="92" spans="2:7" ht="7.5" customHeight="1">
      <c r="B92" s="153"/>
      <c r="C92" s="153"/>
      <c r="D92" s="101"/>
      <c r="E92" s="101"/>
      <c r="G92" s="65"/>
    </row>
    <row r="93" spans="4:7" ht="14.25">
      <c r="D93" s="487"/>
      <c r="E93" s="265"/>
      <c r="G93" s="65"/>
    </row>
    <row r="94" spans="4:7" ht="14.25">
      <c r="D94" s="266"/>
      <c r="G94" s="65"/>
    </row>
    <row r="95" spans="4:7" ht="14.25">
      <c r="D95" s="102"/>
      <c r="E95" s="102"/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</sheetData>
  <sheetProtection/>
  <mergeCells count="21">
    <mergeCell ref="C65:C66"/>
    <mergeCell ref="C11:C12"/>
    <mergeCell ref="B90:B91"/>
    <mergeCell ref="D90:D91"/>
    <mergeCell ref="E90:E91"/>
    <mergeCell ref="B62:E62"/>
    <mergeCell ref="E48:E49"/>
    <mergeCell ref="D48:D49"/>
    <mergeCell ref="B48:B49"/>
    <mergeCell ref="D65:D66"/>
    <mergeCell ref="B63:D63"/>
    <mergeCell ref="B60:E60"/>
    <mergeCell ref="B61:E61"/>
    <mergeCell ref="B54:D54"/>
    <mergeCell ref="E65:E66"/>
    <mergeCell ref="B1:E1"/>
    <mergeCell ref="B2:E2"/>
    <mergeCell ref="B3:E3"/>
    <mergeCell ref="B4:E4"/>
    <mergeCell ref="E11:E12"/>
    <mergeCell ref="D11:D12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3" r:id="rId2"/>
  <ignoredErrors>
    <ignoredError sqref="E2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4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103" customWidth="1"/>
    <col min="2" max="2" width="98.8515625" style="103" customWidth="1"/>
    <col min="3" max="4" width="19.7109375" style="103" customWidth="1"/>
    <col min="5" max="5" width="15.140625" style="173" customWidth="1"/>
    <col min="6" max="6" width="11.421875" style="103" customWidth="1"/>
    <col min="7" max="7" width="21.421875" style="103" bestFit="1" customWidth="1"/>
    <col min="8" max="8" width="16.57421875" style="103" bestFit="1" customWidth="1"/>
    <col min="9" max="9" width="18.57421875" style="103" bestFit="1" customWidth="1"/>
    <col min="10" max="16384" width="11.421875" style="103" customWidth="1"/>
  </cols>
  <sheetData>
    <row r="1" ht="12.75">
      <c r="B1" s="154"/>
    </row>
    <row r="2" ht="12.75">
      <c r="B2" s="154"/>
    </row>
    <row r="3" ht="12.75">
      <c r="B3" s="154"/>
    </row>
    <row r="4" spans="2:16" ht="12.75">
      <c r="B4" s="154"/>
      <c r="P4" s="207"/>
    </row>
    <row r="5" spans="2:16" ht="18">
      <c r="B5" s="421" t="s">
        <v>16</v>
      </c>
      <c r="C5" s="421"/>
      <c r="D5" s="421"/>
      <c r="P5" s="207"/>
    </row>
    <row r="6" spans="2:16" ht="18">
      <c r="B6" s="422" t="s">
        <v>139</v>
      </c>
      <c r="C6" s="422"/>
      <c r="D6" s="422"/>
      <c r="P6" s="207"/>
    </row>
    <row r="7" spans="2:16" ht="18">
      <c r="B7" s="422" t="s">
        <v>138</v>
      </c>
      <c r="C7" s="422"/>
      <c r="D7" s="422"/>
      <c r="E7" s="316"/>
      <c r="P7" s="207"/>
    </row>
    <row r="8" spans="2:16" ht="16.5">
      <c r="B8" s="426" t="s">
        <v>60</v>
      </c>
      <c r="C8" s="423"/>
      <c r="D8" s="423"/>
      <c r="P8" s="207"/>
    </row>
    <row r="9" spans="2:16" ht="15.75">
      <c r="B9" s="424" t="str">
        <f>+'DEP-C2'!B9</f>
        <v>Al 28 de febrero de 2017</v>
      </c>
      <c r="C9" s="424"/>
      <c r="D9" s="317"/>
      <c r="E9" s="425">
        <f>+Portada!H39</f>
        <v>3.263</v>
      </c>
      <c r="P9" s="207"/>
    </row>
    <row r="10" spans="2:16" s="78" customFormat="1" ht="9.75" customHeight="1">
      <c r="B10" s="503"/>
      <c r="C10" s="503"/>
      <c r="D10" s="503"/>
      <c r="E10" s="224"/>
      <c r="P10" s="208"/>
    </row>
    <row r="11" spans="2:16" ht="16.5" customHeight="1">
      <c r="B11" s="510" t="s">
        <v>100</v>
      </c>
      <c r="C11" s="579" t="s">
        <v>90</v>
      </c>
      <c r="D11" s="581" t="s">
        <v>170</v>
      </c>
      <c r="P11" s="207"/>
    </row>
    <row r="12" spans="2:16" s="115" customFormat="1" ht="16.5" customHeight="1">
      <c r="B12" s="511"/>
      <c r="C12" s="580"/>
      <c r="D12" s="582"/>
      <c r="E12" s="225"/>
      <c r="P12" s="209"/>
    </row>
    <row r="13" spans="2:16" s="115" customFormat="1" ht="9.75" customHeight="1">
      <c r="B13" s="155"/>
      <c r="C13" s="104"/>
      <c r="D13" s="116"/>
      <c r="E13" s="225"/>
      <c r="P13" s="209"/>
    </row>
    <row r="14" spans="2:16" s="78" customFormat="1" ht="19.5" customHeight="1">
      <c r="B14" s="81" t="s">
        <v>226</v>
      </c>
      <c r="C14" s="432">
        <f>+C16+C37</f>
        <v>5482482.55586</v>
      </c>
      <c r="D14" s="432">
        <f>+D16+D37</f>
        <v>17889340.57975</v>
      </c>
      <c r="E14" s="267"/>
      <c r="F14" s="434"/>
      <c r="G14" s="318"/>
      <c r="H14" s="318"/>
      <c r="P14" s="208"/>
    </row>
    <row r="15" spans="2:16" s="78" customFormat="1" ht="9.75" customHeight="1">
      <c r="B15" s="81"/>
      <c r="C15" s="430"/>
      <c r="D15" s="432"/>
      <c r="E15" s="267"/>
      <c r="F15" s="435"/>
      <c r="G15" s="318"/>
      <c r="H15" s="318"/>
      <c r="P15" s="208"/>
    </row>
    <row r="16" spans="2:16" s="78" customFormat="1" ht="16.5" customHeight="1">
      <c r="B16" s="80" t="s">
        <v>67</v>
      </c>
      <c r="C16" s="430">
        <f>SUM(C17:C35)</f>
        <v>862019.08737</v>
      </c>
      <c r="D16" s="430">
        <f>SUM(D17:D35)</f>
        <v>2812768.282069999</v>
      </c>
      <c r="E16" s="267"/>
      <c r="F16" s="436"/>
      <c r="P16" s="208"/>
    </row>
    <row r="17" spans="2:16" s="78" customFormat="1" ht="16.5" customHeight="1">
      <c r="B17" s="427" t="s">
        <v>225</v>
      </c>
      <c r="C17" s="431">
        <v>416666.66666000005</v>
      </c>
      <c r="D17" s="431">
        <f>ROUND(+C17*$E$9,5)</f>
        <v>1359583.33331</v>
      </c>
      <c r="E17" s="226"/>
      <c r="F17" s="435"/>
      <c r="P17" s="208"/>
    </row>
    <row r="18" spans="2:16" s="78" customFormat="1" ht="16.5" customHeight="1">
      <c r="B18" s="427" t="s">
        <v>236</v>
      </c>
      <c r="C18" s="431">
        <v>199145.58359</v>
      </c>
      <c r="D18" s="431">
        <f aca="true" t="shared" si="0" ref="D18:D35">ROUND(+C18*$E$9,5)</f>
        <v>649812.03925</v>
      </c>
      <c r="E18" s="226"/>
      <c r="P18" s="208"/>
    </row>
    <row r="19" spans="2:16" s="78" customFormat="1" ht="16.5" customHeight="1">
      <c r="B19" s="427" t="s">
        <v>222</v>
      </c>
      <c r="C19" s="431">
        <v>48412.74875</v>
      </c>
      <c r="D19" s="431">
        <f t="shared" si="0"/>
        <v>157970.79917</v>
      </c>
      <c r="E19" s="226"/>
      <c r="P19" s="208"/>
    </row>
    <row r="20" spans="2:16" s="78" customFormat="1" ht="16.5" customHeight="1">
      <c r="B20" s="427" t="s">
        <v>215</v>
      </c>
      <c r="C20" s="431">
        <v>46073.641169999995</v>
      </c>
      <c r="D20" s="431">
        <f t="shared" si="0"/>
        <v>150338.29114</v>
      </c>
      <c r="E20" s="226"/>
      <c r="P20" s="208"/>
    </row>
    <row r="21" spans="2:16" s="78" customFormat="1" ht="16.5" customHeight="1">
      <c r="B21" s="427" t="s">
        <v>178</v>
      </c>
      <c r="C21" s="431">
        <v>40662.75671</v>
      </c>
      <c r="D21" s="431">
        <f t="shared" si="0"/>
        <v>132682.57514</v>
      </c>
      <c r="E21" s="226"/>
      <c r="P21" s="208"/>
    </row>
    <row r="22" spans="2:16" s="78" customFormat="1" ht="16.5" customHeight="1">
      <c r="B22" s="427" t="s">
        <v>224</v>
      </c>
      <c r="C22" s="431">
        <v>22476.294439999998</v>
      </c>
      <c r="D22" s="431">
        <f t="shared" si="0"/>
        <v>73340.14876</v>
      </c>
      <c r="E22" s="226"/>
      <c r="P22" s="208"/>
    </row>
    <row r="23" spans="2:16" s="78" customFormat="1" ht="16.5" customHeight="1">
      <c r="B23" s="427" t="s">
        <v>177</v>
      </c>
      <c r="C23" s="431">
        <v>18987.529410000003</v>
      </c>
      <c r="D23" s="431">
        <f t="shared" si="0"/>
        <v>61956.30846</v>
      </c>
      <c r="E23" s="226"/>
      <c r="P23" s="208"/>
    </row>
    <row r="24" spans="2:16" s="78" customFormat="1" ht="16.5" customHeight="1">
      <c r="B24" s="427" t="s">
        <v>71</v>
      </c>
      <c r="C24" s="431">
        <v>16222.320090000001</v>
      </c>
      <c r="D24" s="431">
        <f t="shared" si="0"/>
        <v>52933.43045</v>
      </c>
      <c r="E24" s="226"/>
      <c r="P24" s="208"/>
    </row>
    <row r="25" spans="2:16" s="78" customFormat="1" ht="16.5" customHeight="1">
      <c r="B25" s="427" t="s">
        <v>180</v>
      </c>
      <c r="C25" s="431">
        <v>15463.817460000002</v>
      </c>
      <c r="D25" s="431">
        <f t="shared" si="0"/>
        <v>50458.43637</v>
      </c>
      <c r="E25" s="226"/>
      <c r="P25" s="208"/>
    </row>
    <row r="26" spans="2:16" s="78" customFormat="1" ht="16.5" customHeight="1">
      <c r="B26" s="427" t="s">
        <v>43</v>
      </c>
      <c r="C26" s="431">
        <v>14147.41557</v>
      </c>
      <c r="D26" s="431">
        <f t="shared" si="0"/>
        <v>46163.017</v>
      </c>
      <c r="E26" s="226"/>
      <c r="P26" s="208"/>
    </row>
    <row r="27" spans="2:16" s="78" customFormat="1" ht="16.5" customHeight="1">
      <c r="B27" s="427" t="s">
        <v>216</v>
      </c>
      <c r="C27" s="431">
        <v>6284.36494</v>
      </c>
      <c r="D27" s="431">
        <f t="shared" si="0"/>
        <v>20505.8828</v>
      </c>
      <c r="E27" s="226"/>
      <c r="F27" s="395"/>
      <c r="P27" s="208"/>
    </row>
    <row r="28" spans="2:16" s="78" customFormat="1" ht="16.5" customHeight="1">
      <c r="B28" s="427" t="s">
        <v>220</v>
      </c>
      <c r="C28" s="431">
        <v>5858.665110000001</v>
      </c>
      <c r="D28" s="431">
        <f t="shared" si="0"/>
        <v>19116.82425</v>
      </c>
      <c r="E28" s="226"/>
      <c r="P28" s="208"/>
    </row>
    <row r="29" spans="2:16" s="78" customFormat="1" ht="16.5" customHeight="1">
      <c r="B29" s="427" t="s">
        <v>214</v>
      </c>
      <c r="C29" s="431">
        <v>3293.1668</v>
      </c>
      <c r="D29" s="431">
        <f t="shared" si="0"/>
        <v>10745.60327</v>
      </c>
      <c r="E29" s="226"/>
      <c r="P29" s="208"/>
    </row>
    <row r="30" spans="2:16" s="78" customFormat="1" ht="16.5" customHeight="1">
      <c r="B30" s="427" t="s">
        <v>221</v>
      </c>
      <c r="C30" s="431">
        <v>3237.25489</v>
      </c>
      <c r="D30" s="431">
        <f t="shared" si="0"/>
        <v>10563.16271</v>
      </c>
      <c r="E30" s="226"/>
      <c r="P30" s="208"/>
    </row>
    <row r="31" spans="2:16" s="78" customFormat="1" ht="16.5" customHeight="1">
      <c r="B31" s="427" t="s">
        <v>50</v>
      </c>
      <c r="C31" s="431">
        <v>2302.21168</v>
      </c>
      <c r="D31" s="431">
        <f t="shared" si="0"/>
        <v>7512.11671</v>
      </c>
      <c r="E31" s="226"/>
      <c r="P31" s="208"/>
    </row>
    <row r="32" spans="2:16" s="78" customFormat="1" ht="16.5" customHeight="1">
      <c r="B32" s="427" t="s">
        <v>217</v>
      </c>
      <c r="C32" s="431">
        <v>1499.9053</v>
      </c>
      <c r="D32" s="431">
        <f t="shared" si="0"/>
        <v>4894.19099</v>
      </c>
      <c r="E32" s="226"/>
      <c r="P32" s="208"/>
    </row>
    <row r="33" spans="2:16" s="78" customFormat="1" ht="16.5" customHeight="1">
      <c r="B33" s="427" t="s">
        <v>219</v>
      </c>
      <c r="C33" s="431">
        <v>955.4644</v>
      </c>
      <c r="D33" s="431">
        <f t="shared" si="0"/>
        <v>3117.68034</v>
      </c>
      <c r="E33" s="226"/>
      <c r="P33" s="208"/>
    </row>
    <row r="34" spans="2:16" s="78" customFormat="1" ht="16.5" customHeight="1">
      <c r="B34" s="427" t="s">
        <v>45</v>
      </c>
      <c r="C34" s="431">
        <v>179.89197000000001</v>
      </c>
      <c r="D34" s="431">
        <f t="shared" si="0"/>
        <v>586.9875</v>
      </c>
      <c r="E34" s="429"/>
      <c r="P34" s="208"/>
    </row>
    <row r="35" spans="2:16" s="78" customFormat="1" ht="16.5" customHeight="1">
      <c r="B35" s="427" t="s">
        <v>44</v>
      </c>
      <c r="C35" s="431">
        <v>149.38843</v>
      </c>
      <c r="D35" s="431">
        <f t="shared" si="0"/>
        <v>487.45445</v>
      </c>
      <c r="E35" s="226"/>
      <c r="P35" s="208"/>
    </row>
    <row r="36" spans="2:16" s="78" customFormat="1" ht="12" customHeight="1">
      <c r="B36" s="320"/>
      <c r="C36" s="433"/>
      <c r="D36" s="433"/>
      <c r="E36" s="226"/>
      <c r="P36" s="208"/>
    </row>
    <row r="37" spans="2:16" s="78" customFormat="1" ht="16.5" customHeight="1">
      <c r="B37" s="80" t="s">
        <v>25</v>
      </c>
      <c r="C37" s="430">
        <f>SUM(C38:C40)</f>
        <v>4620463.46849</v>
      </c>
      <c r="D37" s="430">
        <f>+SUM(D38:D40)</f>
        <v>15076572.297680002</v>
      </c>
      <c r="E37" s="226"/>
      <c r="P37" s="208"/>
    </row>
    <row r="38" spans="2:16" s="78" customFormat="1" ht="16.5" customHeight="1">
      <c r="B38" s="427" t="s">
        <v>239</v>
      </c>
      <c r="C38" s="431">
        <v>2404956.45998</v>
      </c>
      <c r="D38" s="431">
        <f>ROUND(+C38*$E$9,5)</f>
        <v>7847372.92891</v>
      </c>
      <c r="E38" s="226"/>
      <c r="P38" s="208"/>
    </row>
    <row r="39" spans="2:16" s="78" customFormat="1" ht="16.5" customHeight="1">
      <c r="B39" s="428" t="s">
        <v>179</v>
      </c>
      <c r="C39" s="431">
        <v>1917467.05485</v>
      </c>
      <c r="D39" s="431">
        <f>ROUND(+C39*$E$9,5)</f>
        <v>6256694.99998</v>
      </c>
      <c r="E39" s="226"/>
      <c r="P39" s="208"/>
    </row>
    <row r="40" spans="2:16" s="78" customFormat="1" ht="16.5" customHeight="1">
      <c r="B40" s="427" t="s">
        <v>127</v>
      </c>
      <c r="C40" s="431">
        <v>298039.95366</v>
      </c>
      <c r="D40" s="431">
        <f>ROUND(+C40*$E$9,5)</f>
        <v>972504.36879</v>
      </c>
      <c r="E40" s="226"/>
      <c r="P40" s="208"/>
    </row>
    <row r="41" spans="2:16" s="78" customFormat="1" ht="15" customHeight="1">
      <c r="B41" s="320"/>
      <c r="C41" s="79"/>
      <c r="D41" s="79"/>
      <c r="E41" s="226"/>
      <c r="P41" s="208"/>
    </row>
    <row r="42" spans="2:16" s="78" customFormat="1" ht="19.5" customHeight="1">
      <c r="B42" s="81" t="s">
        <v>227</v>
      </c>
      <c r="C42" s="438">
        <f>+C44+C70</f>
        <v>790314.4877699999</v>
      </c>
      <c r="D42" s="432">
        <f>+D44+D70</f>
        <v>2578796.1735699996</v>
      </c>
      <c r="E42" s="226"/>
      <c r="H42" s="341"/>
      <c r="P42" s="208"/>
    </row>
    <row r="43" spans="2:16" s="78" customFormat="1" ht="9.75" customHeight="1">
      <c r="B43" s="81"/>
      <c r="C43" s="438"/>
      <c r="D43" s="432"/>
      <c r="E43" s="226"/>
      <c r="H43" s="341"/>
      <c r="P43" s="208"/>
    </row>
    <row r="44" spans="2:16" s="78" customFormat="1" ht="16.5" customHeight="1">
      <c r="B44" s="80" t="s">
        <v>24</v>
      </c>
      <c r="C44" s="439">
        <f>SUM(C45:C68)</f>
        <v>681964.2518499999</v>
      </c>
      <c r="D44" s="430">
        <f>SUM(D45:D68)</f>
        <v>2225249.3537599994</v>
      </c>
      <c r="E44" s="226"/>
      <c r="P44" s="208"/>
    </row>
    <row r="45" spans="2:16" s="78" customFormat="1" ht="16.5" customHeight="1">
      <c r="B45" s="427" t="s">
        <v>236</v>
      </c>
      <c r="C45" s="440">
        <v>530546.26979</v>
      </c>
      <c r="D45" s="431">
        <f aca="true" t="shared" si="1" ref="D45:D68">ROUND(+C45*$E$9,5)</f>
        <v>1731172.47832</v>
      </c>
      <c r="E45" s="226"/>
      <c r="P45" s="208"/>
    </row>
    <row r="46" spans="2:16" s="78" customFormat="1" ht="16.5" customHeight="1">
      <c r="B46" s="384" t="s">
        <v>38</v>
      </c>
      <c r="C46" s="440">
        <v>74061.29329</v>
      </c>
      <c r="D46" s="431">
        <f t="shared" si="1"/>
        <v>241662.00001</v>
      </c>
      <c r="E46" s="226"/>
      <c r="P46" s="208"/>
    </row>
    <row r="47" spans="2:16" s="78" customFormat="1" ht="16.5" customHeight="1">
      <c r="B47" s="384" t="s">
        <v>230</v>
      </c>
      <c r="C47" s="440">
        <v>24538.10604</v>
      </c>
      <c r="D47" s="431">
        <f t="shared" si="1"/>
        <v>80067.84001</v>
      </c>
      <c r="E47" s="226"/>
      <c r="P47" s="208"/>
    </row>
    <row r="48" spans="2:16" s="78" customFormat="1" ht="16.5" customHeight="1">
      <c r="B48" s="384" t="s">
        <v>221</v>
      </c>
      <c r="C48" s="440">
        <v>10388.130050000002</v>
      </c>
      <c r="D48" s="431">
        <f t="shared" si="1"/>
        <v>33896.46835</v>
      </c>
      <c r="E48" s="226"/>
      <c r="P48" s="208"/>
    </row>
    <row r="49" spans="2:16" s="78" customFormat="1" ht="16.5" customHeight="1">
      <c r="B49" s="384" t="s">
        <v>148</v>
      </c>
      <c r="C49" s="440">
        <v>7753.27838</v>
      </c>
      <c r="D49" s="431">
        <f t="shared" si="1"/>
        <v>25298.94735</v>
      </c>
      <c r="E49" s="226"/>
      <c r="P49" s="208"/>
    </row>
    <row r="50" spans="2:16" s="78" customFormat="1" ht="16.5" customHeight="1">
      <c r="B50" s="384" t="s">
        <v>40</v>
      </c>
      <c r="C50" s="440">
        <v>6388.6702000000005</v>
      </c>
      <c r="D50" s="431">
        <f t="shared" si="1"/>
        <v>20846.23086</v>
      </c>
      <c r="E50" s="226"/>
      <c r="P50" s="208"/>
    </row>
    <row r="51" spans="2:16" s="78" customFormat="1" ht="16.5" customHeight="1">
      <c r="B51" s="384" t="s">
        <v>231</v>
      </c>
      <c r="C51" s="440">
        <v>5365.30791</v>
      </c>
      <c r="D51" s="431">
        <f t="shared" si="1"/>
        <v>17506.99971</v>
      </c>
      <c r="E51" s="226"/>
      <c r="P51" s="208"/>
    </row>
    <row r="52" spans="2:16" s="78" customFormat="1" ht="16.5" customHeight="1">
      <c r="B52" s="384" t="s">
        <v>72</v>
      </c>
      <c r="C52" s="440">
        <v>4185.62401</v>
      </c>
      <c r="D52" s="431">
        <f t="shared" si="1"/>
        <v>13657.69114</v>
      </c>
      <c r="E52" s="226"/>
      <c r="P52" s="208"/>
    </row>
    <row r="53" spans="2:16" s="78" customFormat="1" ht="16.5" customHeight="1">
      <c r="B53" s="384" t="s">
        <v>48</v>
      </c>
      <c r="C53" s="440">
        <v>3903.4676600000003</v>
      </c>
      <c r="D53" s="431">
        <f t="shared" si="1"/>
        <v>12737.01497</v>
      </c>
      <c r="E53" s="226"/>
      <c r="P53" s="208"/>
    </row>
    <row r="54" spans="2:16" s="78" customFormat="1" ht="16.5" customHeight="1">
      <c r="B54" s="384" t="s">
        <v>42</v>
      </c>
      <c r="C54" s="440">
        <v>3427.4375800000003</v>
      </c>
      <c r="D54" s="431">
        <f t="shared" si="1"/>
        <v>11183.72882</v>
      </c>
      <c r="E54" s="226"/>
      <c r="P54" s="208"/>
    </row>
    <row r="55" spans="2:16" s="78" customFormat="1" ht="16.5" customHeight="1">
      <c r="B55" s="384" t="s">
        <v>45</v>
      </c>
      <c r="C55" s="440">
        <v>3117.58649</v>
      </c>
      <c r="D55" s="431">
        <f t="shared" si="1"/>
        <v>10172.68472</v>
      </c>
      <c r="E55" s="226"/>
      <c r="P55" s="208"/>
    </row>
    <row r="56" spans="2:16" s="78" customFormat="1" ht="16.5" customHeight="1">
      <c r="B56" s="384" t="s">
        <v>232</v>
      </c>
      <c r="C56" s="440">
        <v>2316.73811</v>
      </c>
      <c r="D56" s="431">
        <f t="shared" si="1"/>
        <v>7559.51645</v>
      </c>
      <c r="E56" s="226"/>
      <c r="P56" s="208"/>
    </row>
    <row r="57" spans="2:16" s="78" customFormat="1" ht="16.5" customHeight="1">
      <c r="B57" s="384" t="s">
        <v>52</v>
      </c>
      <c r="C57" s="440">
        <v>1661.12275</v>
      </c>
      <c r="D57" s="431">
        <f t="shared" si="1"/>
        <v>5420.24353</v>
      </c>
      <c r="E57" s="226"/>
      <c r="P57" s="208"/>
    </row>
    <row r="58" spans="2:16" s="78" customFormat="1" ht="16.5" customHeight="1">
      <c r="B58" s="384" t="s">
        <v>163</v>
      </c>
      <c r="C58" s="440">
        <v>1452.81552</v>
      </c>
      <c r="D58" s="431">
        <f t="shared" si="1"/>
        <v>4740.53704</v>
      </c>
      <c r="E58" s="226"/>
      <c r="P58" s="208"/>
    </row>
    <row r="59" spans="2:16" s="78" customFormat="1" ht="16.5" customHeight="1">
      <c r="B59" s="384" t="s">
        <v>233</v>
      </c>
      <c r="C59" s="440">
        <v>818.3389500000001</v>
      </c>
      <c r="D59" s="431">
        <f t="shared" si="1"/>
        <v>2670.23999</v>
      </c>
      <c r="E59" s="226"/>
      <c r="P59" s="208"/>
    </row>
    <row r="60" spans="2:16" s="78" customFormat="1" ht="16.5" customHeight="1">
      <c r="B60" s="384" t="s">
        <v>234</v>
      </c>
      <c r="C60" s="440">
        <v>624.47232</v>
      </c>
      <c r="D60" s="431">
        <f t="shared" si="1"/>
        <v>2037.65318</v>
      </c>
      <c r="E60" s="226"/>
      <c r="P60" s="208"/>
    </row>
    <row r="61" spans="2:16" s="78" customFormat="1" ht="16.5" customHeight="1">
      <c r="B61" s="384" t="s">
        <v>47</v>
      </c>
      <c r="C61" s="440">
        <v>409.7525</v>
      </c>
      <c r="D61" s="431">
        <f t="shared" si="1"/>
        <v>1337.02241</v>
      </c>
      <c r="E61" s="226"/>
      <c r="P61" s="208"/>
    </row>
    <row r="62" spans="2:16" s="78" customFormat="1" ht="16.5" customHeight="1">
      <c r="B62" s="384" t="s">
        <v>51</v>
      </c>
      <c r="C62" s="440">
        <v>368.92852</v>
      </c>
      <c r="D62" s="431">
        <f t="shared" si="1"/>
        <v>1203.81376</v>
      </c>
      <c r="E62" s="226"/>
      <c r="P62" s="208"/>
    </row>
    <row r="63" spans="2:16" s="78" customFormat="1" ht="16.5" customHeight="1">
      <c r="B63" s="384" t="s">
        <v>217</v>
      </c>
      <c r="C63" s="440">
        <v>202.92985</v>
      </c>
      <c r="D63" s="431">
        <f t="shared" si="1"/>
        <v>662.1601</v>
      </c>
      <c r="E63" s="226"/>
      <c r="P63" s="208"/>
    </row>
    <row r="64" spans="2:16" s="78" customFormat="1" ht="16.5" customHeight="1">
      <c r="B64" s="384" t="s">
        <v>218</v>
      </c>
      <c r="C64" s="440">
        <v>131.05085</v>
      </c>
      <c r="D64" s="431">
        <f t="shared" si="1"/>
        <v>427.61892</v>
      </c>
      <c r="E64" s="226"/>
      <c r="P64" s="208"/>
    </row>
    <row r="65" spans="2:16" s="78" customFormat="1" ht="16.5" customHeight="1">
      <c r="B65" s="384" t="s">
        <v>58</v>
      </c>
      <c r="C65" s="440">
        <v>113.67827</v>
      </c>
      <c r="D65" s="431">
        <f t="shared" si="1"/>
        <v>370.9322</v>
      </c>
      <c r="E65" s="226"/>
      <c r="P65" s="208"/>
    </row>
    <row r="66" spans="2:16" s="78" customFormat="1" ht="16.5" customHeight="1">
      <c r="B66" s="384" t="s">
        <v>235</v>
      </c>
      <c r="C66" s="440">
        <v>84.53233</v>
      </c>
      <c r="D66" s="431">
        <f t="shared" si="1"/>
        <v>275.82899</v>
      </c>
      <c r="E66" s="226"/>
      <c r="P66" s="208"/>
    </row>
    <row r="67" spans="2:16" s="78" customFormat="1" ht="16.5" customHeight="1">
      <c r="B67" s="384" t="s">
        <v>55</v>
      </c>
      <c r="C67" s="440">
        <v>76.68242</v>
      </c>
      <c r="D67" s="431">
        <f t="shared" si="1"/>
        <v>250.21474</v>
      </c>
      <c r="E67" s="226"/>
      <c r="P67" s="208"/>
    </row>
    <row r="68" spans="2:16" s="78" customFormat="1" ht="16.5" customHeight="1">
      <c r="B68" s="384" t="s">
        <v>57</v>
      </c>
      <c r="C68" s="440">
        <v>28.03806</v>
      </c>
      <c r="D68" s="431">
        <f t="shared" si="1"/>
        <v>91.48819</v>
      </c>
      <c r="E68" s="226"/>
      <c r="P68" s="208"/>
    </row>
    <row r="69" spans="2:16" s="78" customFormat="1" ht="12" customHeight="1">
      <c r="B69" s="437"/>
      <c r="C69" s="441"/>
      <c r="D69" s="433"/>
      <c r="E69" s="226"/>
      <c r="P69" s="208"/>
    </row>
    <row r="70" spans="2:16" s="78" customFormat="1" ht="16.5" customHeight="1">
      <c r="B70" s="80" t="s">
        <v>25</v>
      </c>
      <c r="C70" s="439">
        <f>+C71</f>
        <v>108350.23592</v>
      </c>
      <c r="D70" s="430">
        <f>+D71</f>
        <v>353546.81981</v>
      </c>
      <c r="E70" s="226"/>
      <c r="P70" s="208"/>
    </row>
    <row r="71" spans="2:16" s="78" customFormat="1" ht="16.5" customHeight="1">
      <c r="B71" s="384" t="s">
        <v>237</v>
      </c>
      <c r="C71" s="440">
        <v>108350.23592</v>
      </c>
      <c r="D71" s="431">
        <f>ROUND(+C71*$E$9,5)</f>
        <v>353546.81981</v>
      </c>
      <c r="E71" s="226"/>
      <c r="P71" s="208"/>
    </row>
    <row r="72" spans="2:16" s="78" customFormat="1" ht="9.75" customHeight="1">
      <c r="B72" s="76"/>
      <c r="C72" s="442"/>
      <c r="D72" s="443"/>
      <c r="E72" s="226"/>
      <c r="P72" s="208"/>
    </row>
    <row r="73" spans="2:16" s="78" customFormat="1" ht="18" customHeight="1" hidden="1">
      <c r="B73" s="156"/>
      <c r="C73" s="440"/>
      <c r="D73" s="431"/>
      <c r="E73" s="226"/>
      <c r="P73" s="208"/>
    </row>
    <row r="74" spans="2:16" s="78" customFormat="1" ht="21.75" customHeight="1" hidden="1">
      <c r="B74" s="81" t="s">
        <v>115</v>
      </c>
      <c r="C74" s="438">
        <f>+C75</f>
        <v>0</v>
      </c>
      <c r="D74" s="432">
        <f>+D75</f>
        <v>0</v>
      </c>
      <c r="E74" s="226"/>
      <c r="G74" s="321"/>
      <c r="H74" s="321"/>
      <c r="P74" s="208"/>
    </row>
    <row r="75" spans="2:16" s="78" customFormat="1" ht="21.75" customHeight="1" hidden="1">
      <c r="B75" s="76" t="s">
        <v>67</v>
      </c>
      <c r="C75" s="442">
        <f>+C76</f>
        <v>0</v>
      </c>
      <c r="D75" s="443">
        <f>+D76</f>
        <v>0</v>
      </c>
      <c r="E75" s="226"/>
      <c r="G75" s="321"/>
      <c r="H75" s="321"/>
      <c r="P75" s="208"/>
    </row>
    <row r="76" spans="2:16" s="78" customFormat="1" ht="21.75" customHeight="1" hidden="1">
      <c r="B76" s="319" t="s">
        <v>112</v>
      </c>
      <c r="C76" s="441">
        <v>0</v>
      </c>
      <c r="D76" s="433">
        <f>+C76*$E$9</f>
        <v>0</v>
      </c>
      <c r="E76" s="226"/>
      <c r="G76" s="321"/>
      <c r="H76" s="321"/>
      <c r="P76" s="208"/>
    </row>
    <row r="77" spans="2:16" s="78" customFormat="1" ht="19.5" customHeight="1" hidden="1">
      <c r="B77" s="156"/>
      <c r="C77" s="440"/>
      <c r="D77" s="431"/>
      <c r="E77" s="226"/>
      <c r="P77" s="208"/>
    </row>
    <row r="78" spans="2:16" s="78" customFormat="1" ht="21.75" customHeight="1" hidden="1">
      <c r="B78" s="81" t="s">
        <v>141</v>
      </c>
      <c r="C78" s="438">
        <f>+C79+C103</f>
        <v>0</v>
      </c>
      <c r="D78" s="432">
        <f>+D79+D103</f>
        <v>0</v>
      </c>
      <c r="E78" s="226"/>
      <c r="P78" s="208"/>
    </row>
    <row r="79" spans="2:16" s="78" customFormat="1" ht="21.75" customHeight="1" hidden="1">
      <c r="B79" s="80" t="s">
        <v>24</v>
      </c>
      <c r="C79" s="439">
        <f>SUM(C80:C101)</f>
        <v>0</v>
      </c>
      <c r="D79" s="430">
        <f>SUM(D80:D101)</f>
        <v>0</v>
      </c>
      <c r="E79" s="228"/>
      <c r="P79" s="208"/>
    </row>
    <row r="80" spans="2:16" s="78" customFormat="1" ht="21.75" customHeight="1" hidden="1">
      <c r="B80" s="319" t="s">
        <v>111</v>
      </c>
      <c r="C80" s="441"/>
      <c r="D80" s="433">
        <f aca="true" t="shared" si="2" ref="D80:D101">+C80*$E$9</f>
        <v>0</v>
      </c>
      <c r="E80" s="227"/>
      <c r="P80" s="208"/>
    </row>
    <row r="81" spans="2:16" s="78" customFormat="1" ht="21.75" customHeight="1" hidden="1">
      <c r="B81" s="319" t="s">
        <v>38</v>
      </c>
      <c r="C81" s="441"/>
      <c r="D81" s="433">
        <f t="shared" si="2"/>
        <v>0</v>
      </c>
      <c r="E81" s="227"/>
      <c r="P81" s="208"/>
    </row>
    <row r="82" spans="2:16" s="78" customFormat="1" ht="21.75" customHeight="1" hidden="1">
      <c r="B82" s="319" t="s">
        <v>39</v>
      </c>
      <c r="C82" s="441"/>
      <c r="D82" s="433">
        <f t="shared" si="2"/>
        <v>0</v>
      </c>
      <c r="E82" s="227"/>
      <c r="P82" s="208"/>
    </row>
    <row r="83" spans="2:16" s="78" customFormat="1" ht="21.75" customHeight="1" hidden="1">
      <c r="B83" s="319" t="s">
        <v>41</v>
      </c>
      <c r="C83" s="441"/>
      <c r="D83" s="433">
        <f t="shared" si="2"/>
        <v>0</v>
      </c>
      <c r="E83" s="227"/>
      <c r="P83" s="208"/>
    </row>
    <row r="84" spans="2:16" s="78" customFormat="1" ht="21.75" customHeight="1" hidden="1">
      <c r="B84" s="319" t="s">
        <v>148</v>
      </c>
      <c r="C84" s="441"/>
      <c r="D84" s="433">
        <f t="shared" si="2"/>
        <v>0</v>
      </c>
      <c r="E84" s="227"/>
      <c r="P84" s="208"/>
    </row>
    <row r="85" spans="2:16" s="78" customFormat="1" ht="21.75" customHeight="1" hidden="1">
      <c r="B85" s="319" t="s">
        <v>40</v>
      </c>
      <c r="C85" s="441"/>
      <c r="D85" s="433">
        <f t="shared" si="2"/>
        <v>0</v>
      </c>
      <c r="E85" s="227"/>
      <c r="P85" s="208"/>
    </row>
    <row r="86" spans="2:16" s="78" customFormat="1" ht="21.75" customHeight="1" hidden="1">
      <c r="B86" s="319" t="s">
        <v>46</v>
      </c>
      <c r="C86" s="441"/>
      <c r="D86" s="433">
        <f t="shared" si="2"/>
        <v>0</v>
      </c>
      <c r="E86" s="227"/>
      <c r="P86" s="208"/>
    </row>
    <row r="87" spans="2:16" s="78" customFormat="1" ht="21.75" customHeight="1" hidden="1">
      <c r="B87" s="319" t="s">
        <v>72</v>
      </c>
      <c r="C87" s="441"/>
      <c r="D87" s="433">
        <f t="shared" si="2"/>
        <v>0</v>
      </c>
      <c r="E87" s="227"/>
      <c r="P87" s="208"/>
    </row>
    <row r="88" spans="2:16" s="78" customFormat="1" ht="21.75" customHeight="1" hidden="1">
      <c r="B88" s="319" t="s">
        <v>48</v>
      </c>
      <c r="C88" s="441"/>
      <c r="D88" s="433">
        <f t="shared" si="2"/>
        <v>0</v>
      </c>
      <c r="E88" s="227"/>
      <c r="P88" s="208"/>
    </row>
    <row r="89" spans="2:16" s="78" customFormat="1" ht="21.75" customHeight="1" hidden="1">
      <c r="B89" s="319" t="s">
        <v>42</v>
      </c>
      <c r="C89" s="441"/>
      <c r="D89" s="433">
        <f t="shared" si="2"/>
        <v>0</v>
      </c>
      <c r="E89" s="227"/>
      <c r="P89" s="208"/>
    </row>
    <row r="90" spans="2:16" s="78" customFormat="1" ht="21.75" customHeight="1" hidden="1">
      <c r="B90" s="319" t="s">
        <v>45</v>
      </c>
      <c r="C90" s="441"/>
      <c r="D90" s="433">
        <f t="shared" si="2"/>
        <v>0</v>
      </c>
      <c r="E90" s="227"/>
      <c r="P90" s="208"/>
    </row>
    <row r="91" spans="2:16" s="78" customFormat="1" ht="21.75" customHeight="1" hidden="1">
      <c r="B91" s="319" t="s">
        <v>49</v>
      </c>
      <c r="C91" s="441"/>
      <c r="D91" s="433">
        <f t="shared" si="2"/>
        <v>0</v>
      </c>
      <c r="E91" s="227"/>
      <c r="P91" s="208"/>
    </row>
    <row r="92" spans="2:16" s="78" customFormat="1" ht="21.75" customHeight="1" hidden="1">
      <c r="B92" s="319" t="s">
        <v>52</v>
      </c>
      <c r="C92" s="441"/>
      <c r="D92" s="433">
        <f t="shared" si="2"/>
        <v>0</v>
      </c>
      <c r="E92" s="227"/>
      <c r="P92" s="208"/>
    </row>
    <row r="93" spans="2:16" s="78" customFormat="1" ht="21.75" customHeight="1" hidden="1">
      <c r="B93" s="319" t="s">
        <v>163</v>
      </c>
      <c r="C93" s="441"/>
      <c r="D93" s="433">
        <f t="shared" si="2"/>
        <v>0</v>
      </c>
      <c r="E93" s="227"/>
      <c r="P93" s="208"/>
    </row>
    <row r="94" spans="2:16" s="78" customFormat="1" ht="21.75" customHeight="1" hidden="1">
      <c r="B94" s="319" t="s">
        <v>54</v>
      </c>
      <c r="C94" s="441"/>
      <c r="D94" s="433">
        <f t="shared" si="2"/>
        <v>0</v>
      </c>
      <c r="E94" s="227"/>
      <c r="P94" s="208"/>
    </row>
    <row r="95" spans="2:16" s="78" customFormat="1" ht="21.75" customHeight="1" hidden="1">
      <c r="B95" s="319" t="s">
        <v>56</v>
      </c>
      <c r="C95" s="441"/>
      <c r="D95" s="433">
        <f t="shared" si="2"/>
        <v>0</v>
      </c>
      <c r="E95" s="227"/>
      <c r="P95" s="208"/>
    </row>
    <row r="96" spans="2:16" s="78" customFormat="1" ht="21.75" customHeight="1" hidden="1">
      <c r="B96" s="319" t="s">
        <v>47</v>
      </c>
      <c r="C96" s="441"/>
      <c r="D96" s="433">
        <f t="shared" si="2"/>
        <v>0</v>
      </c>
      <c r="E96" s="226"/>
      <c r="P96" s="208"/>
    </row>
    <row r="97" spans="2:16" s="78" customFormat="1" ht="21.75" customHeight="1" hidden="1">
      <c r="B97" s="319" t="s">
        <v>51</v>
      </c>
      <c r="C97" s="441"/>
      <c r="D97" s="433">
        <f t="shared" si="2"/>
        <v>0</v>
      </c>
      <c r="E97" s="226"/>
      <c r="P97" s="208"/>
    </row>
    <row r="98" spans="2:16" s="78" customFormat="1" ht="21.75" customHeight="1" hidden="1">
      <c r="B98" s="319" t="s">
        <v>58</v>
      </c>
      <c r="C98" s="441"/>
      <c r="D98" s="433">
        <f t="shared" si="2"/>
        <v>0</v>
      </c>
      <c r="E98" s="226"/>
      <c r="P98" s="208"/>
    </row>
    <row r="99" spans="2:16" s="78" customFormat="1" ht="21.75" customHeight="1" hidden="1">
      <c r="B99" s="319" t="s">
        <v>53</v>
      </c>
      <c r="C99" s="441"/>
      <c r="D99" s="433">
        <f t="shared" si="2"/>
        <v>0</v>
      </c>
      <c r="E99" s="226"/>
      <c r="P99" s="208"/>
    </row>
    <row r="100" spans="2:16" s="78" customFormat="1" ht="21.75" customHeight="1" hidden="1">
      <c r="B100" s="319" t="s">
        <v>55</v>
      </c>
      <c r="C100" s="441"/>
      <c r="D100" s="433">
        <f t="shared" si="2"/>
        <v>0</v>
      </c>
      <c r="E100" s="226"/>
      <c r="P100" s="208"/>
    </row>
    <row r="101" spans="2:16" s="78" customFormat="1" ht="21.75" customHeight="1" hidden="1">
      <c r="B101" s="319" t="s">
        <v>57</v>
      </c>
      <c r="C101" s="441"/>
      <c r="D101" s="433">
        <f t="shared" si="2"/>
        <v>0</v>
      </c>
      <c r="E101" s="227"/>
      <c r="P101" s="208"/>
    </row>
    <row r="102" spans="2:16" s="78" customFormat="1" ht="9.75" customHeight="1" hidden="1">
      <c r="B102" s="76"/>
      <c r="C102" s="442"/>
      <c r="D102" s="443"/>
      <c r="E102" s="226"/>
      <c r="P102" s="208"/>
    </row>
    <row r="103" spans="2:16" s="78" customFormat="1" ht="21.75" customHeight="1" hidden="1">
      <c r="B103" s="80" t="s">
        <v>25</v>
      </c>
      <c r="C103" s="439">
        <f>+C104</f>
        <v>0</v>
      </c>
      <c r="D103" s="430">
        <f>+D104</f>
        <v>0</v>
      </c>
      <c r="E103" s="229"/>
      <c r="P103" s="208"/>
    </row>
    <row r="104" spans="2:16" s="78" customFormat="1" ht="21.75" customHeight="1" hidden="1">
      <c r="B104" s="319" t="s">
        <v>110</v>
      </c>
      <c r="C104" s="441"/>
      <c r="D104" s="433">
        <f>+C104*$E$9</f>
        <v>0</v>
      </c>
      <c r="E104" s="226" t="s">
        <v>185</v>
      </c>
      <c r="P104" s="208"/>
    </row>
    <row r="105" spans="2:16" s="78" customFormat="1" ht="4.5" customHeight="1">
      <c r="B105" s="156"/>
      <c r="C105" s="440"/>
      <c r="D105" s="431"/>
      <c r="E105" s="226"/>
      <c r="P105" s="208"/>
    </row>
    <row r="106" spans="2:16" s="78" customFormat="1" ht="15" customHeight="1">
      <c r="B106" s="583" t="s">
        <v>28</v>
      </c>
      <c r="C106" s="585">
        <f>C14+C42</f>
        <v>6272797.043629999</v>
      </c>
      <c r="D106" s="587">
        <f>+D14+D42</f>
        <v>20468136.75332</v>
      </c>
      <c r="E106" s="226"/>
      <c r="P106" s="208"/>
    </row>
    <row r="107" spans="2:16" s="115" customFormat="1" ht="15" customHeight="1">
      <c r="B107" s="584"/>
      <c r="C107" s="586"/>
      <c r="D107" s="588"/>
      <c r="E107" s="230"/>
      <c r="P107" s="209"/>
    </row>
    <row r="108" spans="2:16" s="78" customFormat="1" ht="7.5" customHeight="1">
      <c r="B108" s="157"/>
      <c r="C108" s="105"/>
      <c r="D108" s="105"/>
      <c r="E108" s="226"/>
      <c r="P108" s="208"/>
    </row>
    <row r="109" spans="1:16" ht="14.25" customHeight="1">
      <c r="A109" s="322"/>
      <c r="B109" s="323" t="s">
        <v>228</v>
      </c>
      <c r="D109" s="324"/>
      <c r="P109" s="207"/>
    </row>
    <row r="110" spans="1:16" ht="14.25" customHeight="1">
      <c r="A110" s="322"/>
      <c r="B110" s="323" t="s">
        <v>229</v>
      </c>
      <c r="C110" s="325"/>
      <c r="D110" s="326"/>
      <c r="P110" s="207"/>
    </row>
    <row r="111" spans="3:16" ht="12.75">
      <c r="C111" s="327"/>
      <c r="D111" s="328"/>
      <c r="P111" s="207"/>
    </row>
    <row r="112" spans="3:16" ht="12.75">
      <c r="C112" s="330"/>
      <c r="D112" s="330"/>
      <c r="G112" s="331"/>
      <c r="H112" s="331"/>
      <c r="P112" s="207"/>
    </row>
    <row r="113" spans="3:16" ht="12.75">
      <c r="C113" s="332"/>
      <c r="D113" s="332"/>
      <c r="G113" s="331"/>
      <c r="H113" s="331"/>
      <c r="P113" s="207"/>
    </row>
    <row r="114" spans="3:16" ht="12.75">
      <c r="C114" s="333"/>
      <c r="D114" s="333"/>
      <c r="H114" s="329"/>
      <c r="P114" s="207"/>
    </row>
    <row r="115" spans="2:16" ht="18">
      <c r="B115" s="421" t="s">
        <v>125</v>
      </c>
      <c r="C115" s="421"/>
      <c r="D115" s="421"/>
      <c r="H115" s="329"/>
      <c r="P115" s="207"/>
    </row>
    <row r="116" spans="2:16" ht="18">
      <c r="B116" s="422" t="s">
        <v>139</v>
      </c>
      <c r="C116" s="422"/>
      <c r="D116" s="422"/>
      <c r="G116" s="331"/>
      <c r="P116" s="207"/>
    </row>
    <row r="117" spans="2:16" ht="18">
      <c r="B117" s="422" t="s">
        <v>140</v>
      </c>
      <c r="C117" s="422"/>
      <c r="D117" s="422"/>
      <c r="P117" s="207"/>
    </row>
    <row r="118" spans="2:16" ht="16.5">
      <c r="B118" s="426" t="s">
        <v>60</v>
      </c>
      <c r="C118" s="423"/>
      <c r="D118" s="423"/>
      <c r="P118" s="207"/>
    </row>
    <row r="119" spans="2:16" ht="15.75">
      <c r="B119" s="424" t="str">
        <f>+B9</f>
        <v>Al 28 de febrero de 2017</v>
      </c>
      <c r="C119" s="424"/>
      <c r="D119" s="317"/>
      <c r="P119" s="207"/>
    </row>
    <row r="120" spans="2:16" s="78" customFormat="1" ht="6.75" customHeight="1">
      <c r="B120" s="503"/>
      <c r="C120" s="503"/>
      <c r="D120" s="503"/>
      <c r="E120" s="224"/>
      <c r="P120" s="208"/>
    </row>
    <row r="121" spans="2:16" ht="16.5" customHeight="1">
      <c r="B121" s="510" t="s">
        <v>100</v>
      </c>
      <c r="C121" s="579" t="s">
        <v>90</v>
      </c>
      <c r="D121" s="581" t="s">
        <v>170</v>
      </c>
      <c r="P121" s="207"/>
    </row>
    <row r="122" spans="2:16" s="115" customFormat="1" ht="16.5" customHeight="1">
      <c r="B122" s="511"/>
      <c r="C122" s="580"/>
      <c r="D122" s="582"/>
      <c r="E122" s="225"/>
      <c r="G122" s="338"/>
      <c r="P122" s="209"/>
    </row>
    <row r="123" spans="2:16" s="115" customFormat="1" ht="9.75" customHeight="1">
      <c r="B123" s="155"/>
      <c r="C123" s="104"/>
      <c r="D123" s="116"/>
      <c r="E123" s="225"/>
      <c r="G123" s="338"/>
      <c r="P123" s="209"/>
    </row>
    <row r="124" spans="2:16" s="78" customFormat="1" ht="19.5" customHeight="1">
      <c r="B124" s="81" t="s">
        <v>226</v>
      </c>
      <c r="C124" s="438">
        <f>+C126</f>
        <v>694919.57025</v>
      </c>
      <c r="D124" s="438">
        <f>+D126</f>
        <v>2267522.55772</v>
      </c>
      <c r="E124" s="224"/>
      <c r="G124" s="321"/>
      <c r="H124" s="321"/>
      <c r="P124" s="208"/>
    </row>
    <row r="125" spans="2:16" s="78" customFormat="1" ht="9.75" customHeight="1">
      <c r="B125" s="81"/>
      <c r="C125" s="438"/>
      <c r="D125" s="438"/>
      <c r="E125" s="224"/>
      <c r="G125" s="321"/>
      <c r="H125" s="321"/>
      <c r="P125" s="208"/>
    </row>
    <row r="126" spans="2:16" s="78" customFormat="1" ht="16.5" customHeight="1">
      <c r="B126" s="80" t="s">
        <v>24</v>
      </c>
      <c r="C126" s="439">
        <f>SUM(C127:C131)</f>
        <v>694919.57025</v>
      </c>
      <c r="D126" s="439">
        <f>SUM(D127:D131)</f>
        <v>2267522.55772</v>
      </c>
      <c r="E126" s="224"/>
      <c r="G126" s="339"/>
      <c r="H126" s="339"/>
      <c r="P126" s="208"/>
    </row>
    <row r="127" spans="2:16" s="78" customFormat="1" ht="16.5" customHeight="1">
      <c r="B127" s="427" t="s">
        <v>225</v>
      </c>
      <c r="C127" s="440">
        <v>679307.6261</v>
      </c>
      <c r="D127" s="431">
        <f>ROUND(+C127*$E$9,5)</f>
        <v>2216580.78396</v>
      </c>
      <c r="E127" s="224"/>
      <c r="F127" s="340"/>
      <c r="G127" s="339"/>
      <c r="H127" s="339"/>
      <c r="P127" s="208"/>
    </row>
    <row r="128" spans="2:16" s="78" customFormat="1" ht="16.5" customHeight="1">
      <c r="B128" s="427" t="s">
        <v>180</v>
      </c>
      <c r="C128" s="440">
        <v>9228.073049999999</v>
      </c>
      <c r="D128" s="431">
        <f>ROUND(+C128*$E$9,5)</f>
        <v>30111.20236</v>
      </c>
      <c r="E128" s="224"/>
      <c r="G128" s="339"/>
      <c r="P128" s="208"/>
    </row>
    <row r="129" spans="2:16" s="78" customFormat="1" ht="16.5" customHeight="1">
      <c r="B129" s="427" t="s">
        <v>223</v>
      </c>
      <c r="C129" s="440">
        <v>3272.39052</v>
      </c>
      <c r="D129" s="431">
        <f>ROUND(+C129*$E$9,5)</f>
        <v>10677.81027</v>
      </c>
      <c r="E129" s="224"/>
      <c r="P129" s="208"/>
    </row>
    <row r="130" spans="2:16" s="78" customFormat="1" ht="16.5" customHeight="1">
      <c r="B130" s="427" t="s">
        <v>177</v>
      </c>
      <c r="C130" s="440">
        <v>2413.42258</v>
      </c>
      <c r="D130" s="431">
        <f>ROUND(+C130*$E$9,5)</f>
        <v>7874.99788</v>
      </c>
      <c r="E130" s="224"/>
      <c r="P130" s="208"/>
    </row>
    <row r="131" spans="2:16" s="78" customFormat="1" ht="16.5" customHeight="1">
      <c r="B131" s="427" t="s">
        <v>214</v>
      </c>
      <c r="C131" s="440">
        <v>698.058</v>
      </c>
      <c r="D131" s="431">
        <f>ROUND(+C131*$E$9,5)</f>
        <v>2277.76325</v>
      </c>
      <c r="E131" s="224"/>
      <c r="P131" s="208"/>
    </row>
    <row r="132" spans="2:16" s="78" customFormat="1" ht="9.75" customHeight="1">
      <c r="B132" s="156"/>
      <c r="C132" s="440"/>
      <c r="D132" s="440"/>
      <c r="E132" s="224"/>
      <c r="P132" s="208"/>
    </row>
    <row r="133" spans="2:16" s="78" customFormat="1" ht="15" customHeight="1">
      <c r="B133" s="583" t="s">
        <v>28</v>
      </c>
      <c r="C133" s="585">
        <f>+C124</f>
        <v>694919.57025</v>
      </c>
      <c r="D133" s="585">
        <f>+D124</f>
        <v>2267522.55772</v>
      </c>
      <c r="E133" s="224"/>
      <c r="P133" s="208"/>
    </row>
    <row r="134" spans="2:16" s="115" customFormat="1" ht="15" customHeight="1">
      <c r="B134" s="584"/>
      <c r="C134" s="586"/>
      <c r="D134" s="586"/>
      <c r="E134" s="225"/>
      <c r="P134" s="209"/>
    </row>
    <row r="135" spans="2:16" s="78" customFormat="1" ht="7.5" customHeight="1">
      <c r="B135" s="157"/>
      <c r="C135" s="105"/>
      <c r="D135" s="105"/>
      <c r="E135" s="224"/>
      <c r="P135" s="208"/>
    </row>
    <row r="136" spans="1:16" ht="14.25" customHeight="1">
      <c r="A136" s="322"/>
      <c r="B136" s="323" t="s">
        <v>228</v>
      </c>
      <c r="C136" s="444"/>
      <c r="D136" s="334"/>
      <c r="P136" s="207"/>
    </row>
    <row r="137" spans="3:16" ht="12.75">
      <c r="C137" s="336"/>
      <c r="D137" s="336"/>
      <c r="P137" s="207"/>
    </row>
    <row r="138" spans="3:16" ht="12.75">
      <c r="C138" s="337"/>
      <c r="D138" s="327"/>
      <c r="P138" s="207"/>
    </row>
    <row r="139" spans="3:16" ht="12.75">
      <c r="C139" s="337"/>
      <c r="D139" s="337"/>
      <c r="P139" s="207"/>
    </row>
    <row r="140" spans="3:16" ht="12.75">
      <c r="C140" s="335"/>
      <c r="D140" s="335"/>
      <c r="P140" s="207"/>
    </row>
  </sheetData>
  <sheetProtection/>
  <mergeCells count="14">
    <mergeCell ref="B10:D10"/>
    <mergeCell ref="B120:D120"/>
    <mergeCell ref="B11:B12"/>
    <mergeCell ref="C11:C12"/>
    <mergeCell ref="D11:D12"/>
    <mergeCell ref="B106:B107"/>
    <mergeCell ref="C106:C107"/>
    <mergeCell ref="D106:D107"/>
    <mergeCell ref="B121:B122"/>
    <mergeCell ref="C121:C122"/>
    <mergeCell ref="D121:D122"/>
    <mergeCell ref="B133:B134"/>
    <mergeCell ref="C133:C134"/>
    <mergeCell ref="D133:D13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111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489" t="s">
        <v>18</v>
      </c>
      <c r="C6" s="489"/>
      <c r="D6" s="489"/>
      <c r="E6" s="489"/>
      <c r="F6" s="489"/>
      <c r="G6" s="489"/>
    </row>
    <row r="7" spans="2:7" s="4" customFormat="1" ht="15.75">
      <c r="B7" s="490" t="str">
        <f>+Indice!B7</f>
        <v>AL 28 DE FEBRERO 2017</v>
      </c>
      <c r="C7" s="490"/>
      <c r="D7" s="490"/>
      <c r="E7" s="490"/>
      <c r="F7" s="490"/>
      <c r="G7" s="490"/>
    </row>
    <row r="8" spans="2:7" ht="12.75">
      <c r="B8" s="89"/>
      <c r="C8" s="89"/>
      <c r="D8" s="89"/>
      <c r="E8" s="89"/>
      <c r="F8" s="89"/>
      <c r="G8" s="89"/>
    </row>
    <row r="9" spans="2:7" ht="54.75" customHeight="1">
      <c r="B9" s="197" t="s">
        <v>2</v>
      </c>
      <c r="C9" s="197" t="s">
        <v>8</v>
      </c>
      <c r="D9" s="492" t="s">
        <v>146</v>
      </c>
      <c r="E9" s="492"/>
      <c r="F9" s="492"/>
      <c r="G9" s="49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134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493" t="s">
        <v>135</v>
      </c>
      <c r="E13" s="493"/>
      <c r="F13" s="493"/>
      <c r="G13" s="493"/>
      <c r="H13" s="493"/>
    </row>
    <row r="14" spans="2:8" ht="15.75" customHeight="1">
      <c r="B14" s="52"/>
      <c r="C14" s="52"/>
      <c r="D14" s="493" t="s">
        <v>136</v>
      </c>
      <c r="E14" s="493"/>
      <c r="F14" s="493"/>
      <c r="G14" s="493"/>
      <c r="H14" s="493"/>
    </row>
    <row r="15" spans="2:7" ht="15.75" customHeight="1">
      <c r="B15" s="52"/>
      <c r="C15" s="52"/>
      <c r="D15" s="29" t="s">
        <v>137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130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131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132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133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496">
        <v>42794</v>
      </c>
      <c r="E22" s="495"/>
      <c r="F22" s="495"/>
      <c r="G22" s="495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495" t="s">
        <v>17</v>
      </c>
      <c r="E24" s="495"/>
      <c r="F24" s="495"/>
      <c r="G24" s="495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492" t="s">
        <v>155</v>
      </c>
      <c r="E26" s="492"/>
      <c r="F26" s="492"/>
      <c r="G26" s="49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166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86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42825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85</v>
      </c>
      <c r="C35" s="55" t="s">
        <v>8</v>
      </c>
      <c r="D35" s="29" t="s">
        <v>87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493" t="s">
        <v>167</v>
      </c>
      <c r="E37" s="493"/>
      <c r="F37" s="493"/>
      <c r="G37" s="49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495" t="s">
        <v>183</v>
      </c>
      <c r="E39" s="495"/>
      <c r="F39" s="495"/>
      <c r="G39" s="495"/>
      <c r="H39" s="494">
        <v>3.263</v>
      </c>
    </row>
    <row r="40" spans="4:8" ht="15.75" customHeight="1">
      <c r="D40" s="495"/>
      <c r="E40" s="495"/>
      <c r="F40" s="495"/>
      <c r="G40" s="495"/>
      <c r="H40" s="494"/>
    </row>
    <row r="41" ht="15.75" customHeight="1"/>
    <row r="42" spans="2:4" ht="12.75">
      <c r="B42" s="55" t="s">
        <v>73</v>
      </c>
      <c r="C42" s="55" t="s">
        <v>8</v>
      </c>
      <c r="D42" s="6" t="s">
        <v>74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4" customWidth="1"/>
    <col min="2" max="2" width="32.421875" style="124" customWidth="1"/>
    <col min="3" max="4" width="15.7109375" style="124" customWidth="1"/>
    <col min="5" max="5" width="10.7109375" style="124" customWidth="1"/>
    <col min="6" max="6" width="4.28125" style="124" customWidth="1"/>
    <col min="7" max="7" width="30.8515625" style="124" customWidth="1"/>
    <col min="8" max="8" width="17.57421875" style="124" bestFit="1" customWidth="1"/>
    <col min="9" max="9" width="18.57421875" style="124" bestFit="1" customWidth="1"/>
    <col min="10" max="10" width="10.7109375" style="124" customWidth="1"/>
    <col min="11" max="11" width="0.71875" style="124" customWidth="1"/>
    <col min="12" max="12" width="15.7109375" style="124" customWidth="1"/>
    <col min="13" max="13" width="2.421875" style="124" customWidth="1"/>
    <col min="14" max="19" width="15.7109375" style="124" customWidth="1"/>
    <col min="20" max="16384" width="15.7109375" style="134" customWidth="1"/>
  </cols>
  <sheetData>
    <row r="1" s="136" customFormat="1" ht="12.75"/>
    <row r="2" s="136" customFormat="1" ht="12.75">
      <c r="D2" s="158"/>
    </row>
    <row r="3" s="136" customFormat="1" ht="12.75">
      <c r="D3" s="158"/>
    </row>
    <row r="4" spans="1:19" s="160" customFormat="1" ht="15">
      <c r="A4" s="136"/>
      <c r="B4" s="136"/>
      <c r="C4" s="136"/>
      <c r="D4" s="136"/>
      <c r="E4" s="136"/>
      <c r="F4" s="136"/>
      <c r="G4" s="136"/>
      <c r="H4" s="123"/>
      <c r="I4" s="123"/>
      <c r="J4" s="123"/>
      <c r="K4" s="123"/>
      <c r="L4" s="123"/>
      <c r="M4" s="123"/>
      <c r="N4" s="123"/>
      <c r="O4" s="159"/>
      <c r="P4" s="159"/>
      <c r="Q4" s="159"/>
      <c r="R4" s="159"/>
      <c r="S4" s="159"/>
    </row>
    <row r="5" spans="1:19" s="160" customFormat="1" ht="22.5" customHeight="1">
      <c r="A5" s="136"/>
      <c r="B5" s="489" t="s">
        <v>187</v>
      </c>
      <c r="C5" s="489"/>
      <c r="D5" s="489"/>
      <c r="E5" s="489"/>
      <c r="F5" s="489"/>
      <c r="G5" s="489"/>
      <c r="H5" s="489"/>
      <c r="I5" s="489"/>
      <c r="J5" s="489"/>
      <c r="K5" s="123"/>
      <c r="L5" s="123"/>
      <c r="M5" s="123"/>
      <c r="N5" s="123"/>
      <c r="O5" s="159"/>
      <c r="P5" s="159"/>
      <c r="Q5" s="159"/>
      <c r="R5" s="159"/>
      <c r="S5" s="159"/>
    </row>
    <row r="6" spans="1:19" s="160" customFormat="1" ht="19.5" customHeight="1">
      <c r="A6" s="136"/>
      <c r="B6" s="502" t="s">
        <v>18</v>
      </c>
      <c r="C6" s="502"/>
      <c r="D6" s="502"/>
      <c r="E6" s="502"/>
      <c r="F6" s="502"/>
      <c r="G6" s="502"/>
      <c r="H6" s="502"/>
      <c r="I6" s="502"/>
      <c r="J6" s="502"/>
      <c r="K6" s="123"/>
      <c r="L6" s="123"/>
      <c r="M6" s="123"/>
      <c r="N6" s="123"/>
      <c r="O6" s="159"/>
      <c r="P6" s="159"/>
      <c r="Q6" s="159"/>
      <c r="R6" s="159"/>
      <c r="S6" s="159"/>
    </row>
    <row r="7" spans="1:19" s="160" customFormat="1" ht="18" customHeight="1">
      <c r="A7" s="136"/>
      <c r="B7" s="490" t="str">
        <f>+Indice!B7</f>
        <v>AL 28 DE FEBRERO 2017</v>
      </c>
      <c r="C7" s="490"/>
      <c r="D7" s="490"/>
      <c r="E7" s="490"/>
      <c r="F7" s="490"/>
      <c r="G7" s="490"/>
      <c r="H7" s="490"/>
      <c r="I7" s="490"/>
      <c r="J7" s="490"/>
      <c r="K7" s="123"/>
      <c r="L7" s="123"/>
      <c r="M7" s="123"/>
      <c r="N7" s="123"/>
      <c r="O7" s="159"/>
      <c r="P7" s="159"/>
      <c r="Q7" s="159"/>
      <c r="R7" s="159"/>
      <c r="S7" s="159"/>
    </row>
    <row r="8" spans="1:19" s="160" customFormat="1" ht="19.5" customHeight="1">
      <c r="A8" s="136"/>
      <c r="B8" s="490"/>
      <c r="C8" s="490"/>
      <c r="D8" s="490"/>
      <c r="E8" s="490"/>
      <c r="F8" s="490"/>
      <c r="G8" s="490"/>
      <c r="H8" s="490"/>
      <c r="I8" s="490"/>
      <c r="J8" s="490"/>
      <c r="K8" s="123"/>
      <c r="L8" s="123"/>
      <c r="M8" s="123"/>
      <c r="N8" s="123"/>
      <c r="O8" s="159"/>
      <c r="P8" s="159"/>
      <c r="Q8" s="159"/>
      <c r="R8" s="159"/>
      <c r="S8" s="159"/>
    </row>
    <row r="9" spans="1:19" s="160" customFormat="1" ht="15.75" customHeight="1">
      <c r="A9" s="136"/>
      <c r="B9" s="503" t="s">
        <v>168</v>
      </c>
      <c r="C9" s="503"/>
      <c r="D9" s="503"/>
      <c r="E9" s="503"/>
      <c r="F9" s="503"/>
      <c r="G9" s="503"/>
      <c r="H9" s="281"/>
      <c r="I9" s="281"/>
      <c r="J9" s="281"/>
      <c r="K9" s="123"/>
      <c r="L9" s="210"/>
      <c r="M9" s="123"/>
      <c r="N9" s="123"/>
      <c r="O9" s="159"/>
      <c r="P9" s="159"/>
      <c r="Q9" s="159"/>
      <c r="R9" s="159"/>
      <c r="S9" s="159"/>
    </row>
    <row r="10" spans="1:19" s="160" customFormat="1" ht="12" customHeight="1">
      <c r="A10" s="122"/>
      <c r="B10" s="122"/>
      <c r="C10" s="122"/>
      <c r="D10" s="122"/>
      <c r="E10" s="122"/>
      <c r="F10" s="122"/>
      <c r="G10" s="122"/>
      <c r="H10" s="123"/>
      <c r="I10" s="123"/>
      <c r="J10" s="123"/>
      <c r="K10" s="123"/>
      <c r="L10" s="161"/>
      <c r="M10" s="123"/>
      <c r="N10" s="123"/>
      <c r="O10" s="159"/>
      <c r="P10" s="159"/>
      <c r="Q10" s="159"/>
      <c r="R10" s="159"/>
      <c r="S10" s="159"/>
    </row>
    <row r="11" spans="2:10" ht="19.5" customHeight="1">
      <c r="B11" s="497" t="s">
        <v>159</v>
      </c>
      <c r="C11" s="498"/>
      <c r="D11" s="498"/>
      <c r="E11" s="499"/>
      <c r="G11" s="497" t="s">
        <v>31</v>
      </c>
      <c r="H11" s="498"/>
      <c r="I11" s="498"/>
      <c r="J11" s="499"/>
    </row>
    <row r="12" spans="2:10" ht="19.5" customHeight="1">
      <c r="B12" s="125"/>
      <c r="C12" s="481" t="s">
        <v>80</v>
      </c>
      <c r="D12" s="482" t="s">
        <v>169</v>
      </c>
      <c r="E12" s="478" t="s">
        <v>27</v>
      </c>
      <c r="G12" s="128"/>
      <c r="H12" s="474" t="s">
        <v>80</v>
      </c>
      <c r="I12" s="474" t="str">
        <f>+D12</f>
        <v>Soles</v>
      </c>
      <c r="J12" s="475" t="s">
        <v>27</v>
      </c>
    </row>
    <row r="13" spans="2:15" ht="19.5" customHeight="1">
      <c r="B13" s="129" t="s">
        <v>76</v>
      </c>
      <c r="C13" s="476">
        <f>(+'DEP-C2'!C18+'DEP-C2'!C42)/1000</f>
        <v>4630.70885889</v>
      </c>
      <c r="D13" s="476">
        <f>(+'DEP-C2'!D18+'DEP-C2'!D42)/1000</f>
        <v>15110.00300655248</v>
      </c>
      <c r="E13" s="479">
        <f>+C13/$C$15</f>
        <v>0.664594890318271</v>
      </c>
      <c r="G13" s="129" t="s">
        <v>77</v>
      </c>
      <c r="H13" s="476">
        <f>('DEP-C7'!D15+'DEP-C7'!D18+'DEP-C7'!D20+'DEP-C7'!D23+'DEP-C7'!D28+'DEP-C7'!D36+'DEP-C7'!D41+'DEP-C7'!D43+'DEP-C7'!D69+'DEP-C7'!D84+'DEP-C7'!D86)/1000</f>
        <v>2947.40095363</v>
      </c>
      <c r="I13" s="476">
        <f>('DEP-C7'!E15+'DEP-C7'!E18+'DEP-C7'!E20+'DEP-C7'!E23+'DEP-C7'!E28+'DEP-C7'!E36+'DEP-C7'!E41+'DEP-C7'!E43+'DEP-C7'!E69+'DEP-C7'!E84+'DEP-C7'!E86)/1000</f>
        <v>9617.369311679999</v>
      </c>
      <c r="J13" s="130">
        <f>+H13/$H$15</f>
        <v>0.4230081555961253</v>
      </c>
      <c r="N13" s="211"/>
      <c r="O13" s="211"/>
    </row>
    <row r="14" spans="2:15" ht="19.5" customHeight="1">
      <c r="B14" s="129" t="s">
        <v>75</v>
      </c>
      <c r="C14" s="476">
        <f>(+'DEP-C2'!C14+'DEP-C2'!C38)/1000</f>
        <v>2337.0077551699997</v>
      </c>
      <c r="D14" s="476">
        <f>(+'DEP-C2'!D14+'DEP-C2'!D38)/1000</f>
        <v>7625.65630512327</v>
      </c>
      <c r="E14" s="479">
        <f>+C14/$C$15</f>
        <v>0.33540510968172904</v>
      </c>
      <c r="G14" s="129" t="s">
        <v>78</v>
      </c>
      <c r="H14" s="476">
        <f>'DEP-C7'!D38/1000</f>
        <v>4020.31566043</v>
      </c>
      <c r="I14" s="476">
        <f>+'DEP-C7'!E38/1000</f>
        <v>13118.28999999</v>
      </c>
      <c r="J14" s="130">
        <f>+H14/$H$15</f>
        <v>0.5769918444038746</v>
      </c>
      <c r="O14" s="162"/>
    </row>
    <row r="15" spans="2:15" ht="19.5" customHeight="1">
      <c r="B15" s="131" t="s">
        <v>28</v>
      </c>
      <c r="C15" s="477">
        <f>SUM(C13:C14)</f>
        <v>6967.716614059999</v>
      </c>
      <c r="D15" s="477">
        <f>SUM(D13:D14)</f>
        <v>22735.65931167575</v>
      </c>
      <c r="E15" s="480">
        <f>SUM(E13:E14)</f>
        <v>1</v>
      </c>
      <c r="G15" s="131" t="s">
        <v>28</v>
      </c>
      <c r="H15" s="477">
        <f>SUM(H13:H14)</f>
        <v>6967.71661406</v>
      </c>
      <c r="I15" s="477">
        <f>SUM(I13:I14)</f>
        <v>22735.65931167</v>
      </c>
      <c r="J15" s="132">
        <f>SUM(J13:J14)</f>
        <v>1</v>
      </c>
      <c r="O15" s="162"/>
    </row>
    <row r="16" spans="2:10" ht="19.5" customHeight="1">
      <c r="B16" s="127"/>
      <c r="C16" s="290"/>
      <c r="D16" s="290"/>
      <c r="E16" s="241"/>
      <c r="G16" s="127"/>
      <c r="H16" s="291"/>
      <c r="I16" s="291"/>
      <c r="J16" s="241"/>
    </row>
    <row r="17" spans="2:8" ht="19.5" customHeight="1">
      <c r="B17" s="170"/>
      <c r="C17" s="292"/>
      <c r="H17" s="133"/>
    </row>
    <row r="18" spans="2:12" ht="19.5" customHeight="1">
      <c r="B18" s="497" t="s">
        <v>70</v>
      </c>
      <c r="C18" s="498"/>
      <c r="D18" s="498"/>
      <c r="E18" s="499"/>
      <c r="G18" s="497" t="s">
        <v>63</v>
      </c>
      <c r="H18" s="498"/>
      <c r="I18" s="498"/>
      <c r="J18" s="499"/>
      <c r="L18" s="133"/>
    </row>
    <row r="19" spans="2:10" ht="19.5" customHeight="1">
      <c r="B19" s="128"/>
      <c r="C19" s="474" t="s">
        <v>80</v>
      </c>
      <c r="D19" s="474" t="str">
        <f>+D12</f>
        <v>Soles</v>
      </c>
      <c r="E19" s="483" t="s">
        <v>27</v>
      </c>
      <c r="G19" s="128"/>
      <c r="H19" s="474" t="s">
        <v>80</v>
      </c>
      <c r="I19" s="474" t="str">
        <f>+I12</f>
        <v>Soles</v>
      </c>
      <c r="J19" s="483" t="s">
        <v>27</v>
      </c>
    </row>
    <row r="20" spans="2:12" ht="19.5" customHeight="1">
      <c r="B20" s="129" t="s">
        <v>78</v>
      </c>
      <c r="C20" s="476">
        <f>+('DEP-C7'!D38)/1000</f>
        <v>4020.31566043</v>
      </c>
      <c r="D20" s="476">
        <f>+('DEP-C7'!E38)/1000</f>
        <v>13118.28999999</v>
      </c>
      <c r="E20" s="479">
        <f>+C20/$C$25</f>
        <v>0.5769918444038746</v>
      </c>
      <c r="G20" s="129" t="s">
        <v>80</v>
      </c>
      <c r="H20" s="476">
        <f>('DEP-C3'!C22+'DEP-C3'!C60)/1000</f>
        <v>3962.61745248</v>
      </c>
      <c r="I20" s="476">
        <f>('DEP-C3'!D22+'DEP-C3'!D60)/1000</f>
        <v>12930.020747440001</v>
      </c>
      <c r="J20" s="479">
        <f>+H20/$H$25</f>
        <v>0.5687110529845492</v>
      </c>
      <c r="L20" s="163"/>
    </row>
    <row r="21" spans="2:12" ht="19.5" customHeight="1">
      <c r="B21" s="129" t="s">
        <v>79</v>
      </c>
      <c r="C21" s="476">
        <f>+('DEP-C7'!D15+'DEP-C7'!D28+'DEP-C7'!D69)/1000</f>
        <v>1340.1344402900004</v>
      </c>
      <c r="D21" s="476">
        <f>+('DEP-C7'!E15+'DEP-C7'!E28+'DEP-C7'!E69)/1000</f>
        <v>4372.858678639999</v>
      </c>
      <c r="E21" s="479">
        <f>+C21/$C$25</f>
        <v>0.19233480844869222</v>
      </c>
      <c r="G21" s="129" t="s">
        <v>169</v>
      </c>
      <c r="H21" s="476">
        <f>('DEP-C3'!C14+'DEP-C3'!C53)/1000</f>
        <v>2088.62444373</v>
      </c>
      <c r="I21" s="476">
        <f>(+'DEP-C3'!D14+'DEP-C3'!D53)/1000</f>
        <v>6815.18155989</v>
      </c>
      <c r="J21" s="479">
        <f>+H21/$H$25</f>
        <v>0.2997573752519458</v>
      </c>
      <c r="L21" s="176"/>
    </row>
    <row r="22" spans="2:12" ht="19.5" customHeight="1">
      <c r="B22" s="129" t="s">
        <v>252</v>
      </c>
      <c r="C22" s="476">
        <f>+('DEP-C7'!D20+'DEP-C7'!D41)/1000</f>
        <v>1062.7806386799998</v>
      </c>
      <c r="D22" s="476">
        <f>+('DEP-C7'!E20+'DEP-C7'!E41)/1000</f>
        <v>3467.8532240200007</v>
      </c>
      <c r="E22" s="479">
        <f>+C22/$C$25</f>
        <v>0.15252925707906065</v>
      </c>
      <c r="G22" s="129" t="s">
        <v>81</v>
      </c>
      <c r="H22" s="476">
        <f>+'DEP-C3'!C26/1000</f>
        <v>553.22346031</v>
      </c>
      <c r="I22" s="476">
        <f>+'DEP-C3'!D26/1000</f>
        <v>1805.16815099</v>
      </c>
      <c r="J22" s="479">
        <f>+H22/$H$25</f>
        <v>0.07939809997347808</v>
      </c>
      <c r="L22" s="212"/>
    </row>
    <row r="23" spans="2:12" ht="19.5" customHeight="1">
      <c r="B23" s="129" t="s">
        <v>129</v>
      </c>
      <c r="C23" s="476">
        <f>+('DEP-C7'!D18+'DEP-C7'!D36+'DEP-C7'!D84)/1000</f>
        <v>149.32947832</v>
      </c>
      <c r="D23" s="476">
        <f>(+'DEP-C7'!E18+'DEP-C7'!E36+'DEP-C7'!E84)/1000</f>
        <v>487.26208776000004</v>
      </c>
      <c r="E23" s="479">
        <f>+C23/$C$25</f>
        <v>0.021431623384147308</v>
      </c>
      <c r="G23" s="129" t="s">
        <v>157</v>
      </c>
      <c r="H23" s="476">
        <f>+'DEP-C3'!C30/1000</f>
        <v>266.54918786</v>
      </c>
      <c r="I23" s="476">
        <f>+'DEP-C3'!D30/1000</f>
        <v>869.74999999</v>
      </c>
      <c r="J23" s="479">
        <f>+H23/$H$25</f>
        <v>0.03825488357579532</v>
      </c>
      <c r="L23" s="176"/>
    </row>
    <row r="24" spans="2:12" ht="19.5" customHeight="1">
      <c r="B24" s="129" t="s">
        <v>36</v>
      </c>
      <c r="C24" s="476">
        <f>+('DEP-C7'!D23+'DEP-C7'!D43+'DEP-C7'!D86)/1000</f>
        <v>395.15639634</v>
      </c>
      <c r="D24" s="476">
        <f>+('DEP-C7'!E23+'DEP-C7'!E43+'DEP-C7'!E86)/1000</f>
        <v>1289.39532126</v>
      </c>
      <c r="E24" s="479">
        <f>+C24/$C$25</f>
        <v>0.05671246668422518</v>
      </c>
      <c r="G24" s="129" t="s">
        <v>82</v>
      </c>
      <c r="H24" s="253">
        <f>+'DEP-C3'!C34/1000</f>
        <v>96.70206968</v>
      </c>
      <c r="I24" s="253">
        <f>+'DEP-C3'!D34/1000</f>
        <v>315.53885336</v>
      </c>
      <c r="J24" s="479">
        <f>+H24/$H$25</f>
        <v>0.013878588214231768</v>
      </c>
      <c r="L24" s="213"/>
    </row>
    <row r="25" spans="2:10" ht="19.5" customHeight="1">
      <c r="B25" s="131" t="s">
        <v>28</v>
      </c>
      <c r="C25" s="477">
        <f>SUM(C20:C24)</f>
        <v>6967.71661406</v>
      </c>
      <c r="D25" s="477">
        <f>SUM(D20:D24)</f>
        <v>22735.65931167</v>
      </c>
      <c r="E25" s="480">
        <f>SUM(E20:E24)</f>
        <v>0.9999999999999999</v>
      </c>
      <c r="G25" s="131" t="s">
        <v>28</v>
      </c>
      <c r="H25" s="477">
        <f>SUM(H20:H24)</f>
        <v>6967.716614059999</v>
      </c>
      <c r="I25" s="477">
        <f>SUM(I20:I24)</f>
        <v>22735.659311670002</v>
      </c>
      <c r="J25" s="480">
        <f>SUM(J20:J24)</f>
        <v>1</v>
      </c>
    </row>
    <row r="26" spans="3:9" ht="19.5" customHeight="1">
      <c r="C26" s="253"/>
      <c r="H26" s="176"/>
      <c r="I26" s="176"/>
    </row>
    <row r="27" spans="2:8" ht="19.5" customHeight="1">
      <c r="B27" s="127"/>
      <c r="C27" s="293"/>
      <c r="D27" s="294"/>
      <c r="E27" s="241"/>
      <c r="G27" s="243"/>
      <c r="H27" s="253"/>
    </row>
    <row r="28" spans="2:10" ht="19.5" customHeight="1">
      <c r="B28" s="497" t="s">
        <v>29</v>
      </c>
      <c r="C28" s="498"/>
      <c r="D28" s="498"/>
      <c r="E28" s="499"/>
      <c r="G28" s="497" t="s">
        <v>30</v>
      </c>
      <c r="H28" s="498"/>
      <c r="I28" s="498"/>
      <c r="J28" s="499"/>
    </row>
    <row r="29" spans="2:10" ht="19.5" customHeight="1">
      <c r="B29" s="128"/>
      <c r="C29" s="474" t="s">
        <v>80</v>
      </c>
      <c r="D29" s="474" t="str">
        <f>+D19</f>
        <v>Soles</v>
      </c>
      <c r="E29" s="483" t="s">
        <v>27</v>
      </c>
      <c r="G29" s="128"/>
      <c r="H29" s="126" t="s">
        <v>80</v>
      </c>
      <c r="I29" s="126" t="str">
        <f>+I19</f>
        <v>Soles</v>
      </c>
      <c r="J29" s="484" t="s">
        <v>27</v>
      </c>
    </row>
    <row r="30" spans="2:14" ht="19.5" customHeight="1">
      <c r="B30" s="129" t="s">
        <v>95</v>
      </c>
      <c r="C30" s="476">
        <f>(+'DEP-C2'!C15+'DEP-C2'!C19)/1000</f>
        <v>4728.813704409999</v>
      </c>
      <c r="D30" s="476">
        <f>(+'DEP-C2'!D15+'DEP-C2'!D19)/1000</f>
        <v>15430.11911749</v>
      </c>
      <c r="E30" s="479">
        <f>+C30/$C$32</f>
        <v>0.678674803574507</v>
      </c>
      <c r="G30" s="129" t="s">
        <v>83</v>
      </c>
      <c r="H30" s="476">
        <f>'DEP-C2'!C22/1000</f>
        <v>6272.79704381</v>
      </c>
      <c r="I30" s="476">
        <f>+'DEP-C2'!D22/1000</f>
        <v>20468.13675395</v>
      </c>
      <c r="J30" s="479">
        <f>+H30/$H$32</f>
        <v>0.90026581034485</v>
      </c>
      <c r="N30" s="163"/>
    </row>
    <row r="31" spans="2:14" ht="19.5" customHeight="1">
      <c r="B31" s="129" t="s">
        <v>96</v>
      </c>
      <c r="C31" s="476">
        <f>(+'DEP-C2'!C16+'DEP-C2'!C20+'DEP-C2'!C39+'DEP-C2'!C43)/1000</f>
        <v>2238.90290965</v>
      </c>
      <c r="D31" s="476">
        <f>(+'DEP-C2'!D16+'DEP-C2'!D20+'DEP-C2'!D39+'DEP-C2'!D43)/1000</f>
        <v>7305.540194185751</v>
      </c>
      <c r="E31" s="479">
        <f>+C31/$C$32</f>
        <v>0.32132519642549295</v>
      </c>
      <c r="G31" s="129" t="s">
        <v>84</v>
      </c>
      <c r="H31" s="476">
        <f>+'DEP-C2'!C45/1000</f>
        <v>694.9195702500001</v>
      </c>
      <c r="I31" s="476">
        <f>+'DEP-C2'!D45/1000</f>
        <v>2267.5225577257497</v>
      </c>
      <c r="J31" s="479">
        <f>+H31/$H$32</f>
        <v>0.09973418965515006</v>
      </c>
      <c r="N31" s="164"/>
    </row>
    <row r="32" spans="2:14" ht="19.5" customHeight="1">
      <c r="B32" s="131" t="s">
        <v>28</v>
      </c>
      <c r="C32" s="477">
        <f>SUM(C30:C31)</f>
        <v>6967.716614059999</v>
      </c>
      <c r="D32" s="477">
        <f>SUM(D30:D31)</f>
        <v>22735.65931167575</v>
      </c>
      <c r="E32" s="480">
        <f>SUM(E30:E31)</f>
        <v>1</v>
      </c>
      <c r="G32" s="131" t="s">
        <v>28</v>
      </c>
      <c r="H32" s="477">
        <f>SUM(H30:H31)</f>
        <v>6967.71661406</v>
      </c>
      <c r="I32" s="477">
        <f>SUM(I30:I31)</f>
        <v>22735.65931167575</v>
      </c>
      <c r="J32" s="480">
        <f>SUM(J30:J31)</f>
        <v>1</v>
      </c>
      <c r="N32" s="162"/>
    </row>
    <row r="33" ht="8.25" customHeight="1"/>
    <row r="34" spans="2:10" ht="15.75" customHeight="1">
      <c r="B34" s="254"/>
      <c r="C34" s="295"/>
      <c r="D34" s="296"/>
      <c r="E34" s="254"/>
      <c r="F34" s="254"/>
      <c r="G34" s="254"/>
      <c r="H34" s="296"/>
      <c r="I34" s="296"/>
      <c r="J34" s="254"/>
    </row>
    <row r="35" spans="2:10" ht="5.25" customHeight="1">
      <c r="B35" s="255"/>
      <c r="C35" s="255"/>
      <c r="D35" s="255"/>
      <c r="E35" s="255"/>
      <c r="F35" s="255"/>
      <c r="G35" s="255"/>
      <c r="H35" s="255"/>
      <c r="J35" s="256"/>
    </row>
    <row r="36" spans="2:9" ht="15.75" customHeight="1">
      <c r="B36" s="257"/>
      <c r="C36" s="258"/>
      <c r="D36" s="258"/>
      <c r="E36" s="259"/>
      <c r="F36" s="89"/>
      <c r="G36" s="89"/>
      <c r="H36" s="260"/>
      <c r="I36" s="176"/>
    </row>
    <row r="37" spans="2:8" ht="15.75" customHeight="1">
      <c r="B37" s="500"/>
      <c r="C37" s="501"/>
      <c r="D37" s="501"/>
      <c r="E37" s="501"/>
      <c r="F37" s="89"/>
      <c r="G37" s="89"/>
      <c r="H37" s="89"/>
    </row>
    <row r="38" spans="2:6" s="78" customFormat="1" ht="15.75" customHeight="1">
      <c r="B38" s="89"/>
      <c r="C38" s="261"/>
      <c r="D38" s="262"/>
      <c r="E38" s="89"/>
      <c r="F38" s="271"/>
    </row>
    <row r="39" spans="2:6" s="78" customFormat="1" ht="15.75" customHeight="1">
      <c r="B39" s="89"/>
      <c r="C39" s="165"/>
      <c r="D39" s="89"/>
      <c r="E39" s="89"/>
      <c r="F39" s="271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489" t="s">
        <v>188</v>
      </c>
      <c r="C5" s="489"/>
      <c r="D5" s="489"/>
      <c r="E5" s="489"/>
      <c r="F5" s="489"/>
      <c r="G5" s="489"/>
      <c r="H5" s="489"/>
    </row>
    <row r="6" spans="2:8" s="4" customFormat="1" ht="19.5" customHeight="1">
      <c r="B6" s="502" t="s">
        <v>18</v>
      </c>
      <c r="C6" s="502"/>
      <c r="D6" s="502"/>
      <c r="E6" s="502"/>
      <c r="F6" s="502"/>
      <c r="G6" s="502"/>
      <c r="H6" s="502"/>
    </row>
    <row r="7" spans="2:8" s="4" customFormat="1" ht="18" customHeight="1">
      <c r="B7" s="490" t="str">
        <f>+Indice!B7</f>
        <v>AL 28 DE FEBRERO 2017</v>
      </c>
      <c r="C7" s="490"/>
      <c r="D7" s="490"/>
      <c r="E7" s="490"/>
      <c r="F7" s="490"/>
      <c r="G7" s="490"/>
      <c r="H7" s="490"/>
    </row>
    <row r="8" spans="2:9" s="4" customFormat="1" ht="24.75" customHeight="1">
      <c r="B8" s="281"/>
      <c r="C8" s="281"/>
      <c r="D8" s="281"/>
      <c r="E8" s="281"/>
      <c r="F8" s="281"/>
      <c r="G8" s="281"/>
      <c r="H8" s="281"/>
      <c r="I8" s="47"/>
    </row>
    <row r="9" spans="2:8" ht="17.25" customHeight="1">
      <c r="B9" s="89"/>
      <c r="C9" s="89"/>
      <c r="D9" s="89"/>
      <c r="E9" s="89"/>
      <c r="F9" s="89"/>
      <c r="G9" s="89"/>
      <c r="H9" s="89"/>
    </row>
    <row r="10" spans="2:8" ht="16.5">
      <c r="B10" s="504" t="str">
        <f>+Resumen!B11:E11</f>
        <v>TIPO DE DEUDA</v>
      </c>
      <c r="C10" s="504"/>
      <c r="D10" s="504"/>
      <c r="E10" s="93"/>
      <c r="F10" s="504" t="s">
        <v>31</v>
      </c>
      <c r="G10" s="504"/>
      <c r="H10" s="504"/>
    </row>
    <row r="11" spans="2:8" ht="12.75">
      <c r="B11" s="89"/>
      <c r="C11" s="89"/>
      <c r="D11" s="89"/>
      <c r="E11" s="89"/>
      <c r="F11" s="89"/>
      <c r="G11" s="89"/>
      <c r="H11" s="89"/>
    </row>
    <row r="28" spans="2:8" s="23" customFormat="1" ht="16.5">
      <c r="B28" s="504" t="str">
        <f>+Resumen!B18:E18</f>
        <v>GRUPO DEL ACREEDOR</v>
      </c>
      <c r="C28" s="504"/>
      <c r="D28" s="504"/>
      <c r="F28" s="504" t="s">
        <v>63</v>
      </c>
      <c r="G28" s="504"/>
      <c r="H28" s="504"/>
    </row>
    <row r="48" spans="2:8" s="23" customFormat="1" ht="16.5">
      <c r="B48" s="504" t="s">
        <v>29</v>
      </c>
      <c r="C48" s="504"/>
      <c r="D48" s="504"/>
      <c r="F48" s="504" t="s">
        <v>30</v>
      </c>
      <c r="G48" s="504"/>
      <c r="H48" s="504"/>
    </row>
    <row r="66" spans="2:8" ht="30" customHeight="1">
      <c r="B66" s="507"/>
      <c r="C66" s="507"/>
      <c r="D66" s="507"/>
      <c r="E66" s="507"/>
      <c r="F66" s="507"/>
      <c r="G66" s="507"/>
      <c r="H66" s="50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05"/>
      <c r="C69" s="506"/>
      <c r="D69" s="506"/>
      <c r="E69" s="506"/>
      <c r="F69" s="51"/>
      <c r="G69" s="51"/>
      <c r="H69" s="51"/>
    </row>
    <row r="70" spans="2:8" ht="15.75" customHeight="1">
      <c r="B70" s="505"/>
      <c r="C70" s="506"/>
      <c r="D70" s="506"/>
      <c r="E70" s="506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1" width="12.7109375" style="10" customWidth="1"/>
    <col min="22" max="23" width="12.7109375" style="9" customWidth="1"/>
    <col min="24" max="24" width="12.7109375" style="9" hidden="1" customWidth="1"/>
    <col min="25" max="33" width="11.421875" style="9" hidden="1" customWidth="1"/>
    <col min="34" max="219" width="11.421875" style="9" customWidth="1"/>
    <col min="220" max="220" width="25.7109375" style="9" customWidth="1"/>
    <col min="221" max="16384" width="15.7109375" style="9" customWidth="1"/>
  </cols>
  <sheetData>
    <row r="1" ht="12.75">
      <c r="B1" s="8"/>
    </row>
    <row r="2" spans="2:21" s="11" customFormat="1" ht="18">
      <c r="B2" s="531"/>
      <c r="C2" s="531"/>
      <c r="D2" s="531"/>
      <c r="E2" s="531"/>
      <c r="F2" s="531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s="11" customFormat="1" ht="18">
      <c r="B3" s="531"/>
      <c r="C3" s="531"/>
      <c r="D3" s="531"/>
      <c r="E3" s="531"/>
      <c r="F3" s="531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5" spans="2:21" s="120" customFormat="1" ht="18">
      <c r="B5" s="135" t="s">
        <v>11</v>
      </c>
      <c r="C5" s="135"/>
      <c r="D5" s="135"/>
      <c r="E5" s="135"/>
      <c r="F5" s="135"/>
      <c r="G5" s="119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2:21" s="11" customFormat="1" ht="18">
      <c r="B6" s="422" t="s">
        <v>117</v>
      </c>
      <c r="C6" s="422"/>
      <c r="D6" s="422"/>
      <c r="E6" s="422"/>
      <c r="F6" s="42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s="11" customFormat="1" ht="18">
      <c r="B7" s="485" t="s">
        <v>172</v>
      </c>
      <c r="C7" s="282"/>
      <c r="D7" s="282"/>
      <c r="E7" s="282"/>
      <c r="F7" s="28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s="11" customFormat="1" ht="18">
      <c r="B8" s="411" t="s">
        <v>160</v>
      </c>
      <c r="C8" s="139"/>
      <c r="D8" s="282"/>
      <c r="E8" s="282"/>
      <c r="F8" s="28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s="11" customFormat="1" ht="18">
      <c r="B9" s="407" t="s">
        <v>256</v>
      </c>
      <c r="C9" s="139"/>
      <c r="D9" s="282"/>
      <c r="E9" s="282"/>
      <c r="F9" s="28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1" customFormat="1" ht="18">
      <c r="B10" s="473" t="s">
        <v>116</v>
      </c>
      <c r="C10" s="287"/>
      <c r="D10" s="282"/>
      <c r="E10" s="282"/>
      <c r="F10" s="28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7" ht="10.5" customHeight="1">
      <c r="B11" s="269"/>
      <c r="C11" s="269"/>
      <c r="D11" s="269"/>
      <c r="E11" s="269"/>
      <c r="F11" s="178"/>
      <c r="G11" s="22"/>
    </row>
    <row r="12" spans="2:33" s="27" customFormat="1" ht="18" customHeight="1">
      <c r="B12" s="521" t="s">
        <v>144</v>
      </c>
      <c r="C12" s="510">
        <v>2009</v>
      </c>
      <c r="D12" s="536">
        <v>2010</v>
      </c>
      <c r="E12" s="532">
        <v>2011</v>
      </c>
      <c r="F12" s="510">
        <v>2012</v>
      </c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510">
        <v>2013</v>
      </c>
      <c r="S12" s="510">
        <v>2014</v>
      </c>
      <c r="T12" s="527">
        <v>2015</v>
      </c>
      <c r="U12" s="512">
        <v>2016</v>
      </c>
      <c r="V12" s="529">
        <v>2017</v>
      </c>
      <c r="W12" s="530"/>
      <c r="X12" s="469"/>
      <c r="Y12" s="469"/>
      <c r="Z12" s="469"/>
      <c r="AA12" s="469"/>
      <c r="AB12" s="469"/>
      <c r="AC12" s="469"/>
      <c r="AD12" s="469"/>
      <c r="AE12" s="469"/>
      <c r="AF12" s="469"/>
      <c r="AG12" s="470"/>
    </row>
    <row r="13" spans="2:33" s="27" customFormat="1" ht="18" customHeight="1">
      <c r="B13" s="522"/>
      <c r="C13" s="511"/>
      <c r="D13" s="537"/>
      <c r="E13" s="533"/>
      <c r="F13" s="511"/>
      <c r="G13" s="111" t="s">
        <v>101</v>
      </c>
      <c r="H13" s="111" t="s">
        <v>102</v>
      </c>
      <c r="I13" s="112" t="s">
        <v>107</v>
      </c>
      <c r="J13" s="112" t="s">
        <v>109</v>
      </c>
      <c r="K13" s="112" t="s">
        <v>113</v>
      </c>
      <c r="L13" s="112" t="s">
        <v>126</v>
      </c>
      <c r="M13" s="112" t="s">
        <v>145</v>
      </c>
      <c r="N13" s="112" t="s">
        <v>147</v>
      </c>
      <c r="O13" s="112" t="s">
        <v>149</v>
      </c>
      <c r="P13" s="112" t="s">
        <v>152</v>
      </c>
      <c r="Q13" s="112" t="s">
        <v>154</v>
      </c>
      <c r="R13" s="511"/>
      <c r="S13" s="511"/>
      <c r="T13" s="528"/>
      <c r="U13" s="513"/>
      <c r="V13" s="449" t="s">
        <v>101</v>
      </c>
      <c r="W13" s="471" t="s">
        <v>102</v>
      </c>
      <c r="X13" s="449" t="s">
        <v>107</v>
      </c>
      <c r="Y13" s="449" t="s">
        <v>171</v>
      </c>
      <c r="Z13" s="449" t="s">
        <v>181</v>
      </c>
      <c r="AA13" s="449" t="s">
        <v>126</v>
      </c>
      <c r="AB13" s="449" t="s">
        <v>145</v>
      </c>
      <c r="AC13" s="449" t="s">
        <v>147</v>
      </c>
      <c r="AD13" s="449" t="s">
        <v>149</v>
      </c>
      <c r="AE13" s="449" t="s">
        <v>152</v>
      </c>
      <c r="AF13" s="449" t="s">
        <v>154</v>
      </c>
      <c r="AG13" s="462" t="s">
        <v>184</v>
      </c>
    </row>
    <row r="14" spans="2:33" s="27" customFormat="1" ht="4.5" customHeight="1">
      <c r="B14" s="181"/>
      <c r="C14" s="104"/>
      <c r="D14" s="182"/>
      <c r="E14" s="183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59"/>
      <c r="U14" s="463"/>
      <c r="V14" s="192"/>
      <c r="W14" s="456"/>
      <c r="X14" s="192"/>
      <c r="Y14" s="192"/>
      <c r="Z14" s="192"/>
      <c r="AA14" s="192"/>
      <c r="AB14" s="192"/>
      <c r="AC14" s="192"/>
      <c r="AD14" s="192"/>
      <c r="AE14" s="192"/>
      <c r="AF14" s="192"/>
      <c r="AG14" s="464"/>
    </row>
    <row r="15" spans="2:33" s="25" customFormat="1" ht="21.75" customHeight="1">
      <c r="B15" s="184" t="s">
        <v>34</v>
      </c>
      <c r="C15" s="185">
        <v>1389</v>
      </c>
      <c r="D15" s="185">
        <v>2144</v>
      </c>
      <c r="E15" s="186">
        <v>2188</v>
      </c>
      <c r="F15" s="32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60">
        <v>2258.8960634599985</v>
      </c>
      <c r="U15" s="465">
        <v>2931.5247573100005</v>
      </c>
      <c r="V15" s="33">
        <v>2318.57313536</v>
      </c>
      <c r="W15" s="457">
        <v>2337.00775517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466">
        <v>0</v>
      </c>
    </row>
    <row r="16" spans="2:33" s="25" customFormat="1" ht="21.75" customHeight="1">
      <c r="B16" s="184" t="s">
        <v>33</v>
      </c>
      <c r="C16" s="185">
        <v>256</v>
      </c>
      <c r="D16" s="185">
        <v>389</v>
      </c>
      <c r="E16" s="186">
        <v>590</v>
      </c>
      <c r="F16" s="32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60">
        <v>4201.51382237</v>
      </c>
      <c r="U16" s="465">
        <v>4539.076503679999</v>
      </c>
      <c r="V16" s="33">
        <v>4465.43897746</v>
      </c>
      <c r="W16" s="457">
        <v>4630.70885889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466">
        <v>0</v>
      </c>
    </row>
    <row r="17" spans="2:33" s="25" customFormat="1" ht="6" customHeight="1">
      <c r="B17" s="187"/>
      <c r="C17" s="188"/>
      <c r="D17" s="188"/>
      <c r="E17" s="189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61"/>
      <c r="U17" s="467"/>
      <c r="V17" s="35"/>
      <c r="W17" s="458"/>
      <c r="X17" s="35"/>
      <c r="Y17" s="35"/>
      <c r="Z17" s="35"/>
      <c r="AA17" s="35"/>
      <c r="AB17" s="35"/>
      <c r="AC17" s="35"/>
      <c r="AD17" s="35"/>
      <c r="AE17" s="35"/>
      <c r="AF17" s="35"/>
      <c r="AG17" s="468"/>
    </row>
    <row r="18" spans="2:33" s="27" customFormat="1" ht="15" customHeight="1">
      <c r="B18" s="515" t="s">
        <v>103</v>
      </c>
      <c r="C18" s="517">
        <f aca="true" t="shared" si="0" ref="C18:H18">SUM(C15:C16)</f>
        <v>1645</v>
      </c>
      <c r="D18" s="517">
        <f t="shared" si="0"/>
        <v>2533</v>
      </c>
      <c r="E18" s="519">
        <f t="shared" si="0"/>
        <v>2778</v>
      </c>
      <c r="F18" s="517">
        <f t="shared" si="0"/>
        <v>3231.62940566</v>
      </c>
      <c r="G18" s="517">
        <f t="shared" si="0"/>
        <v>3978.2822575499995</v>
      </c>
      <c r="H18" s="517">
        <f t="shared" si="0"/>
        <v>4283.16118678</v>
      </c>
      <c r="I18" s="508">
        <f aca="true" t="shared" si="1" ref="I18:N18">SUM(I15:I16)</f>
        <v>4271.37034379</v>
      </c>
      <c r="J18" s="508">
        <f t="shared" si="1"/>
        <v>3622.58121752</v>
      </c>
      <c r="K18" s="508">
        <f t="shared" si="1"/>
        <v>3177.2183911999996</v>
      </c>
      <c r="L18" s="508">
        <f t="shared" si="1"/>
        <v>3224.1298934800006</v>
      </c>
      <c r="M18" s="508">
        <f t="shared" si="1"/>
        <v>3273.10540427</v>
      </c>
      <c r="N18" s="508">
        <f t="shared" si="1"/>
        <v>3382.31552197</v>
      </c>
      <c r="O18" s="508">
        <f>+O15+O16</f>
        <v>3510.4566990000008</v>
      </c>
      <c r="P18" s="508">
        <f>+P15+P16</f>
        <v>3663.6902058299997</v>
      </c>
      <c r="Q18" s="508">
        <f>+Q15+Q16</f>
        <v>3934.70126796</v>
      </c>
      <c r="R18" s="508">
        <f>+R15+R16</f>
        <v>4098.53643417</v>
      </c>
      <c r="S18" s="508">
        <f>+S15+S16</f>
        <v>5844.665124709998</v>
      </c>
      <c r="T18" s="525">
        <f aca="true" t="shared" si="2" ref="T18:Z18">+T16+T15</f>
        <v>6460.4098858299985</v>
      </c>
      <c r="U18" s="534">
        <f>+U16+U15</f>
        <v>7470.60126099</v>
      </c>
      <c r="V18" s="508">
        <f t="shared" si="2"/>
        <v>6784.012112820001</v>
      </c>
      <c r="W18" s="523">
        <f t="shared" si="2"/>
        <v>6967.71661406</v>
      </c>
      <c r="X18" s="508">
        <f t="shared" si="2"/>
        <v>0</v>
      </c>
      <c r="Y18" s="508">
        <f t="shared" si="2"/>
        <v>0</v>
      </c>
      <c r="Z18" s="508">
        <f t="shared" si="2"/>
        <v>0</v>
      </c>
      <c r="AA18" s="508">
        <f aca="true" t="shared" si="3" ref="AA18:AF18">+AA16+AA15</f>
        <v>0</v>
      </c>
      <c r="AB18" s="508">
        <f t="shared" si="3"/>
        <v>0</v>
      </c>
      <c r="AC18" s="508">
        <f t="shared" si="3"/>
        <v>0</v>
      </c>
      <c r="AD18" s="508">
        <f t="shared" si="3"/>
        <v>0</v>
      </c>
      <c r="AE18" s="508">
        <f t="shared" si="3"/>
        <v>0</v>
      </c>
      <c r="AF18" s="508">
        <f t="shared" si="3"/>
        <v>0</v>
      </c>
      <c r="AG18" s="508">
        <f>+AG16+AG15</f>
        <v>0</v>
      </c>
    </row>
    <row r="19" spans="2:33" s="27" customFormat="1" ht="15" customHeight="1">
      <c r="B19" s="516"/>
      <c r="C19" s="518"/>
      <c r="D19" s="518"/>
      <c r="E19" s="520"/>
      <c r="F19" s="518"/>
      <c r="G19" s="518"/>
      <c r="H19" s="518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26"/>
      <c r="U19" s="535"/>
      <c r="V19" s="509"/>
      <c r="W19" s="524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</row>
    <row r="20" spans="2:7" ht="7.5" customHeight="1">
      <c r="B20" s="36"/>
      <c r="C20" s="37"/>
      <c r="D20" s="37"/>
      <c r="E20" s="37"/>
      <c r="F20" s="37"/>
      <c r="G20" s="37"/>
    </row>
    <row r="21" spans="2:21" ht="7.5" customHeight="1">
      <c r="B21" s="36"/>
      <c r="C21" s="37"/>
      <c r="D21" s="37"/>
      <c r="E21" s="37"/>
      <c r="F21" s="37"/>
      <c r="G21" s="37"/>
      <c r="T21" s="190"/>
      <c r="U21" s="190"/>
    </row>
    <row r="22" spans="2:33" s="25" customFormat="1" ht="28.5" customHeight="1">
      <c r="B22" s="514"/>
      <c r="C22" s="514"/>
      <c r="D22" s="514"/>
      <c r="E22" s="514"/>
      <c r="F22" s="51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91"/>
      <c r="U22" s="191"/>
      <c r="V22" s="198"/>
      <c r="W22" s="198"/>
      <c r="X22" s="198"/>
      <c r="Y22" s="214"/>
      <c r="Z22" s="214"/>
      <c r="AA22" s="214"/>
      <c r="AB22" s="214"/>
      <c r="AC22" s="214"/>
      <c r="AD22" s="214"/>
      <c r="AE22" s="214"/>
      <c r="AF22" s="214"/>
      <c r="AG22" s="214"/>
    </row>
    <row r="23" spans="2:21" s="25" customFormat="1" ht="28.5" customHeight="1">
      <c r="B23" s="514"/>
      <c r="C23" s="514"/>
      <c r="D23" s="514"/>
      <c r="E23" s="514"/>
      <c r="F23" s="51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3:21" ht="12.75">
      <c r="C25" s="40"/>
      <c r="D25" s="41"/>
      <c r="E25" s="41"/>
      <c r="F25" s="41"/>
      <c r="G25" s="41"/>
      <c r="T25" s="166"/>
      <c r="U25" s="166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1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8:21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8:21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8:21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8:21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8:21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51" spans="3:5" ht="12.75">
      <c r="C51" s="46"/>
      <c r="D51" s="46"/>
      <c r="E51" s="46"/>
    </row>
  </sheetData>
  <sheetProtection/>
  <mergeCells count="46">
    <mergeCell ref="AF18:AF19"/>
    <mergeCell ref="AE18:AE19"/>
    <mergeCell ref="B2:F2"/>
    <mergeCell ref="B3:F3"/>
    <mergeCell ref="E12:E13"/>
    <mergeCell ref="U18:U19"/>
    <mergeCell ref="D12:D13"/>
    <mergeCell ref="AD18:AD19"/>
    <mergeCell ref="R12:R13"/>
    <mergeCell ref="AC18:AC19"/>
    <mergeCell ref="AB18:AB19"/>
    <mergeCell ref="Z18:Z19"/>
    <mergeCell ref="V18:V19"/>
    <mergeCell ref="O18:O19"/>
    <mergeCell ref="H18:H19"/>
    <mergeCell ref="I18:I19"/>
    <mergeCell ref="Q18:Q19"/>
    <mergeCell ref="R18:R19"/>
    <mergeCell ref="B12:B13"/>
    <mergeCell ref="Y18:Y19"/>
    <mergeCell ref="X18:X19"/>
    <mergeCell ref="W18:W19"/>
    <mergeCell ref="T18:T19"/>
    <mergeCell ref="T12:T13"/>
    <mergeCell ref="C12:C13"/>
    <mergeCell ref="V12:W12"/>
    <mergeCell ref="F12:F13"/>
    <mergeCell ref="P18:P19"/>
    <mergeCell ref="B23:F23"/>
    <mergeCell ref="B18:B19"/>
    <mergeCell ref="C18:C19"/>
    <mergeCell ref="D18:D19"/>
    <mergeCell ref="E18:E19"/>
    <mergeCell ref="G18:G19"/>
    <mergeCell ref="B22:F22"/>
    <mergeCell ref="F18:F19"/>
    <mergeCell ref="AG18:AG19"/>
    <mergeCell ref="J18:J19"/>
    <mergeCell ref="S18:S19"/>
    <mergeCell ref="N18:N19"/>
    <mergeCell ref="S12:S13"/>
    <mergeCell ref="L18:L19"/>
    <mergeCell ref="K18:K19"/>
    <mergeCell ref="AA18:AA19"/>
    <mergeCell ref="M18:M19"/>
    <mergeCell ref="U12:U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90" customWidth="1"/>
    <col min="4" max="4" width="19.7109375" style="2" customWidth="1"/>
    <col min="5" max="5" width="11.421875" style="177" customWidth="1"/>
    <col min="6" max="6" width="17.28125" style="177" customWidth="1"/>
    <col min="7" max="7" width="20.00390625" style="177" customWidth="1"/>
    <col min="8" max="8" width="19.140625" style="177" bestFit="1" customWidth="1"/>
    <col min="9" max="9" width="13.00390625" style="177" bestFit="1" customWidth="1"/>
    <col min="10" max="10" width="11.421875" style="177" customWidth="1"/>
    <col min="11" max="12" width="11.421875" style="2" customWidth="1"/>
    <col min="13" max="14" width="11.421875" style="199" customWidth="1"/>
    <col min="15" max="16384" width="11.421875" style="2" customWidth="1"/>
  </cols>
  <sheetData>
    <row r="1" spans="2:6" ht="12.75">
      <c r="B1" s="20"/>
      <c r="F1" s="396"/>
    </row>
    <row r="2" spans="2:14" s="1" customFormat="1" ht="13.5" customHeight="1">
      <c r="B2" s="531"/>
      <c r="C2" s="531"/>
      <c r="D2" s="531"/>
      <c r="E2" s="177"/>
      <c r="F2" s="396"/>
      <c r="G2" s="177"/>
      <c r="H2" s="177"/>
      <c r="I2" s="177"/>
      <c r="J2" s="177"/>
      <c r="M2" s="245"/>
      <c r="N2" s="245"/>
    </row>
    <row r="3" spans="2:14" s="1" customFormat="1" ht="13.5" customHeight="1">
      <c r="B3" s="531"/>
      <c r="C3" s="531"/>
      <c r="D3" s="531"/>
      <c r="E3" s="177"/>
      <c r="F3" s="396"/>
      <c r="G3" s="177"/>
      <c r="H3" s="177"/>
      <c r="I3" s="177"/>
      <c r="J3" s="177"/>
      <c r="M3" s="245"/>
      <c r="N3" s="245"/>
    </row>
    <row r="4" spans="2:14" s="1" customFormat="1" ht="18">
      <c r="B4" s="531"/>
      <c r="C4" s="531"/>
      <c r="D4" s="531"/>
      <c r="E4" s="177"/>
      <c r="F4" s="396"/>
      <c r="G4" s="177"/>
      <c r="H4" s="177"/>
      <c r="I4" s="177"/>
      <c r="J4" s="177"/>
      <c r="M4" s="245"/>
      <c r="N4" s="245"/>
    </row>
    <row r="5" spans="2:14" s="13" customFormat="1" ht="18">
      <c r="B5" s="135" t="s">
        <v>12</v>
      </c>
      <c r="C5" s="135"/>
      <c r="D5" s="135"/>
      <c r="E5" s="177"/>
      <c r="F5" s="396"/>
      <c r="H5" s="177"/>
      <c r="I5" s="298"/>
      <c r="J5" s="177"/>
      <c r="M5" s="246"/>
      <c r="N5" s="246"/>
    </row>
    <row r="6" spans="2:7" ht="18">
      <c r="B6" s="348" t="s">
        <v>139</v>
      </c>
      <c r="C6" s="348"/>
      <c r="D6" s="348"/>
      <c r="F6" s="396"/>
      <c r="G6" s="297"/>
    </row>
    <row r="7" spans="2:7" ht="18">
      <c r="B7" s="348" t="s">
        <v>138</v>
      </c>
      <c r="C7" s="348"/>
      <c r="D7" s="348"/>
      <c r="F7" s="396"/>
      <c r="G7" s="299"/>
    </row>
    <row r="8" spans="2:6" ht="15.75">
      <c r="B8" s="194" t="s">
        <v>158</v>
      </c>
      <c r="C8" s="194"/>
      <c r="D8" s="194"/>
      <c r="F8" s="396"/>
    </row>
    <row r="9" spans="2:14" s="3" customFormat="1" ht="15.75">
      <c r="B9" s="139" t="s">
        <v>257</v>
      </c>
      <c r="C9" s="287"/>
      <c r="D9" s="143"/>
      <c r="E9" s="345">
        <f>+Portada!H39</f>
        <v>3.263</v>
      </c>
      <c r="F9" s="147"/>
      <c r="G9" s="300"/>
      <c r="H9" s="301"/>
      <c r="I9" s="215"/>
      <c r="J9" s="215"/>
      <c r="M9" s="248"/>
      <c r="N9" s="248"/>
    </row>
    <row r="10" spans="2:6" ht="9.75" customHeight="1">
      <c r="B10" s="194"/>
      <c r="C10" s="194"/>
      <c r="D10" s="194"/>
      <c r="F10" s="396"/>
    </row>
    <row r="11" spans="2:12" ht="18.75" customHeight="1">
      <c r="B11" s="542" t="s">
        <v>161</v>
      </c>
      <c r="C11" s="538" t="s">
        <v>90</v>
      </c>
      <c r="D11" s="538" t="s">
        <v>170</v>
      </c>
      <c r="E11" s="349"/>
      <c r="F11" s="357"/>
      <c r="G11" s="349"/>
      <c r="H11" s="349"/>
      <c r="I11" s="349"/>
      <c r="J11" s="349"/>
      <c r="K11" s="350"/>
      <c r="L11" s="350"/>
    </row>
    <row r="12" spans="2:12" ht="18.75" customHeight="1">
      <c r="B12" s="543"/>
      <c r="C12" s="539"/>
      <c r="D12" s="539"/>
      <c r="E12" s="349"/>
      <c r="F12" s="357"/>
      <c r="G12" s="349"/>
      <c r="H12" s="349"/>
      <c r="I12" s="349"/>
      <c r="J12" s="349"/>
      <c r="K12" s="350"/>
      <c r="L12" s="350"/>
    </row>
    <row r="13" spans="2:14" s="16" customFormat="1" ht="9.75" customHeight="1">
      <c r="B13" s="273"/>
      <c r="C13" s="179"/>
      <c r="D13" s="180"/>
      <c r="E13" s="349"/>
      <c r="F13" s="397"/>
      <c r="G13" s="351"/>
      <c r="H13" s="351"/>
      <c r="I13" s="351"/>
      <c r="J13" s="349"/>
      <c r="K13" s="351"/>
      <c r="L13" s="351"/>
      <c r="M13" s="249"/>
      <c r="N13" s="249"/>
    </row>
    <row r="14" spans="2:14" s="13" customFormat="1" ht="19.5" customHeight="1">
      <c r="B14" s="67" t="s">
        <v>19</v>
      </c>
      <c r="C14" s="346">
        <f>SUM(C15:C16)</f>
        <v>1960634.67588</v>
      </c>
      <c r="D14" s="82">
        <f>SUM(D15:D16)</f>
        <v>6397550.9474</v>
      </c>
      <c r="E14" s="349"/>
      <c r="F14" s="398"/>
      <c r="G14" s="352"/>
      <c r="H14" s="352"/>
      <c r="I14" s="352"/>
      <c r="J14" s="349"/>
      <c r="K14" s="349"/>
      <c r="L14" s="349"/>
      <c r="M14" s="244"/>
      <c r="N14" s="244"/>
    </row>
    <row r="15" spans="2:14" s="13" customFormat="1" ht="16.5" customHeight="1">
      <c r="B15" s="68" t="s">
        <v>25</v>
      </c>
      <c r="C15" s="347">
        <v>833318.00314</v>
      </c>
      <c r="D15" s="77">
        <f>ROUND(+C15*$E$9,5)</f>
        <v>2719116.64425</v>
      </c>
      <c r="E15" s="353"/>
      <c r="F15" s="399"/>
      <c r="G15" s="352"/>
      <c r="H15" s="352"/>
      <c r="I15" s="352"/>
      <c r="J15" s="349"/>
      <c r="K15" s="353"/>
      <c r="L15" s="354"/>
      <c r="M15" s="251"/>
      <c r="N15" s="244"/>
    </row>
    <row r="16" spans="2:14" s="13" customFormat="1" ht="16.5" customHeight="1">
      <c r="B16" s="68" t="s">
        <v>24</v>
      </c>
      <c r="C16" s="347">
        <v>1127316.67274</v>
      </c>
      <c r="D16" s="77">
        <f>ROUND(+C16*$E$9,5)</f>
        <v>3678434.30315</v>
      </c>
      <c r="E16" s="353"/>
      <c r="F16" s="400"/>
      <c r="G16" s="352"/>
      <c r="H16" s="352"/>
      <c r="I16" s="352"/>
      <c r="J16" s="349"/>
      <c r="K16" s="349"/>
      <c r="L16" s="354"/>
      <c r="M16" s="251"/>
      <c r="N16" s="244"/>
    </row>
    <row r="17" spans="2:14" s="13" customFormat="1" ht="15" customHeight="1">
      <c r="B17" s="15"/>
      <c r="C17" s="347"/>
      <c r="D17" s="77"/>
      <c r="E17" s="349"/>
      <c r="F17" s="401"/>
      <c r="G17" s="352"/>
      <c r="H17" s="352"/>
      <c r="I17" s="352"/>
      <c r="J17" s="349"/>
      <c r="K17" s="353"/>
      <c r="L17" s="354"/>
      <c r="M17" s="251"/>
      <c r="N17" s="244"/>
    </row>
    <row r="18" spans="2:14" s="13" customFormat="1" ht="19.5" customHeight="1">
      <c r="B18" s="18" t="s">
        <v>20</v>
      </c>
      <c r="C18" s="346">
        <f>+C19+C20</f>
        <v>4312162.36793</v>
      </c>
      <c r="D18" s="82">
        <f>+D19+D20</f>
        <v>14070585.80655</v>
      </c>
      <c r="E18" s="349"/>
      <c r="F18" s="398"/>
      <c r="G18" s="352"/>
      <c r="H18" s="352"/>
      <c r="I18" s="352"/>
      <c r="J18" s="349"/>
      <c r="K18" s="349"/>
      <c r="L18" s="353"/>
      <c r="M18" s="244"/>
      <c r="N18" s="244"/>
    </row>
    <row r="19" spans="2:14" s="13" customFormat="1" ht="16.5" customHeight="1">
      <c r="B19" s="15" t="s">
        <v>25</v>
      </c>
      <c r="C19" s="347">
        <v>3895495.70127</v>
      </c>
      <c r="D19" s="77">
        <f>ROUND(+C19*$E$9,5)</f>
        <v>12711002.47324</v>
      </c>
      <c r="E19" s="349"/>
      <c r="F19" s="399"/>
      <c r="G19" s="352"/>
      <c r="H19" s="352"/>
      <c r="I19" s="352"/>
      <c r="J19" s="349"/>
      <c r="K19" s="353"/>
      <c r="L19" s="354"/>
      <c r="M19" s="251"/>
      <c r="N19" s="244"/>
    </row>
    <row r="20" spans="2:14" s="13" customFormat="1" ht="16.5" customHeight="1">
      <c r="B20" s="15" t="s">
        <v>114</v>
      </c>
      <c r="C20" s="347">
        <v>416666.66666</v>
      </c>
      <c r="D20" s="77">
        <f>ROUND(+C20*$E$9,5)</f>
        <v>1359583.33331</v>
      </c>
      <c r="E20" s="349"/>
      <c r="F20" s="400"/>
      <c r="G20" s="352"/>
      <c r="H20" s="352"/>
      <c r="I20" s="352"/>
      <c r="J20" s="349"/>
      <c r="K20" s="353"/>
      <c r="L20" s="354"/>
      <c r="M20" s="251"/>
      <c r="N20" s="244"/>
    </row>
    <row r="21" spans="2:14" s="13" customFormat="1" ht="9.75" customHeight="1">
      <c r="B21" s="15"/>
      <c r="C21" s="347"/>
      <c r="D21" s="77"/>
      <c r="E21" s="349"/>
      <c r="F21" s="402"/>
      <c r="G21" s="352"/>
      <c r="H21" s="352"/>
      <c r="I21" s="352"/>
      <c r="J21" s="349"/>
      <c r="K21" s="353"/>
      <c r="L21" s="353"/>
      <c r="M21" s="244"/>
      <c r="N21" s="244"/>
    </row>
    <row r="22" spans="2:14" s="13" customFormat="1" ht="15" customHeight="1">
      <c r="B22" s="544" t="s">
        <v>62</v>
      </c>
      <c r="C22" s="540">
        <f>+C18+C14</f>
        <v>6272797.04381</v>
      </c>
      <c r="D22" s="540">
        <f>+D18+D14</f>
        <v>20468136.75395</v>
      </c>
      <c r="E22" s="349"/>
      <c r="F22" s="398"/>
      <c r="G22" s="352"/>
      <c r="H22" s="352"/>
      <c r="I22" s="352"/>
      <c r="J22" s="349"/>
      <c r="K22" s="349"/>
      <c r="L22" s="349"/>
      <c r="M22" s="244"/>
      <c r="N22" s="244"/>
    </row>
    <row r="23" spans="2:14" s="16" customFormat="1" ht="15" customHeight="1">
      <c r="B23" s="545"/>
      <c r="C23" s="541"/>
      <c r="D23" s="541"/>
      <c r="E23" s="349"/>
      <c r="F23" s="402"/>
      <c r="G23" s="352"/>
      <c r="H23" s="351"/>
      <c r="I23" s="351"/>
      <c r="J23" s="349"/>
      <c r="K23" s="349"/>
      <c r="L23" s="355"/>
      <c r="M23" s="252"/>
      <c r="N23" s="244"/>
    </row>
    <row r="24" spans="2:14" ht="14.25">
      <c r="B24" s="364"/>
      <c r="C24" s="365"/>
      <c r="D24" s="350"/>
      <c r="E24" s="349"/>
      <c r="F24" s="402"/>
      <c r="G24" s="352"/>
      <c r="H24" s="349"/>
      <c r="I24" s="349"/>
      <c r="J24" s="349"/>
      <c r="K24" s="356"/>
      <c r="L24" s="356"/>
      <c r="M24" s="244"/>
      <c r="N24" s="244"/>
    </row>
    <row r="25" spans="2:14" ht="14.25">
      <c r="B25" s="366"/>
      <c r="C25" s="367"/>
      <c r="D25" s="367"/>
      <c r="E25" s="357"/>
      <c r="F25" s="403"/>
      <c r="G25" s="352"/>
      <c r="H25" s="349"/>
      <c r="I25" s="349"/>
      <c r="J25" s="349"/>
      <c r="K25" s="349"/>
      <c r="L25" s="358"/>
      <c r="M25" s="244"/>
      <c r="N25" s="244"/>
    </row>
    <row r="26" spans="2:14" ht="14.25">
      <c r="B26" s="364"/>
      <c r="C26" s="368"/>
      <c r="D26" s="369"/>
      <c r="E26" s="349"/>
      <c r="F26" s="403"/>
      <c r="G26" s="352"/>
      <c r="H26" s="349"/>
      <c r="I26" s="349"/>
      <c r="J26" s="349"/>
      <c r="K26" s="357"/>
      <c r="L26" s="353"/>
      <c r="M26" s="250"/>
      <c r="N26" s="244"/>
    </row>
    <row r="27" spans="2:14" ht="14.25">
      <c r="B27" s="350"/>
      <c r="C27" s="367"/>
      <c r="D27" s="370"/>
      <c r="E27" s="349"/>
      <c r="F27" s="403"/>
      <c r="G27" s="352"/>
      <c r="H27" s="349"/>
      <c r="I27" s="349"/>
      <c r="J27" s="349"/>
      <c r="K27" s="349"/>
      <c r="L27" s="353"/>
      <c r="M27" s="244"/>
      <c r="N27" s="244"/>
    </row>
    <row r="28" spans="2:14" ht="14.25">
      <c r="B28" s="350"/>
      <c r="C28" s="371"/>
      <c r="D28" s="371"/>
      <c r="E28" s="349"/>
      <c r="F28" s="402"/>
      <c r="G28" s="352"/>
      <c r="H28" s="349"/>
      <c r="I28" s="349"/>
      <c r="J28" s="349"/>
      <c r="K28" s="349"/>
      <c r="L28" s="359"/>
      <c r="M28" s="247"/>
      <c r="N28" s="244"/>
    </row>
    <row r="29" spans="2:14" s="1" customFormat="1" ht="18">
      <c r="B29" s="135" t="s">
        <v>119</v>
      </c>
      <c r="C29" s="135"/>
      <c r="D29" s="135"/>
      <c r="E29" s="349"/>
      <c r="F29" s="402"/>
      <c r="G29" s="352"/>
      <c r="H29" s="360"/>
      <c r="I29" s="360"/>
      <c r="J29" s="349"/>
      <c r="K29" s="349"/>
      <c r="L29" s="349"/>
      <c r="M29" s="244"/>
      <c r="N29" s="244"/>
    </row>
    <row r="30" spans="2:14" s="1" customFormat="1" ht="18">
      <c r="B30" s="348" t="s">
        <v>139</v>
      </c>
      <c r="C30" s="348"/>
      <c r="D30" s="348"/>
      <c r="E30" s="349"/>
      <c r="F30" s="402"/>
      <c r="G30" s="352"/>
      <c r="H30" s="360"/>
      <c r="I30" s="360"/>
      <c r="J30" s="349"/>
      <c r="K30" s="349"/>
      <c r="L30" s="353"/>
      <c r="M30" s="250"/>
      <c r="N30" s="244"/>
    </row>
    <row r="31" spans="2:14" s="1" customFormat="1" ht="18">
      <c r="B31" s="348" t="s">
        <v>140</v>
      </c>
      <c r="C31" s="348"/>
      <c r="D31" s="348"/>
      <c r="E31" s="349"/>
      <c r="F31" s="402"/>
      <c r="G31" s="352"/>
      <c r="H31" s="360"/>
      <c r="I31" s="360"/>
      <c r="J31" s="349"/>
      <c r="K31" s="349"/>
      <c r="L31" s="349"/>
      <c r="M31" s="244"/>
      <c r="N31" s="244"/>
    </row>
    <row r="32" spans="2:14" s="1" customFormat="1" ht="18">
      <c r="B32" s="194" t="s">
        <v>158</v>
      </c>
      <c r="C32" s="194"/>
      <c r="D32" s="194"/>
      <c r="E32" s="349"/>
      <c r="F32" s="402"/>
      <c r="G32" s="352"/>
      <c r="H32" s="349"/>
      <c r="I32" s="349"/>
      <c r="J32" s="349"/>
      <c r="K32" s="349"/>
      <c r="L32" s="349"/>
      <c r="M32" s="244"/>
      <c r="N32" s="244"/>
    </row>
    <row r="33" spans="2:14" s="3" customFormat="1" ht="15.75">
      <c r="B33" s="274" t="str">
        <f>+B9</f>
        <v>Al 28 de febrero de 2017</v>
      </c>
      <c r="C33" s="274"/>
      <c r="D33" s="143"/>
      <c r="E33" s="361"/>
      <c r="F33" s="402"/>
      <c r="G33" s="352"/>
      <c r="H33" s="362"/>
      <c r="I33" s="361"/>
      <c r="J33" s="361"/>
      <c r="K33" s="363"/>
      <c r="L33" s="363"/>
      <c r="M33" s="248"/>
      <c r="N33" s="248"/>
    </row>
    <row r="34" spans="2:14" s="3" customFormat="1" ht="9.75" customHeight="1">
      <c r="B34" s="14"/>
      <c r="C34" s="274"/>
      <c r="D34" s="12"/>
      <c r="E34" s="361"/>
      <c r="F34" s="402"/>
      <c r="G34" s="352"/>
      <c r="H34" s="361"/>
      <c r="I34" s="361"/>
      <c r="J34" s="361"/>
      <c r="K34" s="363"/>
      <c r="L34" s="363"/>
      <c r="M34" s="248"/>
      <c r="N34" s="248"/>
    </row>
    <row r="35" spans="2:12" ht="18.75" customHeight="1">
      <c r="B35" s="542" t="s">
        <v>161</v>
      </c>
      <c r="C35" s="538" t="s">
        <v>90</v>
      </c>
      <c r="D35" s="538" t="s">
        <v>170</v>
      </c>
      <c r="E35" s="349"/>
      <c r="F35" s="402"/>
      <c r="G35" s="352"/>
      <c r="H35" s="349"/>
      <c r="I35" s="349"/>
      <c r="J35" s="349"/>
      <c r="K35" s="350"/>
      <c r="L35" s="350"/>
    </row>
    <row r="36" spans="2:14" s="16" customFormat="1" ht="18.75" customHeight="1">
      <c r="B36" s="543"/>
      <c r="C36" s="539"/>
      <c r="D36" s="539"/>
      <c r="E36" s="349"/>
      <c r="F36" s="402"/>
      <c r="G36" s="352"/>
      <c r="H36" s="349"/>
      <c r="I36" s="349"/>
      <c r="J36" s="349"/>
      <c r="K36" s="351"/>
      <c r="L36" s="351"/>
      <c r="M36" s="249"/>
      <c r="N36" s="249"/>
    </row>
    <row r="37" spans="2:14" s="16" customFormat="1" ht="9.75" customHeight="1">
      <c r="B37" s="17"/>
      <c r="C37" s="278"/>
      <c r="D37" s="19"/>
      <c r="E37" s="349"/>
      <c r="F37" s="402"/>
      <c r="G37" s="352"/>
      <c r="H37" s="349"/>
      <c r="I37" s="349"/>
      <c r="J37" s="349"/>
      <c r="K37" s="351"/>
      <c r="L37" s="351"/>
      <c r="M37" s="249"/>
      <c r="N37" s="249"/>
    </row>
    <row r="38" spans="2:14" s="13" customFormat="1" ht="19.5" customHeight="1">
      <c r="B38" s="18" t="s">
        <v>150</v>
      </c>
      <c r="C38" s="346">
        <f>SUM(C39:C40)</f>
        <v>376373.07929</v>
      </c>
      <c r="D38" s="82">
        <f>SUM(D39:D40)</f>
        <v>1228105.35772327</v>
      </c>
      <c r="E38" s="349"/>
      <c r="F38" s="398"/>
      <c r="G38" s="352"/>
      <c r="H38" s="349"/>
      <c r="I38" s="349"/>
      <c r="J38" s="349"/>
      <c r="K38" s="352"/>
      <c r="L38" s="352"/>
      <c r="M38" s="246"/>
      <c r="N38" s="246"/>
    </row>
    <row r="39" spans="2:14" s="13" customFormat="1" ht="16.5" customHeight="1">
      <c r="B39" s="15" t="s">
        <v>24</v>
      </c>
      <c r="C39" s="347">
        <v>376373.07929</v>
      </c>
      <c r="D39" s="77">
        <f>+C39*$E$9</f>
        <v>1228105.35772327</v>
      </c>
      <c r="E39" s="349"/>
      <c r="F39" s="400"/>
      <c r="G39" s="352"/>
      <c r="H39" s="349"/>
      <c r="I39" s="349"/>
      <c r="J39" s="349"/>
      <c r="K39" s="352"/>
      <c r="L39" s="352"/>
      <c r="M39" s="246"/>
      <c r="N39" s="246"/>
    </row>
    <row r="40" spans="2:14" s="13" customFormat="1" ht="21.75" customHeight="1" hidden="1">
      <c r="B40" s="15" t="s">
        <v>25</v>
      </c>
      <c r="C40" s="347">
        <v>0</v>
      </c>
      <c r="D40" s="77">
        <f>+C40*$E$9</f>
        <v>0</v>
      </c>
      <c r="E40" s="349"/>
      <c r="F40" s="402"/>
      <c r="G40" s="352"/>
      <c r="H40" s="349"/>
      <c r="I40" s="349"/>
      <c r="J40" s="349"/>
      <c r="K40" s="352"/>
      <c r="L40" s="352"/>
      <c r="M40" s="246"/>
      <c r="N40" s="246"/>
    </row>
    <row r="41" spans="2:14" s="13" customFormat="1" ht="15" customHeight="1">
      <c r="B41" s="15"/>
      <c r="C41" s="347"/>
      <c r="D41" s="77"/>
      <c r="E41" s="349"/>
      <c r="F41" s="402"/>
      <c r="G41" s="352"/>
      <c r="H41" s="349"/>
      <c r="I41" s="349"/>
      <c r="J41" s="349"/>
      <c r="K41" s="352"/>
      <c r="L41" s="352"/>
      <c r="M41" s="246"/>
      <c r="N41" s="246"/>
    </row>
    <row r="42" spans="2:14" s="13" customFormat="1" ht="19.5" customHeight="1">
      <c r="B42" s="18" t="s">
        <v>151</v>
      </c>
      <c r="C42" s="346">
        <f>SUM(C43:C43)</f>
        <v>318546.49096</v>
      </c>
      <c r="D42" s="82">
        <f>SUM(D43:D43)</f>
        <v>1039417.2000024801</v>
      </c>
      <c r="E42" s="349"/>
      <c r="F42" s="398"/>
      <c r="G42" s="352"/>
      <c r="H42" s="349"/>
      <c r="I42" s="349"/>
      <c r="J42" s="349"/>
      <c r="K42" s="352"/>
      <c r="L42" s="352"/>
      <c r="M42" s="246"/>
      <c r="N42" s="246"/>
    </row>
    <row r="43" spans="2:14" s="13" customFormat="1" ht="16.5" customHeight="1">
      <c r="B43" s="15" t="s">
        <v>24</v>
      </c>
      <c r="C43" s="347">
        <v>318546.49096</v>
      </c>
      <c r="D43" s="77">
        <f>+C43*$E$9</f>
        <v>1039417.2000024801</v>
      </c>
      <c r="E43" s="349"/>
      <c r="F43" s="400"/>
      <c r="G43" s="352"/>
      <c r="H43" s="349"/>
      <c r="I43" s="349"/>
      <c r="J43" s="349"/>
      <c r="K43" s="352"/>
      <c r="L43" s="352"/>
      <c r="M43" s="246"/>
      <c r="N43" s="246"/>
    </row>
    <row r="44" spans="2:14" s="13" customFormat="1" ht="7.5" customHeight="1">
      <c r="B44" s="15"/>
      <c r="C44" s="347"/>
      <c r="D44" s="77"/>
      <c r="E44" s="349"/>
      <c r="F44" s="352"/>
      <c r="G44" s="352"/>
      <c r="H44" s="349"/>
      <c r="I44" s="349"/>
      <c r="J44" s="349"/>
      <c r="K44" s="352"/>
      <c r="L44" s="352"/>
      <c r="M44" s="246"/>
      <c r="N44" s="246"/>
    </row>
    <row r="45" spans="2:14" s="13" customFormat="1" ht="15" customHeight="1">
      <c r="B45" s="544" t="s">
        <v>62</v>
      </c>
      <c r="C45" s="540">
        <f>+C42+C38</f>
        <v>694919.5702500001</v>
      </c>
      <c r="D45" s="540">
        <f>+D42+D38</f>
        <v>2267522.55772575</v>
      </c>
      <c r="E45" s="349"/>
      <c r="F45" s="352"/>
      <c r="G45" s="352"/>
      <c r="H45" s="349"/>
      <c r="I45" s="349"/>
      <c r="J45" s="349"/>
      <c r="K45" s="352"/>
      <c r="L45" s="352"/>
      <c r="M45" s="246"/>
      <c r="N45" s="246"/>
    </row>
    <row r="46" spans="2:14" s="16" customFormat="1" ht="15" customHeight="1">
      <c r="B46" s="545"/>
      <c r="C46" s="541"/>
      <c r="D46" s="541"/>
      <c r="E46" s="349"/>
      <c r="F46" s="389"/>
      <c r="G46" s="352"/>
      <c r="H46" s="349"/>
      <c r="I46" s="349"/>
      <c r="J46" s="349"/>
      <c r="K46" s="351"/>
      <c r="L46" s="351"/>
      <c r="M46" s="249"/>
      <c r="N46" s="249"/>
    </row>
    <row r="47" spans="2:12" ht="16.5" customHeight="1">
      <c r="B47" s="28" t="s">
        <v>142</v>
      </c>
      <c r="E47" s="349"/>
      <c r="F47" s="352"/>
      <c r="G47" s="352"/>
      <c r="H47" s="349"/>
      <c r="I47" s="349"/>
      <c r="J47" s="349"/>
      <c r="K47" s="350"/>
      <c r="L47" s="350"/>
    </row>
    <row r="48" spans="2:12" ht="12.75">
      <c r="B48" s="2" t="s">
        <v>143</v>
      </c>
      <c r="C48" s="216"/>
      <c r="E48" s="349"/>
      <c r="F48" s="349"/>
      <c r="G48" s="349"/>
      <c r="H48" s="349"/>
      <c r="I48" s="349"/>
      <c r="J48" s="349"/>
      <c r="K48" s="350"/>
      <c r="L48" s="350"/>
    </row>
    <row r="49" spans="2:12" ht="12.75">
      <c r="B49" s="350"/>
      <c r="C49" s="394"/>
      <c r="D49" s="372"/>
      <c r="E49" s="349"/>
      <c r="F49" s="349"/>
      <c r="G49" s="349"/>
      <c r="H49" s="349"/>
      <c r="I49" s="349"/>
      <c r="J49" s="349"/>
      <c r="K49" s="350"/>
      <c r="L49" s="350"/>
    </row>
    <row r="50" spans="2:12" ht="12.75">
      <c r="B50" s="350"/>
      <c r="C50" s="373"/>
      <c r="D50" s="350"/>
      <c r="E50" s="349"/>
      <c r="F50" s="349"/>
      <c r="G50" s="349"/>
      <c r="H50" s="349"/>
      <c r="I50" s="349"/>
      <c r="J50" s="349"/>
      <c r="K50" s="350"/>
      <c r="L50" s="350"/>
    </row>
    <row r="51" spans="2:4" ht="12.75">
      <c r="B51" s="350"/>
      <c r="C51" s="374"/>
      <c r="D51" s="350"/>
    </row>
    <row r="52" spans="2:4" ht="12.75">
      <c r="B52" s="350"/>
      <c r="C52" s="375"/>
      <c r="D52" s="350"/>
    </row>
    <row r="53" spans="2:4" ht="12.75">
      <c r="B53" s="350"/>
      <c r="C53" s="374"/>
      <c r="D53" s="350"/>
    </row>
    <row r="54" spans="2:4" ht="12.75">
      <c r="B54" s="350"/>
      <c r="C54" s="374"/>
      <c r="D54" s="350"/>
    </row>
    <row r="55" spans="2:4" ht="12.75">
      <c r="B55" s="350"/>
      <c r="C55" s="374"/>
      <c r="D55" s="350"/>
    </row>
    <row r="56" spans="2:4" ht="12.75">
      <c r="B56" s="350"/>
      <c r="C56" s="374"/>
      <c r="D56" s="350"/>
    </row>
    <row r="57" spans="2:4" ht="12.75">
      <c r="B57" s="350"/>
      <c r="C57" s="374"/>
      <c r="D57" s="350"/>
    </row>
    <row r="58" spans="2:4" ht="12.75">
      <c r="B58" s="350"/>
      <c r="C58" s="374"/>
      <c r="D58" s="350"/>
    </row>
    <row r="59" spans="2:4" ht="12.75">
      <c r="B59" s="350"/>
      <c r="C59" s="374"/>
      <c r="D59" s="350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6.28125" style="90" customWidth="1"/>
    <col min="3" max="4" width="19.7109375" style="90" customWidth="1"/>
    <col min="5" max="5" width="11.421875" style="90" customWidth="1"/>
    <col min="6" max="6" width="16.140625" style="90" customWidth="1"/>
    <col min="7" max="12" width="11.421875" style="90" customWidth="1"/>
    <col min="13" max="13" width="11.421875" style="138" customWidth="1"/>
    <col min="14" max="16384" width="11.421875" style="90" customWidth="1"/>
  </cols>
  <sheetData>
    <row r="1" ht="12.75">
      <c r="B1" s="107"/>
    </row>
    <row r="2" ht="12.75">
      <c r="B2" s="107"/>
    </row>
    <row r="3" ht="12.75">
      <c r="B3" s="107"/>
    </row>
    <row r="4" ht="12" customHeight="1">
      <c r="B4" s="107"/>
    </row>
    <row r="5" spans="2:13" s="142" customFormat="1" ht="18">
      <c r="B5" s="135" t="s">
        <v>13</v>
      </c>
      <c r="C5" s="135"/>
      <c r="D5" s="135"/>
      <c r="M5" s="200"/>
    </row>
    <row r="6" spans="2:13" s="142" customFormat="1" ht="18">
      <c r="B6" s="348" t="s">
        <v>139</v>
      </c>
      <c r="C6" s="348"/>
      <c r="D6" s="348"/>
      <c r="M6" s="200"/>
    </row>
    <row r="7" spans="2:13" s="142" customFormat="1" ht="18">
      <c r="B7" s="348" t="s">
        <v>138</v>
      </c>
      <c r="C7" s="348"/>
      <c r="D7" s="348"/>
      <c r="M7" s="200"/>
    </row>
    <row r="8" spans="2:13" s="142" customFormat="1" ht="18">
      <c r="B8" s="376" t="s">
        <v>37</v>
      </c>
      <c r="C8" s="194"/>
      <c r="D8" s="194"/>
      <c r="M8" s="200"/>
    </row>
    <row r="9" spans="2:13" s="142" customFormat="1" ht="18">
      <c r="B9" s="550" t="str">
        <f>+'DEP-C2'!B9</f>
        <v>Al 28 de febrero de 2017</v>
      </c>
      <c r="C9" s="550"/>
      <c r="D9" s="285"/>
      <c r="E9" s="345">
        <f>+Portada!H39</f>
        <v>3.263</v>
      </c>
      <c r="M9" s="200"/>
    </row>
    <row r="10" spans="2:13" s="65" customFormat="1" ht="9.75" customHeight="1">
      <c r="B10" s="553"/>
      <c r="C10" s="553"/>
      <c r="D10" s="553"/>
      <c r="E10" s="302"/>
      <c r="M10" s="171"/>
    </row>
    <row r="11" spans="2:4" ht="16.5" customHeight="1">
      <c r="B11" s="554" t="s">
        <v>97</v>
      </c>
      <c r="C11" s="548" t="s">
        <v>90</v>
      </c>
      <c r="D11" s="538" t="s">
        <v>170</v>
      </c>
    </row>
    <row r="12" spans="2:13" s="84" customFormat="1" ht="16.5" customHeight="1">
      <c r="B12" s="555"/>
      <c r="C12" s="549"/>
      <c r="D12" s="539"/>
      <c r="M12" s="172"/>
    </row>
    <row r="13" spans="2:13" s="84" customFormat="1" ht="9.75" customHeight="1">
      <c r="B13" s="64"/>
      <c r="C13" s="167"/>
      <c r="D13" s="168"/>
      <c r="M13" s="172"/>
    </row>
    <row r="14" spans="2:13" s="84" customFormat="1" ht="16.5">
      <c r="B14" s="169" t="s">
        <v>65</v>
      </c>
      <c r="C14" s="377">
        <f>SUM(C15:C16)</f>
        <v>1654824.4823999999</v>
      </c>
      <c r="D14" s="378">
        <f>SUM(D15:D16)</f>
        <v>5399692.28607</v>
      </c>
      <c r="M14" s="172"/>
    </row>
    <row r="15" spans="2:13" s="84" customFormat="1" ht="16.5">
      <c r="B15" s="83" t="s">
        <v>25</v>
      </c>
      <c r="C15" s="379">
        <v>1212562.06151</v>
      </c>
      <c r="D15" s="343">
        <f>ROUND(+C15*$E$9,5)</f>
        <v>3956590.00671</v>
      </c>
      <c r="E15" s="303"/>
      <c r="G15" s="304"/>
      <c r="M15" s="172"/>
    </row>
    <row r="16" spans="2:13" s="84" customFormat="1" ht="16.5">
      <c r="B16" s="83" t="s">
        <v>24</v>
      </c>
      <c r="C16" s="379">
        <v>442262.42089</v>
      </c>
      <c r="D16" s="343">
        <f>ROUND(+C16*$E$9,5)</f>
        <v>1443102.27936</v>
      </c>
      <c r="E16" s="303"/>
      <c r="M16" s="172"/>
    </row>
    <row r="17" spans="2:13" s="84" customFormat="1" ht="15" customHeight="1">
      <c r="B17" s="64"/>
      <c r="C17" s="380"/>
      <c r="D17" s="381"/>
      <c r="M17" s="172"/>
    </row>
    <row r="18" spans="2:13" s="84" customFormat="1" ht="16.5">
      <c r="B18" s="169" t="s">
        <v>64</v>
      </c>
      <c r="C18" s="377">
        <f>SUM(C19:C20)</f>
        <v>4617972.561410001</v>
      </c>
      <c r="D18" s="377">
        <f>SUM(D19:D20)</f>
        <v>15068444.467869999</v>
      </c>
      <c r="E18" s="303"/>
      <c r="M18" s="172"/>
    </row>
    <row r="19" spans="2:13" s="84" customFormat="1" ht="16.5">
      <c r="B19" s="83" t="s">
        <v>25</v>
      </c>
      <c r="C19" s="379">
        <f>+C23+C27+C31+C35</f>
        <v>3516251.6429000003</v>
      </c>
      <c r="D19" s="379">
        <f>+D23+D27+D31+D35</f>
        <v>11473529.110779999</v>
      </c>
      <c r="M19" s="172"/>
    </row>
    <row r="20" spans="2:13" s="84" customFormat="1" ht="16.5">
      <c r="B20" s="83" t="s">
        <v>24</v>
      </c>
      <c r="C20" s="379">
        <f>+C24+C28+C32+C36</f>
        <v>1101720.91851</v>
      </c>
      <c r="D20" s="379">
        <f>+D24+D28+D32+D36</f>
        <v>3594915.3570899996</v>
      </c>
      <c r="M20" s="172"/>
    </row>
    <row r="21" spans="2:13" s="84" customFormat="1" ht="9.75" customHeight="1">
      <c r="B21" s="85"/>
      <c r="C21" s="379"/>
      <c r="D21" s="343"/>
      <c r="M21" s="172"/>
    </row>
    <row r="22" spans="2:13" s="84" customFormat="1" ht="16.5">
      <c r="B22" s="385" t="s">
        <v>189</v>
      </c>
      <c r="C22" s="382">
        <f>SUM(C23:C24)</f>
        <v>3701497.84356</v>
      </c>
      <c r="D22" s="383">
        <f>SUM(D23:D24)</f>
        <v>12077987.46353</v>
      </c>
      <c r="G22" s="303"/>
      <c r="I22" s="305"/>
      <c r="M22" s="172"/>
    </row>
    <row r="23" spans="2:13" s="84" customFormat="1" ht="16.5">
      <c r="B23" s="386" t="s">
        <v>25</v>
      </c>
      <c r="C23" s="380">
        <v>3048844.01036</v>
      </c>
      <c r="D23" s="381">
        <f>ROUND(+C23*$E$9,5)</f>
        <v>9948378.0058</v>
      </c>
      <c r="G23" s="303"/>
      <c r="I23" s="305"/>
      <c r="M23" s="172"/>
    </row>
    <row r="24" spans="2:13" s="84" customFormat="1" ht="16.5">
      <c r="B24" s="386" t="s">
        <v>24</v>
      </c>
      <c r="C24" s="380">
        <v>652653.8332</v>
      </c>
      <c r="D24" s="381">
        <f>ROUND(+C24*$E$9,5)</f>
        <v>2129609.45773</v>
      </c>
      <c r="M24" s="172"/>
    </row>
    <row r="25" spans="2:13" s="84" customFormat="1" ht="9.75" customHeight="1">
      <c r="B25" s="85"/>
      <c r="C25" s="379"/>
      <c r="D25" s="343"/>
      <c r="M25" s="172"/>
    </row>
    <row r="26" spans="2:13" s="84" customFormat="1" ht="16.5">
      <c r="B26" s="385" t="s">
        <v>190</v>
      </c>
      <c r="C26" s="382">
        <f>SUM(C27:C28)</f>
        <v>553223.46031</v>
      </c>
      <c r="D26" s="383">
        <f>SUM(D27:D28)</f>
        <v>1805168.15099</v>
      </c>
      <c r="G26" s="306"/>
      <c r="M26" s="172"/>
    </row>
    <row r="27" spans="2:13" s="84" customFormat="1" ht="16.5">
      <c r="B27" s="386" t="s">
        <v>25</v>
      </c>
      <c r="C27" s="380">
        <v>144405.35398</v>
      </c>
      <c r="D27" s="381">
        <f>ROUND(+C27*$E$9,5)</f>
        <v>471194.67004</v>
      </c>
      <c r="M27" s="172"/>
    </row>
    <row r="28" spans="2:13" s="84" customFormat="1" ht="16.5">
      <c r="B28" s="386" t="s">
        <v>24</v>
      </c>
      <c r="C28" s="380">
        <v>408818.10633</v>
      </c>
      <c r="D28" s="381">
        <f>ROUND(+C28*$E$9,5)</f>
        <v>1333973.48095</v>
      </c>
      <c r="M28" s="172"/>
    </row>
    <row r="29" spans="2:13" s="84" customFormat="1" ht="9.75" customHeight="1">
      <c r="B29" s="85"/>
      <c r="C29" s="381"/>
      <c r="D29" s="343"/>
      <c r="M29" s="172"/>
    </row>
    <row r="30" spans="2:13" s="84" customFormat="1" ht="16.5">
      <c r="B30" s="385" t="s">
        <v>191</v>
      </c>
      <c r="C30" s="382">
        <f>+C31+C32</f>
        <v>266549.18786</v>
      </c>
      <c r="D30" s="383">
        <f>+D31+D32</f>
        <v>869749.99999</v>
      </c>
      <c r="M30" s="172"/>
    </row>
    <row r="31" spans="2:13" s="84" customFormat="1" ht="16.5">
      <c r="B31" s="386" t="s">
        <v>25</v>
      </c>
      <c r="C31" s="380">
        <v>266549.18786</v>
      </c>
      <c r="D31" s="381">
        <f>ROUND(+C31*$E$9,5)</f>
        <v>869749.99999</v>
      </c>
      <c r="M31" s="172"/>
    </row>
    <row r="32" spans="2:13" s="84" customFormat="1" ht="16.5">
      <c r="B32" s="386" t="s">
        <v>24</v>
      </c>
      <c r="C32" s="380">
        <v>0</v>
      </c>
      <c r="D32" s="381">
        <f>ROUND(+C32*$E$9,5)</f>
        <v>0</v>
      </c>
      <c r="M32" s="172"/>
    </row>
    <row r="33" spans="2:13" s="84" customFormat="1" ht="9.75" customHeight="1">
      <c r="B33" s="85"/>
      <c r="C33" s="379"/>
      <c r="D33" s="343"/>
      <c r="M33" s="172"/>
    </row>
    <row r="34" spans="2:13" s="84" customFormat="1" ht="16.5">
      <c r="B34" s="387" t="s">
        <v>192</v>
      </c>
      <c r="C34" s="382">
        <f>+SUM(C35:C36)</f>
        <v>96702.06968</v>
      </c>
      <c r="D34" s="383">
        <f>SUM(D35:D36)</f>
        <v>315538.85336</v>
      </c>
      <c r="M34" s="172"/>
    </row>
    <row r="35" spans="2:13" s="84" customFormat="1" ht="16.5">
      <c r="B35" s="386" t="s">
        <v>25</v>
      </c>
      <c r="C35" s="380">
        <v>56453.0907</v>
      </c>
      <c r="D35" s="381">
        <f>ROUND(+C35*$E$9,5)</f>
        <v>184206.43495</v>
      </c>
      <c r="M35" s="172"/>
    </row>
    <row r="36" spans="2:13" s="84" customFormat="1" ht="16.5">
      <c r="B36" s="386" t="s">
        <v>24</v>
      </c>
      <c r="C36" s="380">
        <v>40248.97898</v>
      </c>
      <c r="D36" s="381">
        <f>ROUND(+C36*$E$9,5)</f>
        <v>131332.41841</v>
      </c>
      <c r="M36" s="172"/>
    </row>
    <row r="37" spans="2:13" s="84" customFormat="1" ht="9.75" customHeight="1">
      <c r="B37" s="205"/>
      <c r="C37" s="380"/>
      <c r="D37" s="381"/>
      <c r="M37" s="172"/>
    </row>
    <row r="38" spans="2:13" s="84" customFormat="1" ht="15" customHeight="1">
      <c r="B38" s="551" t="s">
        <v>62</v>
      </c>
      <c r="C38" s="546">
        <f>+C18+C14</f>
        <v>6272797.043810001</v>
      </c>
      <c r="D38" s="546">
        <f>+D18+D14</f>
        <v>20468136.75394</v>
      </c>
      <c r="M38" s="172"/>
    </row>
    <row r="39" spans="2:13" s="84" customFormat="1" ht="15" customHeight="1">
      <c r="B39" s="552"/>
      <c r="C39" s="547"/>
      <c r="D39" s="547"/>
      <c r="M39" s="172"/>
    </row>
    <row r="40" ht="16.5">
      <c r="F40" s="84"/>
    </row>
    <row r="41" spans="3:6" ht="16.5">
      <c r="C41" s="106"/>
      <c r="D41" s="106"/>
      <c r="F41" s="84"/>
    </row>
    <row r="42" spans="3:6" ht="16.5">
      <c r="C42" s="203"/>
      <c r="D42" s="203"/>
      <c r="F42" s="84"/>
    </row>
    <row r="44" spans="2:13" s="142" customFormat="1" ht="18">
      <c r="B44" s="135" t="s">
        <v>120</v>
      </c>
      <c r="C44" s="135"/>
      <c r="D44" s="135"/>
      <c r="M44" s="200"/>
    </row>
    <row r="45" spans="2:13" s="142" customFormat="1" ht="18">
      <c r="B45" s="348" t="s">
        <v>139</v>
      </c>
      <c r="C45" s="348"/>
      <c r="D45" s="348"/>
      <c r="M45" s="200"/>
    </row>
    <row r="46" spans="2:13" s="142" customFormat="1" ht="18">
      <c r="B46" s="348" t="s">
        <v>140</v>
      </c>
      <c r="C46" s="348"/>
      <c r="D46" s="348"/>
      <c r="M46" s="200"/>
    </row>
    <row r="47" spans="2:13" s="142" customFormat="1" ht="18">
      <c r="B47" s="376" t="s">
        <v>37</v>
      </c>
      <c r="C47" s="194"/>
      <c r="D47" s="194"/>
      <c r="M47" s="200"/>
    </row>
    <row r="48" spans="2:13" s="142" customFormat="1" ht="18">
      <c r="B48" s="550" t="str">
        <f>+B9</f>
        <v>Al 28 de febrero de 2017</v>
      </c>
      <c r="C48" s="550"/>
      <c r="D48" s="272"/>
      <c r="M48" s="200"/>
    </row>
    <row r="49" spans="2:13" s="65" customFormat="1" ht="9.75" customHeight="1">
      <c r="B49" s="553"/>
      <c r="C49" s="553"/>
      <c r="D49" s="553"/>
      <c r="M49" s="171"/>
    </row>
    <row r="50" spans="2:4" ht="16.5" customHeight="1">
      <c r="B50" s="554" t="s">
        <v>97</v>
      </c>
      <c r="C50" s="548" t="s">
        <v>90</v>
      </c>
      <c r="D50" s="538" t="s">
        <v>170</v>
      </c>
    </row>
    <row r="51" spans="2:13" s="84" customFormat="1" ht="16.5" customHeight="1">
      <c r="B51" s="555"/>
      <c r="C51" s="549"/>
      <c r="D51" s="539"/>
      <c r="M51" s="172"/>
    </row>
    <row r="52" spans="2:13" s="84" customFormat="1" ht="9.75" customHeight="1">
      <c r="B52" s="64"/>
      <c r="C52" s="167"/>
      <c r="D52" s="206"/>
      <c r="M52" s="172"/>
    </row>
    <row r="53" spans="2:13" s="84" customFormat="1" ht="16.5">
      <c r="B53" s="169" t="s">
        <v>65</v>
      </c>
      <c r="C53" s="377">
        <f>SUM(C54:C55)</f>
        <v>433799.96133</v>
      </c>
      <c r="D53" s="378">
        <f>SUM(D54:D55)</f>
        <v>1415489.27382</v>
      </c>
      <c r="F53" s="389"/>
      <c r="M53" s="172"/>
    </row>
    <row r="54" spans="2:13" s="84" customFormat="1" ht="16.5">
      <c r="B54" s="83" t="s">
        <v>24</v>
      </c>
      <c r="C54" s="379">
        <v>433799.96133</v>
      </c>
      <c r="D54" s="343">
        <f>ROUND(+C54*$E$9,5)</f>
        <v>1415489.27382</v>
      </c>
      <c r="F54" s="388"/>
      <c r="M54" s="172"/>
    </row>
    <row r="55" spans="2:13" s="84" customFormat="1" ht="21.75" customHeight="1" hidden="1">
      <c r="B55" s="85" t="s">
        <v>66</v>
      </c>
      <c r="C55" s="379">
        <v>0</v>
      </c>
      <c r="D55" s="343">
        <f>+C55*$E$9</f>
        <v>0</v>
      </c>
      <c r="M55" s="172"/>
    </row>
    <row r="56" spans="2:13" s="84" customFormat="1" ht="15" customHeight="1">
      <c r="B56" s="64"/>
      <c r="C56" s="380"/>
      <c r="D56" s="381"/>
      <c r="M56" s="172"/>
    </row>
    <row r="57" spans="2:13" s="84" customFormat="1" ht="16.5">
      <c r="B57" s="169" t="s">
        <v>64</v>
      </c>
      <c r="C57" s="377">
        <f>SUM(C58:C58)</f>
        <v>261119.60892</v>
      </c>
      <c r="D57" s="378">
        <f>SUM(D58:D58)</f>
        <v>852033.28391</v>
      </c>
      <c r="F57" s="389"/>
      <c r="M57" s="172"/>
    </row>
    <row r="58" spans="2:13" s="84" customFormat="1" ht="16.5">
      <c r="B58" s="83" t="s">
        <v>24</v>
      </c>
      <c r="C58" s="379">
        <f>+C61</f>
        <v>261119.60892</v>
      </c>
      <c r="D58" s="343">
        <f>+D60</f>
        <v>852033.28391</v>
      </c>
      <c r="F58" s="388"/>
      <c r="M58" s="172"/>
    </row>
    <row r="59" spans="2:13" s="84" customFormat="1" ht="9.75" customHeight="1">
      <c r="B59" s="85"/>
      <c r="C59" s="379"/>
      <c r="D59" s="343"/>
      <c r="M59" s="172"/>
    </row>
    <row r="60" spans="2:13" s="84" customFormat="1" ht="16.5">
      <c r="B60" s="385" t="s">
        <v>189</v>
      </c>
      <c r="C60" s="382">
        <f>SUM(C61:C61)</f>
        <v>261119.60892</v>
      </c>
      <c r="D60" s="382">
        <f>SUM(D61:D61)</f>
        <v>852033.28391</v>
      </c>
      <c r="F60" s="389"/>
      <c r="M60" s="172"/>
    </row>
    <row r="61" spans="2:13" s="84" customFormat="1" ht="16.5">
      <c r="B61" s="386" t="s">
        <v>24</v>
      </c>
      <c r="C61" s="380">
        <v>261119.60892</v>
      </c>
      <c r="D61" s="381">
        <f>ROUND(+C61*$E$9,5)</f>
        <v>852033.28391</v>
      </c>
      <c r="F61" s="388"/>
      <c r="M61" s="172"/>
    </row>
    <row r="62" spans="2:13" s="84" customFormat="1" ht="21.75" customHeight="1" hidden="1">
      <c r="B62" s="83" t="s">
        <v>68</v>
      </c>
      <c r="C62" s="379">
        <v>0</v>
      </c>
      <c r="D62" s="343">
        <f>+C62*$E$9</f>
        <v>0</v>
      </c>
      <c r="F62" s="217"/>
      <c r="M62" s="172"/>
    </row>
    <row r="63" spans="2:13" s="84" customFormat="1" ht="9.75" customHeight="1">
      <c r="B63" s="205"/>
      <c r="C63" s="380"/>
      <c r="D63" s="381"/>
      <c r="M63" s="172"/>
    </row>
    <row r="64" spans="2:13" s="84" customFormat="1" ht="15" customHeight="1">
      <c r="B64" s="551" t="s">
        <v>62</v>
      </c>
      <c r="C64" s="546">
        <f>+C57+C53</f>
        <v>694919.57025</v>
      </c>
      <c r="D64" s="546">
        <f>+D57+D53</f>
        <v>2267522.55773</v>
      </c>
      <c r="M64" s="172"/>
    </row>
    <row r="65" spans="2:13" s="84" customFormat="1" ht="15" customHeight="1">
      <c r="B65" s="552"/>
      <c r="C65" s="547"/>
      <c r="D65" s="547"/>
      <c r="F65" s="389"/>
      <c r="M65" s="172"/>
    </row>
    <row r="67" spans="3:6" ht="12.75">
      <c r="C67" s="106"/>
      <c r="D67" s="137"/>
      <c r="F67" s="390"/>
    </row>
    <row r="68" ht="12.75">
      <c r="C68" s="202"/>
    </row>
  </sheetData>
  <sheetProtection/>
  <mergeCells count="16">
    <mergeCell ref="B9:C9"/>
    <mergeCell ref="B10:D10"/>
    <mergeCell ref="B64:B65"/>
    <mergeCell ref="C64:C65"/>
    <mergeCell ref="D64:D65"/>
    <mergeCell ref="B49:D49"/>
    <mergeCell ref="B50:B51"/>
    <mergeCell ref="B11:B12"/>
    <mergeCell ref="C11:C12"/>
    <mergeCell ref="D11:D12"/>
    <mergeCell ref="C38:C39"/>
    <mergeCell ref="C50:C51"/>
    <mergeCell ref="D50:D51"/>
    <mergeCell ref="B48:C48"/>
    <mergeCell ref="D38:D39"/>
    <mergeCell ref="B38:B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2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73.57421875" style="90" customWidth="1"/>
    <col min="3" max="4" width="19.7109375" style="90" customWidth="1"/>
    <col min="5" max="5" width="11.421875" style="90" customWidth="1"/>
    <col min="6" max="6" width="19.28125" style="90" customWidth="1"/>
    <col min="7" max="7" width="16.28125" style="90" bestFit="1" customWidth="1"/>
    <col min="8" max="8" width="16.421875" style="90" customWidth="1"/>
    <col min="9" max="9" width="17.00390625" style="90" customWidth="1"/>
    <col min="10" max="16384" width="11.421875" style="90" customWidth="1"/>
  </cols>
  <sheetData>
    <row r="1" spans="2:5" ht="14.25">
      <c r="B1" s="107"/>
      <c r="E1" s="113"/>
    </row>
    <row r="2" ht="12.75">
      <c r="B2" s="107"/>
    </row>
    <row r="3" ht="12.75">
      <c r="B3" s="107"/>
    </row>
    <row r="4" ht="13.5" customHeight="1">
      <c r="B4" s="107"/>
    </row>
    <row r="5" spans="2:4" ht="18">
      <c r="B5" s="135" t="s">
        <v>14</v>
      </c>
      <c r="C5" s="135"/>
      <c r="D5" s="135"/>
    </row>
    <row r="6" spans="2:11" ht="18">
      <c r="B6" s="348" t="s">
        <v>139</v>
      </c>
      <c r="C6" s="348"/>
      <c r="D6" s="348"/>
      <c r="K6" s="138"/>
    </row>
    <row r="7" spans="2:11" ht="18">
      <c r="B7" s="348" t="s">
        <v>138</v>
      </c>
      <c r="C7" s="348"/>
      <c r="D7" s="348"/>
      <c r="K7" s="138"/>
    </row>
    <row r="8" spans="2:11" ht="16.5">
      <c r="B8" s="376" t="s">
        <v>32</v>
      </c>
      <c r="C8" s="194"/>
      <c r="D8" s="194"/>
      <c r="K8" s="138"/>
    </row>
    <row r="9" spans="2:11" s="142" customFormat="1" ht="18">
      <c r="B9" s="139" t="str">
        <f>+'DEP-C2'!B9</f>
        <v>Al 28 de febrero de 2017</v>
      </c>
      <c r="C9" s="139"/>
      <c r="D9" s="285"/>
      <c r="E9" s="345">
        <f>+Portada!H39</f>
        <v>3.263</v>
      </c>
      <c r="K9" s="200"/>
    </row>
    <row r="10" spans="2:11" ht="9.75" customHeight="1">
      <c r="B10" s="556"/>
      <c r="C10" s="556"/>
      <c r="D10" s="556"/>
      <c r="K10" s="138"/>
    </row>
    <row r="11" spans="2:11" ht="16.5" customHeight="1">
      <c r="B11" s="554" t="s">
        <v>98</v>
      </c>
      <c r="C11" s="548" t="s">
        <v>90</v>
      </c>
      <c r="D11" s="538" t="s">
        <v>251</v>
      </c>
      <c r="K11" s="138"/>
    </row>
    <row r="12" spans="2:11" ht="16.5" customHeight="1">
      <c r="B12" s="555"/>
      <c r="C12" s="549"/>
      <c r="D12" s="539"/>
      <c r="F12" s="65"/>
      <c r="G12" s="65"/>
      <c r="H12" s="218"/>
      <c r="I12" s="218"/>
      <c r="K12" s="138"/>
    </row>
    <row r="13" spans="2:11" s="84" customFormat="1" ht="9.75" customHeight="1">
      <c r="B13" s="275"/>
      <c r="C13" s="108"/>
      <c r="D13" s="108"/>
      <c r="F13" s="65"/>
      <c r="G13" s="65"/>
      <c r="H13" s="218"/>
      <c r="I13" s="218"/>
      <c r="K13" s="172"/>
    </row>
    <row r="14" spans="2:11" s="65" customFormat="1" ht="16.5" customHeight="1">
      <c r="B14" s="391" t="s">
        <v>92</v>
      </c>
      <c r="C14" s="383">
        <f>+C16+C19</f>
        <v>1543983.3394</v>
      </c>
      <c r="D14" s="383">
        <f>+D16+D19</f>
        <v>5038017.6364622</v>
      </c>
      <c r="E14" s="232"/>
      <c r="F14" s="389"/>
      <c r="H14" s="218"/>
      <c r="I14" s="218"/>
      <c r="K14" s="171"/>
    </row>
    <row r="15" spans="2:11" s="65" customFormat="1" ht="9.75" customHeight="1">
      <c r="B15" s="63"/>
      <c r="C15" s="392"/>
      <c r="D15" s="392"/>
      <c r="K15" s="171"/>
    </row>
    <row r="16" spans="2:11" s="65" customFormat="1" ht="16.5" customHeight="1">
      <c r="B16" s="393" t="s">
        <v>33</v>
      </c>
      <c r="C16" s="383">
        <f>+C17</f>
        <v>416666.66666000005</v>
      </c>
      <c r="D16" s="383">
        <f>+D17</f>
        <v>1359583.33331158</v>
      </c>
      <c r="F16" s="389"/>
      <c r="H16" s="219"/>
      <c r="K16" s="171"/>
    </row>
    <row r="17" spans="2:11" s="65" customFormat="1" ht="16.5" customHeight="1">
      <c r="B17" s="384" t="s">
        <v>156</v>
      </c>
      <c r="C17" s="381">
        <v>416666.66666000005</v>
      </c>
      <c r="D17" s="381">
        <f>ROUND(+C17*$E$9,8)</f>
        <v>1359583.33331158</v>
      </c>
      <c r="F17" s="388"/>
      <c r="H17" s="219"/>
      <c r="K17" s="171"/>
    </row>
    <row r="18" spans="2:11" s="65" customFormat="1" ht="12" customHeight="1">
      <c r="B18" s="64"/>
      <c r="C18" s="381"/>
      <c r="D18" s="381"/>
      <c r="H18" s="219"/>
      <c r="K18" s="171"/>
    </row>
    <row r="19" spans="2:11" s="65" customFormat="1" ht="16.5" customHeight="1">
      <c r="B19" s="393" t="s">
        <v>34</v>
      </c>
      <c r="C19" s="383">
        <f>SUM(C20:C25)</f>
        <v>1127316.6727399998</v>
      </c>
      <c r="D19" s="383">
        <f>SUM(D20:D25)</f>
        <v>3678434.3031506203</v>
      </c>
      <c r="F19" s="389"/>
      <c r="H19" s="219"/>
      <c r="K19" s="171"/>
    </row>
    <row r="20" spans="2:11" s="65" customFormat="1" ht="16.5" customHeight="1">
      <c r="B20" s="384" t="s">
        <v>240</v>
      </c>
      <c r="C20" s="381">
        <v>681964.25185</v>
      </c>
      <c r="D20" s="381">
        <f aca="true" t="shared" si="0" ref="D20:D25">ROUND(+C20*$E$9,8)</f>
        <v>2225249.35378655</v>
      </c>
      <c r="F20" s="388"/>
      <c r="H20" s="219"/>
      <c r="K20" s="171"/>
    </row>
    <row r="21" spans="2:11" s="65" customFormat="1" ht="16.5" customHeight="1">
      <c r="B21" s="384" t="s">
        <v>196</v>
      </c>
      <c r="C21" s="381">
        <v>272466.15091</v>
      </c>
      <c r="D21" s="381">
        <f>ROUND(+C21*$E$9,8)</f>
        <v>889057.05041933</v>
      </c>
      <c r="F21" s="388"/>
      <c r="H21" s="219"/>
      <c r="K21" s="171"/>
    </row>
    <row r="22" spans="2:11" s="65" customFormat="1" ht="16.5" customHeight="1">
      <c r="B22" s="384" t="s">
        <v>0</v>
      </c>
      <c r="C22" s="381">
        <v>169463.89102</v>
      </c>
      <c r="D22" s="381">
        <f t="shared" si="0"/>
        <v>552960.67639826</v>
      </c>
      <c r="F22" s="388"/>
      <c r="G22" s="308"/>
      <c r="H22" s="219"/>
      <c r="K22" s="171"/>
    </row>
    <row r="23" spans="2:11" s="65" customFormat="1" ht="16.5" customHeight="1">
      <c r="B23" s="384" t="s">
        <v>199</v>
      </c>
      <c r="C23" s="381">
        <v>2317.52613</v>
      </c>
      <c r="D23" s="381">
        <f t="shared" si="0"/>
        <v>7562.08776219</v>
      </c>
      <c r="F23" s="388"/>
      <c r="G23" s="218"/>
      <c r="H23" s="218"/>
      <c r="K23" s="171"/>
    </row>
    <row r="24" spans="2:11" s="65" customFormat="1" ht="16.5" customHeight="1">
      <c r="B24" s="384" t="s">
        <v>162</v>
      </c>
      <c r="C24" s="381">
        <v>955.4644</v>
      </c>
      <c r="D24" s="381">
        <f t="shared" si="0"/>
        <v>3117.6803372</v>
      </c>
      <c r="F24" s="388"/>
      <c r="G24" s="218"/>
      <c r="H24" s="218"/>
      <c r="I24" s="218"/>
      <c r="K24" s="171"/>
    </row>
    <row r="25" spans="2:11" s="65" customFormat="1" ht="16.5" customHeight="1">
      <c r="B25" s="384" t="s">
        <v>197</v>
      </c>
      <c r="C25" s="381">
        <v>149.38843</v>
      </c>
      <c r="D25" s="381">
        <f t="shared" si="0"/>
        <v>487.45444709</v>
      </c>
      <c r="F25" s="388"/>
      <c r="G25" s="218"/>
      <c r="H25" s="218"/>
      <c r="I25" s="218"/>
      <c r="K25" s="171"/>
    </row>
    <row r="26" spans="2:8" s="65" customFormat="1" ht="15" customHeight="1">
      <c r="B26" s="66"/>
      <c r="C26" s="381"/>
      <c r="D26" s="381"/>
      <c r="G26" s="242"/>
      <c r="H26" s="242"/>
    </row>
    <row r="27" spans="2:8" s="65" customFormat="1" ht="16.5" customHeight="1">
      <c r="B27" s="391" t="s">
        <v>93</v>
      </c>
      <c r="C27" s="383">
        <f>+C29+C38</f>
        <v>4728813.70441</v>
      </c>
      <c r="D27" s="383">
        <f>+D29+D38</f>
        <v>15430119.11748988</v>
      </c>
      <c r="F27" s="389"/>
      <c r="G27" s="218"/>
      <c r="H27" s="218"/>
    </row>
    <row r="28" spans="2:4" s="65" customFormat="1" ht="9.75" customHeight="1">
      <c r="B28" s="63"/>
      <c r="C28" s="392"/>
      <c r="D28" s="392"/>
    </row>
    <row r="29" spans="2:8" s="65" customFormat="1" ht="16.5" customHeight="1">
      <c r="B29" s="393" t="s">
        <v>33</v>
      </c>
      <c r="C29" s="383">
        <f>SUM(C30:C36)</f>
        <v>3895495.70127</v>
      </c>
      <c r="D29" s="383">
        <f>SUM(D30:D36)</f>
        <v>12711002.47324406</v>
      </c>
      <c r="F29" s="389"/>
      <c r="H29" s="219"/>
    </row>
    <row r="30" spans="2:8" s="65" customFormat="1" ht="16.5" customHeight="1">
      <c r="B30" s="384" t="s">
        <v>241</v>
      </c>
      <c r="C30" s="381">
        <v>3576248.85075</v>
      </c>
      <c r="D30" s="381">
        <f aca="true" t="shared" si="1" ref="D30:D36">ROUND(+C30*$E$9,8)</f>
        <v>11669299.9999973</v>
      </c>
      <c r="F30" s="388"/>
      <c r="H30" s="219"/>
    </row>
    <row r="31" spans="2:8" s="65" customFormat="1" ht="16.5" customHeight="1">
      <c r="B31" s="384" t="s">
        <v>203</v>
      </c>
      <c r="C31" s="381">
        <v>82745.93931999999</v>
      </c>
      <c r="D31" s="381">
        <f t="shared" si="1"/>
        <v>270000.00000116</v>
      </c>
      <c r="F31" s="388"/>
      <c r="H31" s="219"/>
    </row>
    <row r="32" spans="2:8" s="65" customFormat="1" ht="16.5" customHeight="1">
      <c r="B32" s="384" t="s">
        <v>194</v>
      </c>
      <c r="C32" s="381">
        <v>65485.74931</v>
      </c>
      <c r="D32" s="381">
        <f t="shared" si="1"/>
        <v>213679.99999853</v>
      </c>
      <c r="F32" s="388"/>
      <c r="H32" s="219"/>
    </row>
    <row r="33" spans="2:8" s="65" customFormat="1" ht="16.5" customHeight="1">
      <c r="B33" s="384" t="s">
        <v>182</v>
      </c>
      <c r="C33" s="381">
        <v>60000</v>
      </c>
      <c r="D33" s="381">
        <f t="shared" si="1"/>
        <v>195780</v>
      </c>
      <c r="F33" s="388"/>
      <c r="H33" s="219"/>
    </row>
    <row r="34" spans="2:8" s="65" customFormat="1" ht="16.5" customHeight="1">
      <c r="B34" s="384" t="s">
        <v>175</v>
      </c>
      <c r="C34" s="381">
        <v>59170.16549</v>
      </c>
      <c r="D34" s="381">
        <f t="shared" si="1"/>
        <v>193072.24999387</v>
      </c>
      <c r="F34" s="388"/>
      <c r="H34" s="219"/>
    </row>
    <row r="35" spans="2:8" s="65" customFormat="1" ht="16.5" customHeight="1">
      <c r="B35" s="384" t="s">
        <v>193</v>
      </c>
      <c r="C35" s="381">
        <v>35844.9964</v>
      </c>
      <c r="D35" s="381">
        <f t="shared" si="1"/>
        <v>116962.2232532</v>
      </c>
      <c r="F35" s="388"/>
      <c r="H35" s="219"/>
    </row>
    <row r="36" spans="2:8" s="65" customFormat="1" ht="16.5" customHeight="1">
      <c r="B36" s="384" t="s">
        <v>202</v>
      </c>
      <c r="C36" s="381">
        <v>16000</v>
      </c>
      <c r="D36" s="381">
        <f t="shared" si="1"/>
        <v>52208</v>
      </c>
      <c r="F36" s="388"/>
      <c r="H36" s="219"/>
    </row>
    <row r="37" spans="2:8" s="65" customFormat="1" ht="12" customHeight="1">
      <c r="B37" s="64"/>
      <c r="C37" s="381"/>
      <c r="D37" s="381"/>
      <c r="H37" s="219"/>
    </row>
    <row r="38" spans="2:8" s="65" customFormat="1" ht="16.5" customHeight="1">
      <c r="B38" s="393" t="s">
        <v>34</v>
      </c>
      <c r="C38" s="383">
        <f>SUM(C39:C45)</f>
        <v>833318.0031399999</v>
      </c>
      <c r="D38" s="383">
        <f>SUM(D39:D45)</f>
        <v>2719116.64424582</v>
      </c>
      <c r="F38" s="389"/>
      <c r="H38" s="219"/>
    </row>
    <row r="39" spans="2:8" s="65" customFormat="1" ht="16.5" customHeight="1">
      <c r="B39" s="384" t="s">
        <v>242</v>
      </c>
      <c r="C39" s="381">
        <f>130568.49525+313498.31443</f>
        <v>444066.80968000006</v>
      </c>
      <c r="D39" s="381">
        <f aca="true" t="shared" si="2" ref="D39:D45">ROUND(+C39*$E$9,8)</f>
        <v>1448989.99998584</v>
      </c>
      <c r="E39" s="113"/>
      <c r="F39" s="388"/>
      <c r="H39" s="219"/>
    </row>
    <row r="40" spans="2:8" s="65" customFormat="1" ht="16.5" customHeight="1">
      <c r="B40" s="384" t="s">
        <v>240</v>
      </c>
      <c r="C40" s="381">
        <v>108350.23592</v>
      </c>
      <c r="D40" s="381">
        <f t="shared" si="2"/>
        <v>353546.81980696</v>
      </c>
      <c r="E40" s="113"/>
      <c r="F40" s="388"/>
      <c r="H40" s="219"/>
    </row>
    <row r="41" spans="2:8" s="65" customFormat="1" ht="16.5" customHeight="1">
      <c r="B41" s="384" t="s">
        <v>162</v>
      </c>
      <c r="C41" s="381">
        <v>96230.46278</v>
      </c>
      <c r="D41" s="381">
        <f t="shared" si="2"/>
        <v>314000.00005114</v>
      </c>
      <c r="E41" s="113"/>
      <c r="F41" s="388"/>
      <c r="H41" s="219"/>
    </row>
    <row r="42" spans="2:8" s="65" customFormat="1" ht="16.5" customHeight="1">
      <c r="B42" s="384" t="s">
        <v>195</v>
      </c>
      <c r="C42" s="381">
        <v>85718.66380000001</v>
      </c>
      <c r="D42" s="381">
        <f t="shared" si="2"/>
        <v>279699.9999794</v>
      </c>
      <c r="E42" s="113"/>
      <c r="F42" s="388"/>
      <c r="H42" s="219"/>
    </row>
    <row r="43" spans="2:8" s="65" customFormat="1" ht="16.5" customHeight="1">
      <c r="B43" s="384" t="s">
        <v>238</v>
      </c>
      <c r="C43" s="381">
        <v>85660.59026</v>
      </c>
      <c r="D43" s="381">
        <f t="shared" si="2"/>
        <v>279510.50601838</v>
      </c>
      <c r="E43" s="113"/>
      <c r="F43" s="388"/>
      <c r="H43" s="219"/>
    </row>
    <row r="44" spans="2:8" s="65" customFormat="1" ht="16.5" customHeight="1">
      <c r="B44" s="384" t="s">
        <v>164</v>
      </c>
      <c r="C44" s="381">
        <v>9000</v>
      </c>
      <c r="D44" s="381">
        <f t="shared" si="2"/>
        <v>29367</v>
      </c>
      <c r="E44" s="113"/>
      <c r="F44" s="388"/>
      <c r="H44" s="219"/>
    </row>
    <row r="45" spans="2:8" s="65" customFormat="1" ht="16.5" customHeight="1">
      <c r="B45" s="384" t="s">
        <v>198</v>
      </c>
      <c r="C45" s="381">
        <v>4291.2407</v>
      </c>
      <c r="D45" s="381">
        <f t="shared" si="2"/>
        <v>14002.3184041</v>
      </c>
      <c r="E45" s="113"/>
      <c r="F45" s="388"/>
      <c r="H45" s="219"/>
    </row>
    <row r="46" spans="2:8" s="65" customFormat="1" ht="9" customHeight="1">
      <c r="B46" s="64"/>
      <c r="C46" s="381"/>
      <c r="D46" s="381"/>
      <c r="H46" s="219"/>
    </row>
    <row r="47" spans="2:8" s="65" customFormat="1" ht="15" customHeight="1">
      <c r="B47" s="551" t="s">
        <v>62</v>
      </c>
      <c r="C47" s="546">
        <f>+C27+C14</f>
        <v>6272797.04381</v>
      </c>
      <c r="D47" s="546">
        <f>+D27+D14</f>
        <v>20468136.75395208</v>
      </c>
      <c r="F47" s="389"/>
      <c r="H47" s="219"/>
    </row>
    <row r="48" spans="2:8" s="84" customFormat="1" ht="15" customHeight="1">
      <c r="B48" s="552"/>
      <c r="C48" s="547"/>
      <c r="D48" s="547"/>
      <c r="H48" s="219"/>
    </row>
    <row r="49" spans="2:8" s="84" customFormat="1" ht="7.5" customHeight="1">
      <c r="B49" s="109"/>
      <c r="C49" s="110"/>
      <c r="D49" s="110"/>
      <c r="H49" s="219"/>
    </row>
    <row r="50" spans="2:4" ht="12.75">
      <c r="B50" s="89" t="s">
        <v>243</v>
      </c>
      <c r="C50" s="89"/>
      <c r="D50" s="89"/>
    </row>
    <row r="51" spans="2:5" ht="14.25">
      <c r="B51" s="89" t="s">
        <v>258</v>
      </c>
      <c r="C51" s="89"/>
      <c r="D51" s="175"/>
      <c r="E51" s="202"/>
    </row>
    <row r="52" spans="2:5" ht="13.5" customHeight="1">
      <c r="B52" s="89" t="s">
        <v>259</v>
      </c>
      <c r="C52" s="89"/>
      <c r="D52" s="89"/>
      <c r="E52" s="202"/>
    </row>
    <row r="53" spans="2:5" ht="12.75">
      <c r="B53" s="89"/>
      <c r="C53" s="202"/>
      <c r="D53" s="202"/>
      <c r="E53" s="202"/>
    </row>
    <row r="54" spans="2:5" ht="12.75">
      <c r="B54" s="89"/>
      <c r="C54" s="202"/>
      <c r="D54" s="202"/>
      <c r="E54" s="202"/>
    </row>
    <row r="55" spans="3:5" ht="12.75">
      <c r="C55" s="202"/>
      <c r="D55" s="202"/>
      <c r="E55" s="202"/>
    </row>
    <row r="56" spans="2:4" s="142" customFormat="1" ht="18">
      <c r="B56" s="135" t="s">
        <v>121</v>
      </c>
      <c r="C56" s="135"/>
      <c r="D56" s="135"/>
    </row>
    <row r="57" spans="2:4" ht="18">
      <c r="B57" s="348" t="s">
        <v>139</v>
      </c>
      <c r="C57" s="348"/>
      <c r="D57" s="348"/>
    </row>
    <row r="58" spans="2:4" ht="18">
      <c r="B58" s="348" t="s">
        <v>140</v>
      </c>
      <c r="C58" s="348"/>
      <c r="D58" s="348"/>
    </row>
    <row r="59" spans="2:4" ht="16.5">
      <c r="B59" s="376" t="s">
        <v>32</v>
      </c>
      <c r="C59" s="194"/>
      <c r="D59" s="194"/>
    </row>
    <row r="60" spans="2:4" s="142" customFormat="1" ht="18">
      <c r="B60" s="139" t="str">
        <f>+B9</f>
        <v>Al 28 de febrero de 2017</v>
      </c>
      <c r="C60" s="139"/>
      <c r="D60" s="272"/>
    </row>
    <row r="61" spans="2:4" ht="9.75" customHeight="1">
      <c r="B61" s="556"/>
      <c r="C61" s="556"/>
      <c r="D61" s="556"/>
    </row>
    <row r="62" spans="2:4" ht="16.5" customHeight="1">
      <c r="B62" s="554" t="s">
        <v>98</v>
      </c>
      <c r="C62" s="548" t="s">
        <v>90</v>
      </c>
      <c r="D62" s="538" t="s">
        <v>251</v>
      </c>
    </row>
    <row r="63" spans="2:4" ht="16.5" customHeight="1">
      <c r="B63" s="555"/>
      <c r="C63" s="549"/>
      <c r="D63" s="539"/>
    </row>
    <row r="64" spans="2:4" s="84" customFormat="1" ht="9.75" customHeight="1">
      <c r="B64" s="275"/>
      <c r="C64" s="108"/>
      <c r="D64" s="108"/>
    </row>
    <row r="65" spans="2:6" s="65" customFormat="1" ht="16.5" customHeight="1">
      <c r="B65" s="391" t="s">
        <v>92</v>
      </c>
      <c r="C65" s="383">
        <f>+C67+C75</f>
        <v>694919.5702499999</v>
      </c>
      <c r="D65" s="383">
        <f>+D67+D75</f>
        <v>2267522.55772575</v>
      </c>
      <c r="F65" s="389"/>
    </row>
    <row r="66" spans="2:8" s="65" customFormat="1" ht="9.75" customHeight="1">
      <c r="B66" s="64"/>
      <c r="C66" s="381"/>
      <c r="D66" s="381"/>
      <c r="H66" s="219"/>
    </row>
    <row r="67" spans="2:8" s="65" customFormat="1" ht="16.5" customHeight="1">
      <c r="B67" s="393" t="s">
        <v>33</v>
      </c>
      <c r="C67" s="383">
        <f>SUM(C68:C73)</f>
        <v>318546.49095999997</v>
      </c>
      <c r="D67" s="383">
        <f>SUM(D68:D73)</f>
        <v>1039417.20000248</v>
      </c>
      <c r="F67" s="389"/>
      <c r="G67" s="220"/>
      <c r="H67" s="220"/>
    </row>
    <row r="68" spans="2:8" s="65" customFormat="1" ht="16.5" customHeight="1">
      <c r="B68" s="384" t="s">
        <v>175</v>
      </c>
      <c r="C68" s="381">
        <v>103646.49096</v>
      </c>
      <c r="D68" s="381">
        <f aca="true" t="shared" si="3" ref="D68:D73">ROUND(+C68*$E$9,8)</f>
        <v>338198.50000248</v>
      </c>
      <c r="F68" s="395"/>
      <c r="H68" s="219"/>
    </row>
    <row r="69" spans="2:8" s="65" customFormat="1" ht="16.5" customHeight="1">
      <c r="B69" s="384" t="s">
        <v>202</v>
      </c>
      <c r="C69" s="381">
        <v>103000</v>
      </c>
      <c r="D69" s="381">
        <f t="shared" si="3"/>
        <v>336089</v>
      </c>
      <c r="F69" s="388"/>
      <c r="H69" s="219"/>
    </row>
    <row r="70" spans="2:8" s="65" customFormat="1" ht="16.5" customHeight="1">
      <c r="B70" s="384" t="s">
        <v>200</v>
      </c>
      <c r="C70" s="381">
        <v>40000</v>
      </c>
      <c r="D70" s="381">
        <f t="shared" si="3"/>
        <v>130520</v>
      </c>
      <c r="F70" s="388"/>
      <c r="H70" s="219"/>
    </row>
    <row r="71" spans="2:8" s="65" customFormat="1" ht="16.5" customHeight="1">
      <c r="B71" s="384" t="s">
        <v>193</v>
      </c>
      <c r="C71" s="381">
        <v>35900</v>
      </c>
      <c r="D71" s="381">
        <f t="shared" si="3"/>
        <v>117141.7</v>
      </c>
      <c r="F71" s="388"/>
      <c r="H71" s="219"/>
    </row>
    <row r="72" spans="2:8" s="65" customFormat="1" ht="16.5" customHeight="1">
      <c r="B72" s="384" t="s">
        <v>186</v>
      </c>
      <c r="C72" s="381">
        <v>20000</v>
      </c>
      <c r="D72" s="381">
        <f t="shared" si="3"/>
        <v>65260</v>
      </c>
      <c r="F72" s="388"/>
      <c r="H72" s="219"/>
    </row>
    <row r="73" spans="2:8" s="65" customFormat="1" ht="16.5" customHeight="1">
      <c r="B73" s="384" t="s">
        <v>182</v>
      </c>
      <c r="C73" s="381">
        <v>16000</v>
      </c>
      <c r="D73" s="381">
        <f t="shared" si="3"/>
        <v>52208</v>
      </c>
      <c r="F73" s="388"/>
      <c r="H73" s="219"/>
    </row>
    <row r="74" spans="2:4" s="65" customFormat="1" ht="9.75" customHeight="1">
      <c r="B74" s="63"/>
      <c r="C74" s="392"/>
      <c r="D74" s="392"/>
    </row>
    <row r="75" spans="2:8" s="65" customFormat="1" ht="16.5" customHeight="1">
      <c r="B75" s="393" t="s">
        <v>34</v>
      </c>
      <c r="C75" s="383">
        <f>SUM(C76:C86)</f>
        <v>376373.07928999997</v>
      </c>
      <c r="D75" s="383">
        <f>SUM(D76:D86)</f>
        <v>1228105.35772327</v>
      </c>
      <c r="F75" s="389"/>
      <c r="H75" s="219"/>
    </row>
    <row r="76" spans="2:8" s="65" customFormat="1" ht="16.5" customHeight="1">
      <c r="B76" s="384" t="s">
        <v>162</v>
      </c>
      <c r="C76" s="381">
        <v>203642.31736000002</v>
      </c>
      <c r="D76" s="381">
        <f aca="true" t="shared" si="4" ref="D76:D86">ROUND(+C76*$E$9,8)</f>
        <v>664484.88154568</v>
      </c>
      <c r="F76" s="388"/>
      <c r="H76" s="219"/>
    </row>
    <row r="77" spans="2:8" s="65" customFormat="1" ht="16.5" customHeight="1">
      <c r="B77" s="384" t="s">
        <v>199</v>
      </c>
      <c r="C77" s="381">
        <v>61293.28839</v>
      </c>
      <c r="D77" s="381">
        <f t="shared" si="4"/>
        <v>200000.00001657</v>
      </c>
      <c r="F77" s="388"/>
      <c r="H77" s="219"/>
    </row>
    <row r="78" spans="2:8" s="65" customFormat="1" ht="16.5" customHeight="1">
      <c r="B78" s="384" t="s">
        <v>207</v>
      </c>
      <c r="C78" s="381">
        <v>46501.783890000006</v>
      </c>
      <c r="D78" s="381">
        <f t="shared" si="4"/>
        <v>151735.32083307</v>
      </c>
      <c r="F78" s="388"/>
      <c r="H78" s="219"/>
    </row>
    <row r="79" spans="2:8" s="65" customFormat="1" ht="16.5" customHeight="1">
      <c r="B79" s="384" t="s">
        <v>206</v>
      </c>
      <c r="C79" s="381">
        <v>18387.98652</v>
      </c>
      <c r="D79" s="381">
        <f t="shared" si="4"/>
        <v>60000.00001476</v>
      </c>
      <c r="F79" s="388"/>
      <c r="H79" s="219"/>
    </row>
    <row r="80" spans="2:8" s="65" customFormat="1" ht="16.5" customHeight="1">
      <c r="B80" s="384" t="s">
        <v>208</v>
      </c>
      <c r="C80" s="381">
        <v>14000</v>
      </c>
      <c r="D80" s="381">
        <f t="shared" si="4"/>
        <v>45682</v>
      </c>
      <c r="F80" s="388"/>
      <c r="H80" s="219"/>
    </row>
    <row r="81" spans="2:8" s="65" customFormat="1" ht="16.5" customHeight="1">
      <c r="B81" s="384" t="s">
        <v>198</v>
      </c>
      <c r="C81" s="381">
        <v>12808.637429999999</v>
      </c>
      <c r="D81" s="381">
        <f t="shared" si="4"/>
        <v>41794.58393409</v>
      </c>
      <c r="F81" s="388"/>
      <c r="H81" s="219"/>
    </row>
    <row r="82" spans="2:8" s="65" customFormat="1" ht="16.5" customHeight="1">
      <c r="B82" s="384" t="s">
        <v>201</v>
      </c>
      <c r="C82" s="381">
        <v>9806.92614</v>
      </c>
      <c r="D82" s="381">
        <f t="shared" si="4"/>
        <v>31999.99999482</v>
      </c>
      <c r="F82" s="388"/>
      <c r="H82" s="219"/>
    </row>
    <row r="83" spans="2:8" s="65" customFormat="1" ht="16.5" customHeight="1">
      <c r="B83" s="384" t="s">
        <v>205</v>
      </c>
      <c r="C83" s="381">
        <v>6000</v>
      </c>
      <c r="D83" s="381">
        <f t="shared" si="4"/>
        <v>19578</v>
      </c>
      <c r="F83" s="388"/>
      <c r="H83" s="219"/>
    </row>
    <row r="84" spans="2:8" s="65" customFormat="1" ht="16.5" customHeight="1">
      <c r="B84" s="384" t="s">
        <v>0</v>
      </c>
      <c r="C84" s="381">
        <v>2651.78092</v>
      </c>
      <c r="D84" s="381">
        <f t="shared" si="4"/>
        <v>8652.76114196</v>
      </c>
      <c r="F84" s="388"/>
      <c r="H84" s="219"/>
    </row>
    <row r="85" spans="2:8" s="65" customFormat="1" ht="16.5" customHeight="1">
      <c r="B85" s="384" t="s">
        <v>176</v>
      </c>
      <c r="C85" s="381">
        <v>820.6589799999999</v>
      </c>
      <c r="D85" s="381">
        <f t="shared" si="4"/>
        <v>2677.81025174</v>
      </c>
      <c r="F85" s="388"/>
      <c r="H85" s="219"/>
    </row>
    <row r="86" spans="2:8" s="65" customFormat="1" ht="16.5" customHeight="1">
      <c r="B86" s="384" t="s">
        <v>204</v>
      </c>
      <c r="C86" s="381">
        <v>459.69965999999994</v>
      </c>
      <c r="D86" s="381">
        <f t="shared" si="4"/>
        <v>1499.99999058</v>
      </c>
      <c r="F86" s="395"/>
      <c r="H86" s="219"/>
    </row>
    <row r="87" spans="2:8" s="65" customFormat="1" ht="9" customHeight="1">
      <c r="B87" s="64"/>
      <c r="C87" s="381"/>
      <c r="D87" s="381"/>
      <c r="H87" s="219"/>
    </row>
    <row r="88" spans="2:8" s="65" customFormat="1" ht="15" customHeight="1">
      <c r="B88" s="551" t="s">
        <v>62</v>
      </c>
      <c r="C88" s="546">
        <f>+C65</f>
        <v>694919.5702499999</v>
      </c>
      <c r="D88" s="546">
        <f>+D65</f>
        <v>2267522.55772575</v>
      </c>
      <c r="F88" s="389"/>
      <c r="H88" s="219"/>
    </row>
    <row r="89" spans="2:8" s="84" customFormat="1" ht="15" customHeight="1">
      <c r="B89" s="552"/>
      <c r="C89" s="547"/>
      <c r="D89" s="547"/>
      <c r="F89" s="233"/>
      <c r="H89" s="219"/>
    </row>
    <row r="91" spans="3:4" ht="12.75">
      <c r="C91" s="106"/>
      <c r="D91" s="307"/>
    </row>
    <row r="92" spans="3:4" ht="12.75">
      <c r="C92" s="309"/>
      <c r="D92" s="309"/>
    </row>
  </sheetData>
  <sheetProtection/>
  <mergeCells count="14">
    <mergeCell ref="D11:D12"/>
    <mergeCell ref="C47:C48"/>
    <mergeCell ref="B47:B48"/>
    <mergeCell ref="C62:C63"/>
    <mergeCell ref="D62:D63"/>
    <mergeCell ref="B11:B12"/>
    <mergeCell ref="D47:D48"/>
    <mergeCell ref="C11:C12"/>
    <mergeCell ref="B10:D10"/>
    <mergeCell ref="B88:B89"/>
    <mergeCell ref="C88:C89"/>
    <mergeCell ref="D88:D89"/>
    <mergeCell ref="B61:D61"/>
    <mergeCell ref="B62:B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2.00390625" style="90" customWidth="1"/>
    <col min="3" max="4" width="19.7109375" style="90" customWidth="1"/>
    <col min="5" max="5" width="15.7109375" style="90" customWidth="1"/>
    <col min="6" max="6" width="16.28125" style="90" customWidth="1"/>
    <col min="7" max="7" width="17.8515625" style="90" bestFit="1" customWidth="1"/>
    <col min="8" max="8" width="15.7109375" style="235" customWidth="1"/>
    <col min="9" max="9" width="11.421875" style="90" customWidth="1"/>
    <col min="10" max="10" width="17.8515625" style="90" bestFit="1" customWidth="1"/>
    <col min="11" max="16384" width="11.421875" style="90" customWidth="1"/>
  </cols>
  <sheetData>
    <row r="1" ht="12.75">
      <c r="B1" s="107"/>
    </row>
    <row r="2" ht="12.75">
      <c r="B2" s="107"/>
    </row>
    <row r="3" ht="12.75">
      <c r="B3" s="107"/>
    </row>
    <row r="4" ht="11.25" customHeight="1">
      <c r="B4" s="107"/>
    </row>
    <row r="5" spans="2:9" ht="18">
      <c r="B5" s="135" t="s">
        <v>94</v>
      </c>
      <c r="C5" s="135"/>
      <c r="D5" s="135"/>
      <c r="I5" s="297"/>
    </row>
    <row r="6" spans="2:9" ht="18">
      <c r="B6" s="348" t="s">
        <v>139</v>
      </c>
      <c r="C6" s="348"/>
      <c r="D6" s="348"/>
      <c r="I6" s="307"/>
    </row>
    <row r="7" spans="2:4" ht="18">
      <c r="B7" s="348" t="s">
        <v>138</v>
      </c>
      <c r="C7" s="348"/>
      <c r="D7" s="348"/>
    </row>
    <row r="8" spans="2:4" ht="16.5">
      <c r="B8" s="376" t="s">
        <v>1</v>
      </c>
      <c r="C8" s="194"/>
      <c r="D8" s="194"/>
    </row>
    <row r="9" spans="2:5" ht="15.75">
      <c r="B9" s="139" t="str">
        <f>+'DEP-C2'!B9</f>
        <v>Al 28 de febrero de 2017</v>
      </c>
      <c r="C9" s="139"/>
      <c r="D9" s="285"/>
      <c r="E9" s="345">
        <f>+Portada!H39</f>
        <v>3.263</v>
      </c>
    </row>
    <row r="10" spans="2:4" ht="9.75" customHeight="1">
      <c r="B10" s="556"/>
      <c r="C10" s="556"/>
      <c r="D10" s="556"/>
    </row>
    <row r="11" spans="2:4" ht="16.5" customHeight="1">
      <c r="B11" s="542" t="s">
        <v>153</v>
      </c>
      <c r="C11" s="538" t="s">
        <v>90</v>
      </c>
      <c r="D11" s="538" t="s">
        <v>170</v>
      </c>
    </row>
    <row r="12" spans="2:8" s="84" customFormat="1" ht="16.5" customHeight="1">
      <c r="B12" s="543"/>
      <c r="C12" s="539"/>
      <c r="D12" s="539"/>
      <c r="H12" s="217"/>
    </row>
    <row r="13" spans="2:8" s="84" customFormat="1" ht="9.75" customHeight="1">
      <c r="B13" s="273"/>
      <c r="C13" s="108"/>
      <c r="D13" s="144"/>
      <c r="H13" s="217"/>
    </row>
    <row r="14" spans="2:9" s="65" customFormat="1" ht="16.5" customHeight="1">
      <c r="B14" s="405" t="s">
        <v>0</v>
      </c>
      <c r="C14" s="383">
        <f>SUM(C15:C16)</f>
        <v>5703483.55762</v>
      </c>
      <c r="D14" s="382">
        <f>SUM(D15:D16)</f>
        <v>18610466.848514028</v>
      </c>
      <c r="E14" s="236"/>
      <c r="F14" s="389"/>
      <c r="G14" s="310"/>
      <c r="H14" s="310"/>
      <c r="I14" s="310"/>
    </row>
    <row r="15" spans="2:8" s="65" customFormat="1" ht="16.5" customHeight="1">
      <c r="B15" s="69" t="s">
        <v>24</v>
      </c>
      <c r="C15" s="381">
        <v>974669.85321</v>
      </c>
      <c r="D15" s="380">
        <f>ROUND(+C15*$E$9,8)</f>
        <v>3180347.73102423</v>
      </c>
      <c r="E15" s="236"/>
      <c r="F15" s="388"/>
      <c r="G15" s="395"/>
      <c r="H15" s="310"/>
    </row>
    <row r="16" spans="2:8" s="65" customFormat="1" ht="16.5" customHeight="1">
      <c r="B16" s="69" t="s">
        <v>25</v>
      </c>
      <c r="C16" s="381">
        <v>4728813.70441</v>
      </c>
      <c r="D16" s="380">
        <f>ROUND(+C16*$E$9,8)</f>
        <v>15430119.1174898</v>
      </c>
      <c r="E16" s="221"/>
      <c r="F16" s="388"/>
      <c r="G16" s="310"/>
      <c r="H16" s="310"/>
    </row>
    <row r="17" spans="2:8" s="65" customFormat="1" ht="12" customHeight="1">
      <c r="B17" s="69"/>
      <c r="C17" s="381"/>
      <c r="D17" s="380"/>
      <c r="E17" s="236"/>
      <c r="H17" s="221"/>
    </row>
    <row r="18" spans="2:8" s="65" customFormat="1" ht="16.5" customHeight="1">
      <c r="B18" s="405" t="s">
        <v>209</v>
      </c>
      <c r="C18" s="383">
        <f>SUM(C19:C19)</f>
        <v>152646.81953</v>
      </c>
      <c r="D18" s="382">
        <f>SUM(D19:D19)</f>
        <v>498086.57212639</v>
      </c>
      <c r="E18" s="236"/>
      <c r="F18" s="389"/>
      <c r="G18" s="311"/>
      <c r="H18" s="311"/>
    </row>
    <row r="19" spans="2:8" s="65" customFormat="1" ht="16.5" customHeight="1">
      <c r="B19" s="69" t="s">
        <v>24</v>
      </c>
      <c r="C19" s="381">
        <v>152646.81953</v>
      </c>
      <c r="D19" s="380">
        <f>ROUND(+C19*$E$9,8)</f>
        <v>498086.57212639</v>
      </c>
      <c r="E19" s="221"/>
      <c r="F19" s="388"/>
      <c r="H19" s="221"/>
    </row>
    <row r="20" spans="2:8" s="65" customFormat="1" ht="11.25" customHeight="1">
      <c r="B20" s="69"/>
      <c r="C20" s="381"/>
      <c r="D20" s="380"/>
      <c r="E20" s="236"/>
      <c r="H20" s="221"/>
    </row>
    <row r="21" spans="2:8" s="65" customFormat="1" ht="16.5" customHeight="1">
      <c r="B21" s="405" t="s">
        <v>210</v>
      </c>
      <c r="C21" s="383">
        <f>+C22</f>
        <v>416666.66666000005</v>
      </c>
      <c r="D21" s="382">
        <f>+D22</f>
        <v>1359583.33331158</v>
      </c>
      <c r="E21" s="236"/>
      <c r="F21" s="389"/>
      <c r="H21" s="221"/>
    </row>
    <row r="22" spans="2:8" s="65" customFormat="1" ht="16.5" customHeight="1">
      <c r="B22" s="69" t="s">
        <v>24</v>
      </c>
      <c r="C22" s="381">
        <v>416666.66666000005</v>
      </c>
      <c r="D22" s="380">
        <f>ROUND(+C22*$E$9,8)</f>
        <v>1359583.33331158</v>
      </c>
      <c r="E22" s="221"/>
      <c r="F22" s="388"/>
      <c r="H22" s="221"/>
    </row>
    <row r="23" spans="2:8" s="65" customFormat="1" ht="9.75" customHeight="1">
      <c r="B23" s="68"/>
      <c r="C23" s="343"/>
      <c r="D23" s="379"/>
      <c r="F23" s="388"/>
      <c r="H23" s="221"/>
    </row>
    <row r="24" spans="2:8" s="65" customFormat="1" ht="15" customHeight="1">
      <c r="B24" s="557" t="s">
        <v>62</v>
      </c>
      <c r="C24" s="546">
        <f>+C18+C14+C21</f>
        <v>6272797.04381</v>
      </c>
      <c r="D24" s="546">
        <f>+D18+D14+D21</f>
        <v>20468136.753951997</v>
      </c>
      <c r="F24" s="389"/>
      <c r="H24" s="221"/>
    </row>
    <row r="25" spans="2:8" s="84" customFormat="1" ht="15" customHeight="1">
      <c r="B25" s="558"/>
      <c r="C25" s="547"/>
      <c r="D25" s="547"/>
      <c r="H25" s="217"/>
    </row>
    <row r="26" spans="2:8" s="84" customFormat="1" ht="7.5" customHeight="1">
      <c r="B26" s="270"/>
      <c r="C26" s="145"/>
      <c r="D26" s="145"/>
      <c r="H26" s="217"/>
    </row>
    <row r="27" spans="2:8" s="65" customFormat="1" ht="17.25" customHeight="1">
      <c r="B27" s="514" t="s">
        <v>211</v>
      </c>
      <c r="C27" s="514"/>
      <c r="D27" s="514"/>
      <c r="H27" s="221"/>
    </row>
    <row r="28" spans="2:8" s="65" customFormat="1" ht="17.25" customHeight="1">
      <c r="B28" s="514" t="s">
        <v>212</v>
      </c>
      <c r="C28" s="514"/>
      <c r="D28" s="514"/>
      <c r="H28" s="221"/>
    </row>
    <row r="29" spans="3:4" ht="12.75">
      <c r="C29" s="263"/>
      <c r="D29" s="263"/>
    </row>
    <row r="30" ht="12.75">
      <c r="C30" s="312"/>
    </row>
    <row r="32" spans="3:4" ht="12.75">
      <c r="C32" s="137"/>
      <c r="D32" s="137"/>
    </row>
    <row r="33" spans="2:8" s="142" customFormat="1" ht="18">
      <c r="B33" s="135" t="s">
        <v>122</v>
      </c>
      <c r="C33" s="135"/>
      <c r="D33" s="135"/>
      <c r="H33" s="237"/>
    </row>
    <row r="34" spans="2:8" s="142" customFormat="1" ht="18">
      <c r="B34" s="348" t="s">
        <v>139</v>
      </c>
      <c r="C34" s="348"/>
      <c r="D34" s="348"/>
      <c r="H34" s="237"/>
    </row>
    <row r="35" spans="2:8" s="142" customFormat="1" ht="18">
      <c r="B35" s="348" t="s">
        <v>140</v>
      </c>
      <c r="C35" s="348"/>
      <c r="D35" s="348"/>
      <c r="H35" s="237"/>
    </row>
    <row r="36" spans="2:8" s="142" customFormat="1" ht="18">
      <c r="B36" s="376" t="s">
        <v>1</v>
      </c>
      <c r="C36" s="194"/>
      <c r="D36" s="194"/>
      <c r="H36" s="237"/>
    </row>
    <row r="37" spans="2:8" s="142" customFormat="1" ht="18">
      <c r="B37" s="139" t="str">
        <f>+B9</f>
        <v>Al 28 de febrero de 2017</v>
      </c>
      <c r="C37" s="139"/>
      <c r="D37" s="272"/>
      <c r="H37" s="237"/>
    </row>
    <row r="38" spans="2:4" ht="9.75" customHeight="1">
      <c r="B38" s="556"/>
      <c r="C38" s="556"/>
      <c r="D38" s="556"/>
    </row>
    <row r="39" spans="2:4" ht="16.5" customHeight="1">
      <c r="B39" s="542" t="s">
        <v>153</v>
      </c>
      <c r="C39" s="538" t="s">
        <v>90</v>
      </c>
      <c r="D39" s="538" t="s">
        <v>170</v>
      </c>
    </row>
    <row r="40" spans="2:8" s="84" customFormat="1" ht="16.5" customHeight="1">
      <c r="B40" s="543"/>
      <c r="C40" s="539"/>
      <c r="D40" s="539"/>
      <c r="H40" s="217"/>
    </row>
    <row r="41" spans="2:8" s="84" customFormat="1" ht="9.75" customHeight="1">
      <c r="B41" s="273"/>
      <c r="C41" s="279"/>
      <c r="D41" s="146"/>
      <c r="H41" s="217"/>
    </row>
    <row r="42" spans="2:8" s="65" customFormat="1" ht="16.5" customHeight="1">
      <c r="B42" s="405" t="s">
        <v>0</v>
      </c>
      <c r="C42" s="383">
        <f>SUM(C43:C43)</f>
        <v>15611.94415</v>
      </c>
      <c r="D42" s="382">
        <f>SUM(D43:D43)</f>
        <v>50941.77376145</v>
      </c>
      <c r="E42" s="236"/>
      <c r="H42" s="221"/>
    </row>
    <row r="43" spans="2:8" s="65" customFormat="1" ht="16.5" customHeight="1">
      <c r="B43" s="69" t="s">
        <v>24</v>
      </c>
      <c r="C43" s="381">
        <v>15611.94415</v>
      </c>
      <c r="D43" s="380">
        <f>ROUND(+C43*$E$9,8)</f>
        <v>50941.77376145</v>
      </c>
      <c r="E43" s="236"/>
      <c r="F43" s="404"/>
      <c r="H43" s="221"/>
    </row>
    <row r="44" spans="2:8" s="65" customFormat="1" ht="12" customHeight="1">
      <c r="B44" s="69"/>
      <c r="C44" s="381"/>
      <c r="D44" s="380"/>
      <c r="E44" s="236"/>
      <c r="H44" s="221"/>
    </row>
    <row r="45" spans="2:8" s="65" customFormat="1" ht="16.5" customHeight="1">
      <c r="B45" s="405" t="s">
        <v>165</v>
      </c>
      <c r="C45" s="383">
        <f>+C46</f>
        <v>679307.6261</v>
      </c>
      <c r="D45" s="382">
        <f>+D46</f>
        <v>2216580.7839643</v>
      </c>
      <c r="E45" s="238"/>
      <c r="F45" s="113"/>
      <c r="H45" s="221"/>
    </row>
    <row r="46" spans="2:8" s="65" customFormat="1" ht="16.5" customHeight="1">
      <c r="B46" s="69" t="s">
        <v>24</v>
      </c>
      <c r="C46" s="381">
        <v>679307.6261</v>
      </c>
      <c r="D46" s="380">
        <f>ROUND(+C46*$E$9,8)</f>
        <v>2216580.7839643</v>
      </c>
      <c r="E46" s="238"/>
      <c r="F46" s="395"/>
      <c r="H46" s="221"/>
    </row>
    <row r="47" spans="2:8" s="65" customFormat="1" ht="9.75" customHeight="1">
      <c r="B47" s="68"/>
      <c r="C47" s="343"/>
      <c r="D47" s="379"/>
      <c r="H47" s="221"/>
    </row>
    <row r="48" spans="2:8" s="65" customFormat="1" ht="15" customHeight="1">
      <c r="B48" s="557" t="s">
        <v>62</v>
      </c>
      <c r="C48" s="546">
        <f>+C42+C45</f>
        <v>694919.57025</v>
      </c>
      <c r="D48" s="546">
        <f>+D42+D45</f>
        <v>2267522.55772575</v>
      </c>
      <c r="H48" s="221"/>
    </row>
    <row r="49" spans="2:8" s="84" customFormat="1" ht="15" customHeight="1">
      <c r="B49" s="558"/>
      <c r="C49" s="547"/>
      <c r="D49" s="547"/>
      <c r="H49" s="217"/>
    </row>
    <row r="50" ht="4.5" customHeight="1"/>
    <row r="51" spans="3:4" ht="12.75">
      <c r="C51" s="263"/>
      <c r="D51" s="263"/>
    </row>
    <row r="52" ht="12.75">
      <c r="C52" s="174"/>
    </row>
    <row r="55" ht="12.75">
      <c r="C55" s="174"/>
    </row>
  </sheetData>
  <sheetProtection/>
  <mergeCells count="16"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  <mergeCell ref="B28:D28"/>
    <mergeCell ref="B10:D10"/>
    <mergeCell ref="C24:C25"/>
    <mergeCell ref="D11:D12"/>
    <mergeCell ref="B11:B12"/>
    <mergeCell ref="B27:D27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2017-07-19T19:12:00Z</cp:lastPrinted>
  <dcterms:created xsi:type="dcterms:W3CDTF">2010-09-21T14:57:59Z</dcterms:created>
  <dcterms:modified xsi:type="dcterms:W3CDTF">2017-11-21T16:30:16Z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