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'DEP-C1'!$A$1:$AK$49</definedName>
    <definedName name="_xlnm.Print_Area" localSheetId="5">'DEP-C2'!$B$1:$D$47</definedName>
    <definedName name="_xlnm.Print_Area" localSheetId="6">'DEP-C3'!$B$5:$D$62</definedName>
    <definedName name="_xlnm.Print_Area" localSheetId="7">'DEP-C4'!$B$1:$D$92</definedName>
    <definedName name="_xlnm.Print_Area" localSheetId="8">'DEP-C5'!$B$1:$D$51</definedName>
    <definedName name="_xlnm.Print_Area" localSheetId="9">'DEP-C6'!$B$1:$E$77</definedName>
    <definedName name="_xlnm.Print_Area" localSheetId="10">'DEP-C7'!$B$1:$E$93</definedName>
    <definedName name="_xlnm.Print_Area" localSheetId="11">'DEP-C8'!$B$1:$D$126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<sst xmlns="http://schemas.openxmlformats.org/spreadsheetml/2006/main" count="620" uniqueCount="271">
  <si>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</si>
  <si>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</si>
  <si>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</si>
  <si>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</si>
  <si>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</si>
  <si>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</si>
  <si>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</si>
  <si>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</si>
  <si>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</si>
  <si>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</si>
  <si>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</si>
  <si>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</si>
  <si>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</si>
  <si>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</si>
  <si>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</si>
  <si>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</si>
  <si>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</si>
  <si>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</si>
  <si>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</si>
  <si>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</si>
  <si>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</si>
  <si>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</si>
  <si>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</si>
  <si>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</si>
  <si>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</si>
  <si>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</si>
  <si>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</si>
  <si>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</si>
  <si>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</si>
  <si>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</si>
  <si>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</si>
  <si>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</si>
  <si>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</si>
  <si>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</si>
  <si>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</si>
  <si>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</si>
  <si>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</si>
  <si>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</si>
  <si>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</si>
  <si>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</si>
  <si>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</si>
  <si>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</si>
  <si>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</si>
  <si>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</si>
  <si>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</si>
  <si>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</si>
  <si>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</si>
  <si>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</si>
  <si>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</si>
  <si>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</si>
  <si>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</si>
  <si>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</si>
  <si>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</si>
  <si>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</si>
  <si>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</si>
  <si>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</si>
  <si>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</si>
  <si>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</si>
  <si>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</si>
  <si>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</si>
  <si>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</si>
  <si>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</si>
  <si>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</si>
  <si>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</si>
  <si>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</si>
  <si>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</si>
  <si>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</si>
  <si>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</si>
  <si>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</si>
  <si>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</si>
  <si>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</si>
  <si>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</si>
  <si>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</si>
  <si>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</si>
  <si>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</si>
  <si>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</si>
  <si>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</si>
  <si>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</si>
  <si>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</si>
  <si>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</si>
  <si>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</si>
  <si>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</si>
  <si>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</si>
  <si>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</si>
  <si>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</si>
  <si>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</si>
  <si>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</si>
  <si>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</si>
  <si>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</si>
  <si>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</si>
  <si>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</si>
  <si>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</si>
  <si>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</si>
  <si>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</si>
  <si>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</si>
  <si>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</si>
  <si>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</si>
  <si>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</si>
  <si>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</si>
  <si>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</si>
  <si>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</si>
  <si>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</si>
  <si>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</si>
  <si>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</si>
  <si>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</si>
  <si>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</si>
  <si>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</si>
  <si>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</si>
  <si>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</si>
  <si>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</si>
  <si>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</si>
  <si>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</si>
  <si>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</si>
  <si>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</si>
  <si>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</si>
  <si>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</si>
  <si>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</si>
  <si>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</si>
  <si>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</si>
  <si>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</si>
  <si>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</si>
  <si>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</si>
  <si>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</si>
  <si>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</si>
  <si>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</si>
  <si>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</si>
  <si>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</si>
  <si>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</si>
  <si>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</si>
  <si>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</si>
  <si>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</si>
  <si>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</si>
  <si>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</si>
  <si>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</si>
  <si>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</si>
  <si>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</si>
  <si>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</si>
  <si>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</si>
  <si>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</si>
  <si>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</si>
  <si>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</si>
  <si>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</si>
  <si>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</si>
  <si>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</si>
  <si>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</si>
  <si>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</si>
  <si>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</si>
  <si>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</si>
  <si>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</si>
  <si>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</si>
  <si>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</si>
  <si>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</si>
  <si>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</si>
  <si>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</si>
  <si>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</si>
  <si>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</si>
  <si>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</si>
  <si>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</si>
  <si>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</si>
  <si>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</si>
  <si>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</si>
  <si>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</si>
  <si>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</si>
  <si>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</si>
  <si>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</si>
  <si>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</si>
  <si>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</si>
  <si>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Corporacion Andina De Fomento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</si>
  <si>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</si>
  <si>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</si>
  <si>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</si>
  <si>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</si>
  <si>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</si>
  <si>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</si>
  <si>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</si>
  <si>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</si>
  <si>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</si>
  <si>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</si>
  <si>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</si>
  <si>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</si>
  <si>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</si>
  <si>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</si>
  <si>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</si>
  <si>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</si>
  <si>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</si>
  <si>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</si>
  <si>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</si>
  <si>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</si>
  <si>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</si>
  <si>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</si>
  <si>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</si>
  <si>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</si>
  <si>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</si>
  <si>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</si>
  <si>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</si>
  <si>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</si>
  <si>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</si>
  <si>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</si>
  <si>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</si>
  <si>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</si>
  <si>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</si>
  <si>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</si>
  <si>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</si>
  <si>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</si>
  <si>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</si>
  <si>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</si>
  <si>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</si>
  <si>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</si>
  <si>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</si>
  <si>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</si>
  <si>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</si>
  <si>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</si>
  <si>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</si>
  <si>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</si>
  <si>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</si>
  <si>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</si>
  <si>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</si>
  <si>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</si>
  <si>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</si>
  <si>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</si>
  <si>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</si>
  <si>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</si>
  <si>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</si>
  <si>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</si>
  <si>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</si>
  <si>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</si>
  <si>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</si>
  <si>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</si>
  <si>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</si>
  <si>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</si>
  <si>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</si>
  <si>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</si>
  <si>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</si>
  <si>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</si>
  <si>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</si>
  <si>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</si>
  <si>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</si>
  <si>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</si>
  <si>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</si>
  <si>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</si>
  <si>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</si>
  <si>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Banco de La Nacion</t>
  </si>
  <si>
    <t>Empresa de Servicio Público de Electricidad del Sur</t>
  </si>
  <si>
    <t>Servicios Postales del Peru</t>
  </si>
  <si>
    <t>Empresa de Servicio Público de Electricidad Electro Norte Medio S.A.</t>
  </si>
  <si>
    <t>Empresa Regional de Servicio Público de Electricidad Electronoroeste S.A.</t>
  </si>
  <si>
    <t>Petroleos del Peru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</si>
  <si>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</si>
  <si>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</si>
  <si>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</si>
  <si>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</si>
  <si>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</si>
  <si>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Sumitomo Mitsui Banking Corporation</t>
  </si>
  <si>
    <t>Banco Interamericano de Finanzas</t>
  </si>
  <si>
    <t>Sep</t>
  </si>
  <si>
    <t>Banco Latinoamericno de Comercio Exterior</t>
  </si>
  <si>
    <t>Banco Latinoamericano de Comercio Exterior S.A.</t>
  </si>
  <si>
    <t>Banco de Sabadell</t>
  </si>
  <si>
    <t>Natixis</t>
  </si>
  <si>
    <t>DZ Bank AG, New York Branch</t>
  </si>
  <si>
    <t>Paribas</t>
  </si>
  <si>
    <t>Itaú Corpbanca New York Branch</t>
  </si>
  <si>
    <t>Citibank</t>
  </si>
  <si>
    <t>NATIXIS</t>
  </si>
  <si>
    <t>PARIBAS</t>
  </si>
  <si>
    <t>Itau Corpbanca New York Branch</t>
  </si>
  <si>
    <t>AL 31 DE ENERO 2021</t>
  </si>
  <si>
    <t>Período: De 2009 al 31 de enero de 2021</t>
  </si>
  <si>
    <t>Al 31 de enero de 2021</t>
  </si>
  <si>
    <t xml:space="preserve"> 3/  Incluye: Bonos COFIDE por US$ 1 347,8 millones y Bonos Fondo MIVIVIENDA por US$ 1 061,9 millones.</t>
  </si>
  <si>
    <t xml:space="preserve"> 4/  Incluye: Bonos COFIDE por US$ 380,0 millones y Bonos Fondo MIVIVIENDA por US$ 219,7 millones.</t>
  </si>
</sst>
</file>

<file path=xl/styles.xml><?xml version="1.0" encoding="utf-8"?>
<styleSheet xmlns="http://schemas.openxmlformats.org/spreadsheetml/2006/main">
  <numFmts count="6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&quot;S/.&quot;\ * #,##0_ ;_ &quot;S/.&quot;\ * \-#,##0_ ;_ &quot;S/.&quot;\ * &quot;-&quot;_ ;_ @_ "/>
    <numFmt numFmtId="165" formatCode="_ * #,##0_ ;_ * \-#,##0_ ;_ * &quot;-&quot;_ ;_ @_ 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_);\(#,##0\)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3.2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rgb="FF808080"/>
      </left>
      <right/>
      <top/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38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7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7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7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7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7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91" fontId="0" fillId="48" borderId="0" xfId="308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194" fontId="35" fillId="48" borderId="0" xfId="323" applyNumberFormat="1" applyFont="1" applyFill="1" applyAlignment="1">
      <alignment vertical="top"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33" fillId="47" borderId="40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37" fontId="8" fillId="47" borderId="42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3" xfId="331" applyNumberFormat="1" applyFont="1" applyFill="1" applyBorder="1" applyAlignment="1">
      <alignment horizontal="right" vertical="center" indent="2"/>
      <protection/>
    </xf>
    <xf numFmtId="173" fontId="0" fillId="48" borderId="43" xfId="350" applyNumberFormat="1" applyFont="1" applyFill="1" applyBorder="1" applyAlignment="1">
      <alignment horizontal="right" vertical="center" indent="1"/>
    </xf>
    <xf numFmtId="173" fontId="3" fillId="48" borderId="44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3" xfId="331" applyFont="1" applyFill="1" applyBorder="1" applyAlignment="1">
      <alignment horizontal="right" vertical="center" indent="2"/>
      <protection/>
    </xf>
    <xf numFmtId="0" fontId="3" fillId="48" borderId="43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5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5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5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6" xfId="323" applyFont="1" applyFill="1" applyBorder="1" applyAlignment="1">
      <alignment horizontal="center" vertical="center"/>
      <protection/>
    </xf>
    <xf numFmtId="0" fontId="7" fillId="47" borderId="47" xfId="323" applyFont="1" applyFill="1" applyBorder="1">
      <alignment/>
      <protection/>
    </xf>
    <xf numFmtId="37" fontId="33" fillId="47" borderId="48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9" xfId="323" applyFont="1" applyFill="1" applyBorder="1" applyAlignment="1">
      <alignment horizontal="center" vertical="center"/>
      <protection/>
    </xf>
    <xf numFmtId="0" fontId="7" fillId="47" borderId="50" xfId="323" applyFont="1" applyFill="1" applyBorder="1">
      <alignment/>
      <protection/>
    </xf>
    <xf numFmtId="37" fontId="33" fillId="47" borderId="51" xfId="300" applyNumberFormat="1" applyFont="1" applyFill="1" applyBorder="1" applyAlignment="1">
      <alignment horizontal="right" vertical="center" wrapText="1" indent="1"/>
    </xf>
    <xf numFmtId="37" fontId="8" fillId="47" borderId="49" xfId="300" applyNumberFormat="1" applyFont="1" applyFill="1" applyBorder="1" applyAlignment="1">
      <alignment horizontal="right" vertical="center" wrapText="1" indent="1"/>
    </xf>
    <xf numFmtId="0" fontId="6" fillId="48" borderId="52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5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37" fontId="33" fillId="47" borderId="56" xfId="300" applyNumberFormat="1" applyFont="1" applyFill="1" applyBorder="1" applyAlignment="1">
      <alignment horizontal="right" vertical="center" wrapText="1" indent="1"/>
    </xf>
    <xf numFmtId="37" fontId="8" fillId="47" borderId="57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5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3" xfId="350" applyNumberFormat="1" applyFont="1" applyFill="1" applyBorder="1" applyAlignment="1">
      <alignment horizontal="left" vertical="center" indent="2"/>
    </xf>
    <xf numFmtId="173" fontId="3" fillId="48" borderId="44" xfId="350" applyNumberFormat="1" applyFont="1" applyFill="1" applyBorder="1" applyAlignment="1">
      <alignment horizontal="left" vertical="center" indent="2"/>
    </xf>
    <xf numFmtId="0" fontId="3" fillId="48" borderId="43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1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0" fontId="8" fillId="47" borderId="51" xfId="323" applyFont="1" applyFill="1" applyBorder="1">
      <alignment/>
      <protection/>
    </xf>
    <xf numFmtId="37" fontId="8" fillId="47" borderId="51" xfId="323" applyNumberFormat="1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0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7" fontId="33" fillId="47" borderId="43" xfId="300" applyNumberFormat="1" applyFont="1" applyFill="1" applyBorder="1" applyAlignment="1">
      <alignment horizontal="right" vertical="center" wrapText="1" inden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8" xfId="0" applyFont="1" applyFill="1" applyBorder="1" applyAlignment="1">
      <alignment horizontal="center" vertical="center" wrapText="1"/>
    </xf>
    <xf numFmtId="3" fontId="11" fillId="48" borderId="58" xfId="300" applyNumberFormat="1" applyFont="1" applyFill="1" applyBorder="1" applyAlignment="1">
      <alignment horizontal="right" vertical="center" indent="1"/>
    </xf>
    <xf numFmtId="3" fontId="8" fillId="48" borderId="58" xfId="300" applyNumberFormat="1" applyFont="1" applyFill="1" applyBorder="1" applyAlignment="1">
      <alignment horizontal="right" vertical="center" indent="1"/>
    </xf>
    <xf numFmtId="3" fontId="33" fillId="48" borderId="58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6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22" fontId="0" fillId="48" borderId="0" xfId="300" applyNumberFormat="1" applyFont="1" applyFill="1" applyAlignment="1">
      <alignment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204" fontId="0" fillId="48" borderId="0" xfId="0" applyNumberFormat="1" applyFont="1" applyFill="1" applyBorder="1" applyAlignment="1">
      <alignment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7" fillId="48" borderId="0" xfId="0" applyNumberFormat="1" applyFont="1" applyFill="1" applyAlignment="1">
      <alignment horizontal="center" vertical="center" wrapText="1"/>
    </xf>
    <xf numFmtId="0" fontId="3" fillId="48" borderId="59" xfId="331" applyFont="1" applyFill="1" applyBorder="1" applyAlignment="1">
      <alignment horizontal="center" vertical="center"/>
      <protection/>
    </xf>
    <xf numFmtId="0" fontId="3" fillId="48" borderId="60" xfId="331" applyFont="1" applyFill="1" applyBorder="1" applyAlignment="1">
      <alignment horizontal="center" vertical="center"/>
      <protection/>
    </xf>
    <xf numFmtId="0" fontId="3" fillId="48" borderId="61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2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horizontal="center" vertical="center"/>
      <protection/>
    </xf>
    <xf numFmtId="37" fontId="6" fillId="47" borderId="55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42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5" xfId="300" applyNumberFormat="1" applyFont="1" applyFill="1" applyBorder="1" applyAlignment="1">
      <alignment horizontal="right" vertical="center" wrapText="1" indent="1"/>
    </xf>
    <xf numFmtId="0" fontId="6" fillId="47" borderId="63" xfId="323" applyFont="1" applyFill="1" applyBorder="1" applyAlignment="1">
      <alignment horizontal="center" vertical="center"/>
      <protection/>
    </xf>
    <xf numFmtId="0" fontId="6" fillId="47" borderId="41" xfId="323" applyFont="1" applyFill="1" applyBorder="1" applyAlignment="1">
      <alignment horizontal="center" vertical="center"/>
      <protection/>
    </xf>
    <xf numFmtId="37" fontId="6" fillId="47" borderId="50" xfId="300" applyNumberFormat="1" applyFont="1" applyFill="1" applyBorder="1" applyAlignment="1">
      <alignment horizontal="right" vertical="center" wrapText="1" indent="1"/>
    </xf>
    <xf numFmtId="37" fontId="6" fillId="47" borderId="49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7" borderId="64" xfId="323" applyFont="1" applyFill="1" applyBorder="1" applyAlignment="1">
      <alignment horizontal="center" vertical="center" wrapText="1"/>
      <protection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/>
      <protection/>
    </xf>
    <xf numFmtId="0" fontId="6" fillId="47" borderId="49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5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68" xfId="0" applyFont="1" applyFill="1" applyBorder="1" applyAlignment="1">
      <alignment horizontal="center" vertical="center" wrapText="1"/>
    </xf>
    <xf numFmtId="0" fontId="11" fillId="48" borderId="69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3" fontId="6" fillId="48" borderId="71" xfId="300" applyNumberFormat="1" applyFont="1" applyFill="1" applyBorder="1" applyAlignment="1">
      <alignment horizontal="right" vertical="center" indent="1"/>
    </xf>
    <xf numFmtId="3" fontId="6" fillId="48" borderId="72" xfId="300" applyNumberFormat="1" applyFont="1" applyFill="1" applyBorder="1" applyAlignment="1">
      <alignment horizontal="right" vertical="center" indent="1"/>
    </xf>
    <xf numFmtId="0" fontId="11" fillId="48" borderId="73" xfId="0" applyFont="1" applyFill="1" applyBorder="1" applyAlignment="1">
      <alignment horizontal="center" vertical="center" wrapText="1"/>
    </xf>
    <xf numFmtId="0" fontId="11" fillId="48" borderId="74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5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8" xfId="0" applyFont="1" applyFill="1" applyBorder="1" applyAlignment="1">
      <alignment horizontal="center" vertical="center" wrapText="1"/>
    </xf>
    <xf numFmtId="0" fontId="6" fillId="48" borderId="69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2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0" fontId="0" fillId="0" borderId="0" xfId="0" applyFont="1" applyAlignment="1">
      <alignment vertical="center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5"/>
          <c:w val="0.4935"/>
          <c:h val="0.793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6532.3018552</c:v>
                </c:pt>
                <c:pt idx="1">
                  <c:v>2669.7649879099995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85"/>
          <c:y val="0.097"/>
          <c:w val="0.496"/>
          <c:h val="0.79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4006.39688679</c:v>
                </c:pt>
                <c:pt idx="1">
                  <c:v>5195.66995632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425"/>
          <c:y val="0.1005"/>
          <c:w val="0.5045"/>
          <c:h val="0.7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7957.54079514</c:v>
                </c:pt>
                <c:pt idx="1">
                  <c:v>1244.52604797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75"/>
          <c:y val="0.09725"/>
          <c:w val="0.4992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4192.69024341</c:v>
                </c:pt>
                <c:pt idx="1">
                  <c:v>5009.3765997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5009.3765997</c:v>
                </c:pt>
                <c:pt idx="1">
                  <c:v>2497.2057285299998</c:v>
                </c:pt>
                <c:pt idx="2">
                  <c:v>622.14992597</c:v>
                </c:pt>
                <c:pt idx="3">
                  <c:v>580.4745904200005</c:v>
                </c:pt>
                <c:pt idx="4">
                  <c:v>492.85999849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6592.59867473</c:v>
                </c:pt>
                <c:pt idx="1">
                  <c:v>2107.4557363299996</c:v>
                </c:pt>
                <c:pt idx="2">
                  <c:v>222.35086356</c:v>
                </c:pt>
                <c:pt idx="3">
                  <c:v>279.66156849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13025"/>
          <c:w val="0.7887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'DEP-C1'!$C$12:$AK$13</c:f>
              <c:multiLvlStrCache/>
            </c:multiLvlStrRef>
          </c:cat>
          <c:val>
            <c:numRef>
              <c:f>'DEP-C1'!$C$15:$AK$15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'DEP-C1'!$C$12:$AK$13</c:f>
              <c:multiLvlStrCache/>
            </c:multiLvlStrRef>
          </c:cat>
          <c:val>
            <c:numRef>
              <c:f>'DEP-C1'!$C$16:$AK$16</c:f>
              <c:numCache/>
            </c:numRef>
          </c:val>
        </c:ser>
        <c:axId val="9046888"/>
        <c:axId val="14313129"/>
      </c:barChart>
      <c:catAx>
        <c:axId val="9046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13129"/>
        <c:crosses val="autoZero"/>
        <c:auto val="1"/>
        <c:lblOffset val="100"/>
        <c:tickLblSkip val="1"/>
        <c:noMultiLvlLbl val="0"/>
      </c:catAx>
      <c:valAx>
        <c:axId val="14313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6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75"/>
          <c:y val="0.489"/>
          <c:w val="0.192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1.xls#Indice!B6" /><Relationship Id="rId3" Type="http://schemas.openxmlformats.org/officeDocument/2006/relationships/hyperlink" Target="#Reporte_Deuda_Empresas_SG_31012021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1.xls#Indice!B6" /><Relationship Id="rId3" Type="http://schemas.openxmlformats.org/officeDocument/2006/relationships/hyperlink" Target="#Reporte_Deuda_Empresas_SG_31012021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1.xls#Indice!B6" /><Relationship Id="rId3" Type="http://schemas.openxmlformats.org/officeDocument/2006/relationships/hyperlink" Target="#Reporte_Deuda_Empresas_SG_31012021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1.xls#Indice!B6" /><Relationship Id="rId3" Type="http://schemas.openxmlformats.org/officeDocument/2006/relationships/hyperlink" Target="#Reporte_Deuda_Empresas_SG_31012021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1.xls#Indice!B6" /><Relationship Id="rId3" Type="http://schemas.openxmlformats.org/officeDocument/2006/relationships/hyperlink" Target="#Reporte_Deuda_Empresas_SG_31012021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31012021.xls#Indice!B6" /><Relationship Id="rId9" Type="http://schemas.openxmlformats.org/officeDocument/2006/relationships/hyperlink" Target="#Reporte_Deuda_Empresas_SG_31012021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12021.xls#Indice!B6" /><Relationship Id="rId4" Type="http://schemas.openxmlformats.org/officeDocument/2006/relationships/hyperlink" Target="#Reporte_Deuda_Empresas_SG_31012021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1.xls#Indice!B6" /><Relationship Id="rId3" Type="http://schemas.openxmlformats.org/officeDocument/2006/relationships/hyperlink" Target="#Reporte_Deuda_Empresas_SG_31012021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1.xls#Indice!B6" /><Relationship Id="rId3" Type="http://schemas.openxmlformats.org/officeDocument/2006/relationships/hyperlink" Target="#Reporte_Deuda_Empresas_SG_31012021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1.xls#Indice!B6" /><Relationship Id="rId3" Type="http://schemas.openxmlformats.org/officeDocument/2006/relationships/hyperlink" Target="#Reporte_Deuda_Empresas_SG_31012021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1.xls#Indice!B6" /><Relationship Id="rId3" Type="http://schemas.openxmlformats.org/officeDocument/2006/relationships/hyperlink" Target="#Reporte_Deuda_Empresas_SG_31012021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6238875</xdr:colOff>
      <xdr:row>0</xdr:row>
      <xdr:rowOff>152400</xdr:rowOff>
    </xdr:from>
    <xdr:to>
      <xdr:col>1</xdr:col>
      <xdr:colOff>6638925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123825</xdr:rowOff>
    </xdr:from>
    <xdr:to>
      <xdr:col>3</xdr:col>
      <xdr:colOff>1076325</xdr:colOff>
      <xdr:row>1</xdr:row>
      <xdr:rowOff>209550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2382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5553075</xdr:colOff>
      <xdr:row>0</xdr:row>
      <xdr:rowOff>123825</xdr:rowOff>
    </xdr:from>
    <xdr:to>
      <xdr:col>1</xdr:col>
      <xdr:colOff>5905500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23825"/>
          <a:ext cx="3524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123825</xdr:rowOff>
    </xdr:from>
    <xdr:to>
      <xdr:col>6</xdr:col>
      <xdr:colOff>390525</xdr:colOff>
      <xdr:row>2</xdr:row>
      <xdr:rowOff>114300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2382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66675</xdr:rowOff>
    </xdr:from>
    <xdr:to>
      <xdr:col>6</xdr:col>
      <xdr:colOff>419100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1171575</xdr:colOff>
      <xdr:row>0</xdr:row>
      <xdr:rowOff>142875</xdr:rowOff>
    </xdr:from>
    <xdr:to>
      <xdr:col>6</xdr:col>
      <xdr:colOff>152400</xdr:colOff>
      <xdr:row>2</xdr:row>
      <xdr:rowOff>104775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43600" y="142875"/>
          <a:ext cx="3619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3</xdr:row>
      <xdr:rowOff>9525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27</xdr:col>
      <xdr:colOff>390525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6965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590550</xdr:colOff>
      <xdr:row>0</xdr:row>
      <xdr:rowOff>85725</xdr:rowOff>
    </xdr:from>
    <xdr:to>
      <xdr:col>18</xdr:col>
      <xdr:colOff>161925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857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0</xdr:row>
      <xdr:rowOff>104775</xdr:rowOff>
    </xdr:from>
    <xdr:to>
      <xdr:col>4</xdr:col>
      <xdr:colOff>142875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0</xdr:row>
      <xdr:rowOff>152400</xdr:rowOff>
    </xdr:from>
    <xdr:to>
      <xdr:col>3</xdr:col>
      <xdr:colOff>1104900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524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104775</xdr:rowOff>
    </xdr:from>
    <xdr:to>
      <xdr:col>2</xdr:col>
      <xdr:colOff>1143000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114300</xdr:rowOff>
    </xdr:from>
    <xdr:to>
      <xdr:col>3</xdr:col>
      <xdr:colOff>1000125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27" t="str">
        <f>+Portada!$B$6</f>
        <v>DEUDA DE LAS EMPRESAS PÚBLICAS</v>
      </c>
      <c r="C6" s="527"/>
      <c r="D6" s="527"/>
      <c r="E6" s="527"/>
      <c r="F6" s="527"/>
      <c r="G6" s="527"/>
    </row>
    <row r="7" spans="2:7" s="4" customFormat="1" ht="24.75" customHeight="1">
      <c r="B7" s="528" t="s">
        <v>266</v>
      </c>
      <c r="C7" s="528"/>
      <c r="D7" s="528"/>
      <c r="E7" s="528"/>
      <c r="F7" s="528"/>
      <c r="G7" s="528"/>
    </row>
    <row r="8" spans="2:5" s="4" customFormat="1" ht="15.75" customHeight="1">
      <c r="B8" s="250"/>
      <c r="C8" s="250"/>
      <c r="D8" s="510"/>
      <c r="E8" s="130"/>
    </row>
    <row r="9" spans="2:5" ht="19.5" customHeight="1">
      <c r="B9" s="86"/>
      <c r="C9" s="86"/>
      <c r="D9" s="410" t="s">
        <v>67</v>
      </c>
      <c r="E9" s="86"/>
    </row>
    <row r="10" spans="2:5" s="7" customFormat="1" ht="19.5" customHeight="1">
      <c r="B10" s="183"/>
      <c r="C10" s="183"/>
      <c r="D10" s="410" t="s">
        <v>174</v>
      </c>
      <c r="E10" s="71"/>
    </row>
    <row r="11" spans="2:5" s="7" customFormat="1" ht="19.5" customHeight="1">
      <c r="B11" s="184"/>
      <c r="C11" s="183"/>
      <c r="D11" s="410" t="s">
        <v>175</v>
      </c>
      <c r="E11" s="71"/>
    </row>
    <row r="12" spans="2:5" s="7" customFormat="1" ht="9.75" customHeight="1">
      <c r="B12" s="184"/>
      <c r="C12" s="183"/>
      <c r="D12" s="319"/>
      <c r="E12" s="71"/>
    </row>
    <row r="13" spans="2:8" s="7" customFormat="1" ht="19.5" customHeight="1">
      <c r="B13" s="183" t="s">
        <v>11</v>
      </c>
      <c r="C13" s="183" t="s">
        <v>8</v>
      </c>
      <c r="D13" s="526" t="s">
        <v>216</v>
      </c>
      <c r="E13" s="526"/>
      <c r="F13" s="526"/>
      <c r="G13" s="526"/>
      <c r="H13" s="526"/>
    </row>
    <row r="14" spans="2:6" s="7" customFormat="1" ht="19.5" customHeight="1">
      <c r="B14" s="183" t="s">
        <v>12</v>
      </c>
      <c r="C14" s="183" t="s">
        <v>8</v>
      </c>
      <c r="D14" s="526" t="s">
        <v>153</v>
      </c>
      <c r="E14" s="526"/>
      <c r="F14" s="526"/>
    </row>
    <row r="15" spans="2:6" s="7" customFormat="1" ht="19.5" customHeight="1">
      <c r="B15" s="183" t="s">
        <v>13</v>
      </c>
      <c r="C15" s="183" t="s">
        <v>8</v>
      </c>
      <c r="D15" s="529" t="s">
        <v>37</v>
      </c>
      <c r="E15" s="529"/>
      <c r="F15" s="529"/>
    </row>
    <row r="16" spans="2:6" s="7" customFormat="1" ht="19.5" customHeight="1">
      <c r="B16" s="183" t="s">
        <v>14</v>
      </c>
      <c r="C16" s="183" t="s">
        <v>8</v>
      </c>
      <c r="D16" s="529" t="s">
        <v>32</v>
      </c>
      <c r="E16" s="529"/>
      <c r="F16" s="529"/>
    </row>
    <row r="17" spans="2:6" s="7" customFormat="1" ht="19.5" customHeight="1">
      <c r="B17" s="183" t="s">
        <v>91</v>
      </c>
      <c r="C17" s="183" t="s">
        <v>8</v>
      </c>
      <c r="D17" s="529" t="s">
        <v>1</v>
      </c>
      <c r="E17" s="529"/>
      <c r="F17" s="529"/>
    </row>
    <row r="18" spans="2:6" s="7" customFormat="1" ht="19.5" customHeight="1">
      <c r="B18" s="183" t="s">
        <v>60</v>
      </c>
      <c r="C18" s="183" t="s">
        <v>8</v>
      </c>
      <c r="D18" s="529" t="s">
        <v>58</v>
      </c>
      <c r="E18" s="529"/>
      <c r="F18" s="529"/>
    </row>
    <row r="19" spans="2:6" s="7" customFormat="1" ht="19.5" customHeight="1">
      <c r="B19" s="183" t="s">
        <v>15</v>
      </c>
      <c r="C19" s="183" t="s">
        <v>8</v>
      </c>
      <c r="D19" s="529" t="s">
        <v>105</v>
      </c>
      <c r="E19" s="529"/>
      <c r="F19" s="529"/>
    </row>
    <row r="20" spans="2:6" s="7" customFormat="1" ht="19.5" customHeight="1">
      <c r="B20" s="183" t="s">
        <v>16</v>
      </c>
      <c r="C20" s="183" t="s">
        <v>8</v>
      </c>
      <c r="D20" s="529" t="s">
        <v>59</v>
      </c>
      <c r="E20" s="529"/>
      <c r="F20" s="529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012021.xls#Resumen!B5" display="CUADROS RESUMEN"/>
    <hyperlink ref="D11" location="Reporte_Deuda_Empresas_SG_31012021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012021.xls#Portada!B6" display="PORTADA"/>
    <hyperlink ref="D19" location="'Grupo Acreedor'!A1" display="POR GRUPO DEL ACREEDOR"/>
    <hyperlink ref="D14:F14" location="Reporte_Deuda_Empresas_SG_31012021.xls#'DEP-C2'!B5" display="POR TIPO DE DEUDA Y TIPO DE EMPRESA"/>
    <hyperlink ref="D16:F16" location="'DEP-C4'!B5" display="POR TIPO DE EMPRESA Y ACREEDOR"/>
    <hyperlink ref="D15:F15" location="Reporte_Deuda_Empresas_SG_31012021.xls#'DEP-C3'!B5" display="POR TIPO DE MONEDA"/>
    <hyperlink ref="D17:F17" location="Reporte_Deuda_Empresas_SG_31012021.xls#'DEP-C5'!B5" display="POR GRUPO EMPRESARIAL DEL DEUDOR"/>
    <hyperlink ref="D18:F18" location="Reporte_Deuda_Empresas_SG_31012021.xls#'DEP-C6'!B5" display="POR GRUPO EMPRESARIAL Y ENTIDAD DEUDORA"/>
    <hyperlink ref="D20:F20" location="Reporte_Deuda_Empresas_SG_31012021.xls#'DEP-C8'!B5" display="POR TIPO DE CONCERTACIÓN Y TIPO DE EMPRESA"/>
    <hyperlink ref="D19:F19" location="Reporte_Deuda_Empresas_SG_31012021.xls#'DEP-C7'!B5" display="POR TIPO DE EMPRESA Y GRUPO DEL ACREEDOR "/>
    <hyperlink ref="D13:F13" r:id="rId1" display="EVOLUCIÓN DE LA DEUDA DE LAS EMPRESAS PÚBLICAS"/>
    <hyperlink ref="D13:H13" location="Reporte_Deuda_Empresas_SG_31012021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2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19.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21" t="s">
        <v>136</v>
      </c>
      <c r="C6" s="321"/>
      <c r="D6" s="321"/>
      <c r="E6" s="321"/>
      <c r="F6" s="88"/>
    </row>
    <row r="7" spans="2:6" s="89" customFormat="1" ht="18.75">
      <c r="B7" s="321" t="s">
        <v>135</v>
      </c>
      <c r="C7" s="321"/>
      <c r="D7" s="321"/>
      <c r="E7" s="265"/>
      <c r="F7" s="88"/>
    </row>
    <row r="8" spans="2:6" s="89" customFormat="1" ht="18.75">
      <c r="B8" s="345" t="s">
        <v>58</v>
      </c>
      <c r="C8" s="365"/>
      <c r="D8" s="365"/>
      <c r="E8" s="365"/>
      <c r="F8" s="88"/>
    </row>
    <row r="9" spans="2:6" s="89" customFormat="1" ht="18.75">
      <c r="B9" s="133" t="str">
        <f>+'DEP-C2'!B9</f>
        <v>Al 31 de enero de 2021</v>
      </c>
      <c r="C9" s="366"/>
      <c r="D9" s="270"/>
      <c r="E9" s="270"/>
      <c r="F9" s="320">
        <f>+Portada!H39</f>
        <v>3.642</v>
      </c>
    </row>
    <row r="10" spans="2:5" ht="9.75" customHeight="1">
      <c r="B10" s="603"/>
      <c r="C10" s="603"/>
      <c r="D10" s="603"/>
      <c r="E10" s="603"/>
    </row>
    <row r="11" spans="2:5" ht="18" customHeight="1">
      <c r="B11" s="601" t="s">
        <v>96</v>
      </c>
      <c r="C11" s="601" t="s">
        <v>26</v>
      </c>
      <c r="D11" s="610" t="s">
        <v>87</v>
      </c>
      <c r="E11" s="611" t="s">
        <v>164</v>
      </c>
    </row>
    <row r="12" spans="2:6" s="81" customFormat="1" ht="18" customHeight="1">
      <c r="B12" s="602"/>
      <c r="C12" s="602"/>
      <c r="D12" s="596"/>
      <c r="E12" s="612"/>
      <c r="F12" s="90"/>
    </row>
    <row r="13" spans="2:6" s="81" customFormat="1" ht="9.75" customHeight="1">
      <c r="B13" s="110"/>
      <c r="C13" s="268"/>
      <c r="D13" s="94"/>
      <c r="E13" s="271"/>
      <c r="F13" s="90"/>
    </row>
    <row r="14" spans="2:6" s="65" customFormat="1" ht="16.5" customHeight="1">
      <c r="B14" s="371" t="s">
        <v>217</v>
      </c>
      <c r="C14" s="372"/>
      <c r="D14" s="479">
        <f>SUM(D15:D26)</f>
        <v>4612094.590150002</v>
      </c>
      <c r="E14" s="383">
        <f>SUM(E15:E26)</f>
        <v>16797248.49732631</v>
      </c>
      <c r="F14" s="71"/>
    </row>
    <row r="15" spans="2:6" s="65" customFormat="1" ht="16.5" customHeight="1">
      <c r="B15" s="93" t="s">
        <v>211</v>
      </c>
      <c r="C15" s="83" t="s">
        <v>92</v>
      </c>
      <c r="D15" s="480">
        <v>2432896.019410004</v>
      </c>
      <c r="E15" s="384">
        <f aca="true" t="shared" si="0" ref="E15:E26">ROUND(D15*$F$9,8)</f>
        <v>8860607.30269123</v>
      </c>
      <c r="F15" s="71"/>
    </row>
    <row r="16" spans="2:6" s="65" customFormat="1" ht="16.5" customHeight="1">
      <c r="B16" s="93" t="s">
        <v>170</v>
      </c>
      <c r="C16" s="83" t="s">
        <v>92</v>
      </c>
      <c r="D16" s="480">
        <v>1550907.3159399997</v>
      </c>
      <c r="E16" s="384">
        <f t="shared" si="0"/>
        <v>5648404.44465348</v>
      </c>
      <c r="F16" s="71"/>
    </row>
    <row r="17" spans="2:6" s="65" customFormat="1" ht="16.5" customHeight="1">
      <c r="B17" s="93" t="s">
        <v>209</v>
      </c>
      <c r="C17" s="83" t="s">
        <v>93</v>
      </c>
      <c r="D17" s="480">
        <v>518572.83118</v>
      </c>
      <c r="E17" s="384">
        <f t="shared" si="0"/>
        <v>1888642.25115756</v>
      </c>
      <c r="F17" s="71"/>
    </row>
    <row r="18" spans="2:6" s="65" customFormat="1" ht="16.5" customHeight="1">
      <c r="B18" s="93" t="s">
        <v>195</v>
      </c>
      <c r="C18" s="83" t="s">
        <v>93</v>
      </c>
      <c r="D18" s="480">
        <v>23421.40219</v>
      </c>
      <c r="E18" s="384">
        <f t="shared" si="0"/>
        <v>85300.74677598</v>
      </c>
      <c r="F18" s="71"/>
    </row>
    <row r="19" spans="2:6" s="65" customFormat="1" ht="16.5" customHeight="1">
      <c r="B19" s="93" t="s">
        <v>124</v>
      </c>
      <c r="C19" s="83" t="s">
        <v>92</v>
      </c>
      <c r="D19" s="480">
        <v>22593.551440000003</v>
      </c>
      <c r="E19" s="384">
        <f t="shared" si="0"/>
        <v>82285.71434448</v>
      </c>
      <c r="F19" s="71"/>
    </row>
    <row r="20" spans="2:6" s="65" customFormat="1" ht="16.5" customHeight="1">
      <c r="B20" s="93" t="s">
        <v>169</v>
      </c>
      <c r="C20" s="83" t="s">
        <v>93</v>
      </c>
      <c r="D20" s="480">
        <v>21643.03826</v>
      </c>
      <c r="E20" s="384">
        <f t="shared" si="0"/>
        <v>78823.94534292</v>
      </c>
      <c r="F20" s="71"/>
    </row>
    <row r="21" spans="2:6" s="65" customFormat="1" ht="16.5" customHeight="1">
      <c r="B21" s="93" t="s">
        <v>168</v>
      </c>
      <c r="C21" s="83" t="s">
        <v>93</v>
      </c>
      <c r="D21" s="480">
        <v>16183.45362</v>
      </c>
      <c r="E21" s="384">
        <f t="shared" si="0"/>
        <v>58940.13808404</v>
      </c>
      <c r="F21" s="71"/>
    </row>
    <row r="22" spans="2:6" s="65" customFormat="1" ht="16.5" customHeight="1">
      <c r="B22" s="93" t="s">
        <v>194</v>
      </c>
      <c r="C22" s="83" t="s">
        <v>93</v>
      </c>
      <c r="D22" s="480">
        <v>9871.21125</v>
      </c>
      <c r="E22" s="384">
        <f t="shared" si="0"/>
        <v>35950.9513725</v>
      </c>
      <c r="F22" s="71"/>
    </row>
    <row r="23" spans="2:6" s="65" customFormat="1" ht="16.5" customHeight="1">
      <c r="B23" s="93" t="s">
        <v>193</v>
      </c>
      <c r="C23" s="83" t="s">
        <v>93</v>
      </c>
      <c r="D23" s="480">
        <v>8223.9085</v>
      </c>
      <c r="E23" s="384">
        <f t="shared" si="0"/>
        <v>29951.474757</v>
      </c>
      <c r="F23" s="71"/>
    </row>
    <row r="24" spans="2:6" s="65" customFormat="1" ht="16.5" customHeight="1">
      <c r="B24" s="66" t="s">
        <v>196</v>
      </c>
      <c r="C24" s="83" t="s">
        <v>93</v>
      </c>
      <c r="D24" s="480">
        <v>4888.1638</v>
      </c>
      <c r="E24" s="384">
        <f t="shared" si="0"/>
        <v>17802.6925596</v>
      </c>
      <c r="F24" s="71"/>
    </row>
    <row r="25" spans="2:6" s="65" customFormat="1" ht="16.5" customHeight="1">
      <c r="B25" s="66" t="s">
        <v>158</v>
      </c>
      <c r="C25" s="83" t="s">
        <v>93</v>
      </c>
      <c r="D25" s="480">
        <v>2029.56595</v>
      </c>
      <c r="E25" s="384">
        <f t="shared" si="0"/>
        <v>7391.6791899</v>
      </c>
      <c r="F25" s="71"/>
    </row>
    <row r="26" spans="2:6" s="65" customFormat="1" ht="16.5" customHeight="1">
      <c r="B26" s="93" t="s">
        <v>238</v>
      </c>
      <c r="C26" s="83" t="s">
        <v>93</v>
      </c>
      <c r="D26" s="480">
        <v>864.12861</v>
      </c>
      <c r="E26" s="384">
        <f t="shared" si="0"/>
        <v>3147.15639762</v>
      </c>
      <c r="F26" s="71"/>
    </row>
    <row r="27" spans="2:6" s="65" customFormat="1" ht="12" customHeight="1">
      <c r="B27" s="93"/>
      <c r="C27" s="83"/>
      <c r="D27" s="480"/>
      <c r="E27" s="384"/>
      <c r="F27" s="71"/>
    </row>
    <row r="28" spans="2:7" s="65" customFormat="1" ht="16.5" customHeight="1">
      <c r="B28" s="371" t="s">
        <v>115</v>
      </c>
      <c r="C28" s="372"/>
      <c r="D28" s="479">
        <f>SUM(D29:D42)</f>
        <v>68618.24226999999</v>
      </c>
      <c r="E28" s="383">
        <f>SUM(E29:E42)</f>
        <v>249907.63834733996</v>
      </c>
      <c r="F28" s="91"/>
      <c r="G28" s="91"/>
    </row>
    <row r="29" spans="2:9" s="92" customFormat="1" ht="16.5" customHeight="1">
      <c r="B29" s="93" t="s">
        <v>199</v>
      </c>
      <c r="C29" s="83" t="s">
        <v>93</v>
      </c>
      <c r="D29" s="480">
        <v>37598.992510000004</v>
      </c>
      <c r="E29" s="384">
        <f aca="true" t="shared" si="1" ref="E29:E42">ROUND(D29*$F$9,8)</f>
        <v>136935.53072142</v>
      </c>
      <c r="F29" s="91"/>
      <c r="G29" s="91"/>
      <c r="H29" s="65"/>
      <c r="I29" s="65"/>
    </row>
    <row r="30" spans="2:9" s="92" customFormat="1" ht="16.5" customHeight="1">
      <c r="B30" s="93" t="s">
        <v>208</v>
      </c>
      <c r="C30" s="83" t="s">
        <v>93</v>
      </c>
      <c r="D30" s="480">
        <v>5290.979520000001</v>
      </c>
      <c r="E30" s="384">
        <f t="shared" si="1"/>
        <v>19269.74741184</v>
      </c>
      <c r="F30" s="91"/>
      <c r="G30" s="91"/>
      <c r="H30" s="65"/>
      <c r="I30" s="65"/>
    </row>
    <row r="31" spans="2:9" s="92" customFormat="1" ht="16.5" customHeight="1">
      <c r="B31" s="66" t="s">
        <v>206</v>
      </c>
      <c r="C31" s="83" t="s">
        <v>93</v>
      </c>
      <c r="D31" s="480">
        <v>4541.51125</v>
      </c>
      <c r="E31" s="384">
        <f t="shared" si="1"/>
        <v>16540.1839725</v>
      </c>
      <c r="F31" s="91"/>
      <c r="G31" s="91"/>
      <c r="H31" s="65"/>
      <c r="I31" s="65"/>
    </row>
    <row r="32" spans="2:9" s="92" customFormat="1" ht="16.5" customHeight="1">
      <c r="B32" s="93" t="s">
        <v>197</v>
      </c>
      <c r="C32" s="83" t="s">
        <v>93</v>
      </c>
      <c r="D32" s="480">
        <v>4968.204299999999</v>
      </c>
      <c r="E32" s="384">
        <f t="shared" si="1"/>
        <v>18094.2000606</v>
      </c>
      <c r="F32" s="91"/>
      <c r="G32" s="91"/>
      <c r="H32" s="65"/>
      <c r="I32" s="65"/>
    </row>
    <row r="33" spans="2:9" s="92" customFormat="1" ht="16.5" customHeight="1">
      <c r="B33" s="66" t="s">
        <v>69</v>
      </c>
      <c r="C33" s="83" t="s">
        <v>93</v>
      </c>
      <c r="D33" s="480">
        <v>3798.27757</v>
      </c>
      <c r="E33" s="384">
        <f t="shared" si="1"/>
        <v>13833.32690994</v>
      </c>
      <c r="F33" s="91"/>
      <c r="G33" s="91"/>
      <c r="H33" s="65"/>
      <c r="I33" s="65"/>
    </row>
    <row r="34" spans="2:9" s="92" customFormat="1" ht="16.5" customHeight="1">
      <c r="B34" s="93" t="s">
        <v>198</v>
      </c>
      <c r="C34" s="83" t="s">
        <v>93</v>
      </c>
      <c r="D34" s="480">
        <v>3221.931</v>
      </c>
      <c r="E34" s="384">
        <f t="shared" si="1"/>
        <v>11734.272702</v>
      </c>
      <c r="F34" s="91"/>
      <c r="G34" s="91"/>
      <c r="H34" s="65"/>
      <c r="I34" s="65"/>
    </row>
    <row r="35" spans="2:9" s="92" customFormat="1" ht="16.5" customHeight="1">
      <c r="B35" s="66" t="s">
        <v>44</v>
      </c>
      <c r="C35" s="83" t="s">
        <v>93</v>
      </c>
      <c r="D35" s="480">
        <v>2530.17985</v>
      </c>
      <c r="E35" s="384">
        <f t="shared" si="1"/>
        <v>9214.9150137</v>
      </c>
      <c r="F35" s="91"/>
      <c r="G35" s="91"/>
      <c r="H35" s="65"/>
      <c r="I35" s="65"/>
    </row>
    <row r="36" spans="2:9" s="92" customFormat="1" ht="16.5" customHeight="1">
      <c r="B36" s="66" t="s">
        <v>49</v>
      </c>
      <c r="C36" s="83" t="s">
        <v>93</v>
      </c>
      <c r="D36" s="480">
        <v>2062.63501</v>
      </c>
      <c r="E36" s="384">
        <f t="shared" si="1"/>
        <v>7512.11670642</v>
      </c>
      <c r="F36" s="91"/>
      <c r="G36" s="91"/>
      <c r="H36" s="65"/>
      <c r="I36" s="65"/>
    </row>
    <row r="37" spans="2:9" s="92" customFormat="1" ht="16.5" customHeight="1">
      <c r="B37" s="66" t="s">
        <v>42</v>
      </c>
      <c r="C37" s="83" t="s">
        <v>93</v>
      </c>
      <c r="D37" s="480">
        <v>1535.3359000000003</v>
      </c>
      <c r="E37" s="384">
        <f t="shared" si="1"/>
        <v>5591.6933478</v>
      </c>
      <c r="F37" s="91"/>
      <c r="G37" s="91"/>
      <c r="H37" s="65"/>
      <c r="I37" s="65"/>
    </row>
    <row r="38" spans="2:9" s="92" customFormat="1" ht="16.5" customHeight="1">
      <c r="B38" s="66" t="s">
        <v>51</v>
      </c>
      <c r="C38" s="83" t="s">
        <v>93</v>
      </c>
      <c r="D38" s="480">
        <v>1510.9363999999998</v>
      </c>
      <c r="E38" s="384">
        <f t="shared" si="1"/>
        <v>5502.8303688</v>
      </c>
      <c r="F38" s="91"/>
      <c r="G38" s="91"/>
      <c r="H38" s="65"/>
      <c r="I38" s="65"/>
    </row>
    <row r="39" spans="2:9" s="92" customFormat="1" ht="16.5" customHeight="1">
      <c r="B39" s="66" t="s">
        <v>233</v>
      </c>
      <c r="C39" s="83" t="s">
        <v>93</v>
      </c>
      <c r="D39" s="480">
        <v>640.7666700000001</v>
      </c>
      <c r="E39" s="384">
        <f>ROUND(D39*$F$9,8)</f>
        <v>2333.67221214</v>
      </c>
      <c r="F39" s="91"/>
      <c r="G39" s="91"/>
      <c r="H39" s="65"/>
      <c r="I39" s="65"/>
    </row>
    <row r="40" spans="2:9" s="92" customFormat="1" ht="16.5" customHeight="1">
      <c r="B40" s="66" t="s">
        <v>207</v>
      </c>
      <c r="C40" s="83" t="s">
        <v>93</v>
      </c>
      <c r="D40" s="480">
        <v>568.00394</v>
      </c>
      <c r="E40" s="384">
        <f t="shared" si="1"/>
        <v>2068.67034948</v>
      </c>
      <c r="F40" s="91"/>
      <c r="G40" s="91"/>
      <c r="H40" s="65"/>
      <c r="I40" s="65"/>
    </row>
    <row r="41" spans="2:9" s="92" customFormat="1" ht="16.5" customHeight="1">
      <c r="B41" s="66" t="s">
        <v>229</v>
      </c>
      <c r="C41" s="83" t="s">
        <v>93</v>
      </c>
      <c r="D41" s="480">
        <v>313.43331</v>
      </c>
      <c r="E41" s="384">
        <f t="shared" si="1"/>
        <v>1141.52411502</v>
      </c>
      <c r="F41" s="91"/>
      <c r="G41" s="91"/>
      <c r="H41" s="65"/>
      <c r="I41" s="65"/>
    </row>
    <row r="42" spans="2:9" s="92" customFormat="1" ht="16.5" customHeight="1">
      <c r="B42" s="66" t="s">
        <v>43</v>
      </c>
      <c r="C42" s="83" t="s">
        <v>93</v>
      </c>
      <c r="D42" s="480">
        <v>37.05504</v>
      </c>
      <c r="E42" s="384">
        <f t="shared" si="1"/>
        <v>134.95445568</v>
      </c>
      <c r="F42" s="91"/>
      <c r="G42" s="91"/>
      <c r="H42" s="65"/>
      <c r="I42" s="65"/>
    </row>
    <row r="43" spans="2:7" s="65" customFormat="1" ht="12" customHeight="1">
      <c r="B43" s="93"/>
      <c r="C43" s="83"/>
      <c r="D43" s="480"/>
      <c r="E43" s="384"/>
      <c r="F43" s="91"/>
      <c r="G43" s="91"/>
    </row>
    <row r="44" spans="2:9" s="92" customFormat="1" ht="16.5" customHeight="1">
      <c r="B44" s="371" t="s">
        <v>86</v>
      </c>
      <c r="C44" s="372"/>
      <c r="D44" s="479">
        <f>+D45</f>
        <v>3276827.9627199997</v>
      </c>
      <c r="E44" s="482">
        <f>+E45</f>
        <v>11934207.4402262</v>
      </c>
      <c r="F44" s="91"/>
      <c r="G44" s="91"/>
      <c r="H44" s="65"/>
      <c r="I44" s="65"/>
    </row>
    <row r="45" spans="2:9" s="92" customFormat="1" ht="16.5" customHeight="1">
      <c r="B45" s="93" t="s">
        <v>201</v>
      </c>
      <c r="C45" s="83" t="s">
        <v>93</v>
      </c>
      <c r="D45" s="480">
        <v>3276827.9627199997</v>
      </c>
      <c r="E45" s="384">
        <f>ROUND(D45*$F$9,8)</f>
        <v>11934207.4402262</v>
      </c>
      <c r="F45" s="91"/>
      <c r="G45" s="91"/>
      <c r="H45" s="65"/>
      <c r="I45" s="65"/>
    </row>
    <row r="46" spans="2:7" s="65" customFormat="1" ht="9.75" customHeight="1">
      <c r="B46" s="84"/>
      <c r="C46" s="85"/>
      <c r="D46" s="481"/>
      <c r="E46" s="478"/>
      <c r="F46" s="91"/>
      <c r="G46" s="448"/>
    </row>
    <row r="47" spans="2:9" s="81" customFormat="1" ht="15" customHeight="1">
      <c r="B47" s="598" t="s">
        <v>61</v>
      </c>
      <c r="C47" s="613"/>
      <c r="D47" s="615">
        <f>+D28+D14+D44</f>
        <v>7957540.795140002</v>
      </c>
      <c r="E47" s="593">
        <f>+E28+E14+E44</f>
        <v>28981363.575899847</v>
      </c>
      <c r="F47" s="91"/>
      <c r="G47" s="448"/>
      <c r="H47" s="65"/>
      <c r="I47" s="65"/>
    </row>
    <row r="48" spans="2:9" s="81" customFormat="1" ht="15" customHeight="1">
      <c r="B48" s="599"/>
      <c r="C48" s="614"/>
      <c r="D48" s="616"/>
      <c r="E48" s="594"/>
      <c r="F48" s="91"/>
      <c r="G48" s="448"/>
      <c r="H48" s="65"/>
      <c r="I48" s="65"/>
    </row>
    <row r="49" spans="2:9" ht="15">
      <c r="B49" s="141"/>
      <c r="C49" s="141"/>
      <c r="D49" s="525"/>
      <c r="E49" s="141"/>
      <c r="F49" s="91"/>
      <c r="G49" s="448"/>
      <c r="H49" s="65"/>
      <c r="I49" s="65"/>
    </row>
    <row r="50" spans="2:9" ht="15">
      <c r="B50" s="141"/>
      <c r="C50" s="141"/>
      <c r="D50" s="459"/>
      <c r="E50" s="425"/>
      <c r="F50" s="91"/>
      <c r="G50" s="448"/>
      <c r="H50" s="65"/>
      <c r="I50" s="65"/>
    </row>
    <row r="51" spans="2:9" ht="15">
      <c r="B51" s="141"/>
      <c r="C51" s="141"/>
      <c r="D51" s="426"/>
      <c r="E51" s="427"/>
      <c r="F51" s="91"/>
      <c r="G51" s="448"/>
      <c r="H51" s="65"/>
      <c r="I51" s="65"/>
    </row>
    <row r="52" spans="2:9" ht="15">
      <c r="B52" s="141"/>
      <c r="C52" s="427"/>
      <c r="D52" s="426"/>
      <c r="E52" s="427"/>
      <c r="F52" s="91"/>
      <c r="G52" s="448"/>
      <c r="H52" s="65"/>
      <c r="I52" s="65"/>
    </row>
    <row r="53" spans="2:9" ht="15">
      <c r="B53" s="141"/>
      <c r="C53" s="141"/>
      <c r="D53" s="428"/>
      <c r="E53" s="428"/>
      <c r="F53" s="91"/>
      <c r="G53" s="65"/>
      <c r="H53" s="65"/>
      <c r="I53" s="65"/>
    </row>
    <row r="54" spans="2:7" ht="18">
      <c r="B54" s="367" t="s">
        <v>120</v>
      </c>
      <c r="C54" s="367"/>
      <c r="D54" s="367"/>
      <c r="E54" s="367"/>
      <c r="F54" s="424"/>
      <c r="G54" s="448"/>
    </row>
    <row r="55" spans="2:7" s="89" customFormat="1" ht="18.75">
      <c r="B55" s="368" t="s">
        <v>136</v>
      </c>
      <c r="C55" s="368"/>
      <c r="D55" s="368"/>
      <c r="E55" s="368"/>
      <c r="F55" s="424"/>
      <c r="G55" s="448"/>
    </row>
    <row r="56" spans="2:7" s="89" customFormat="1" ht="18.75">
      <c r="B56" s="368" t="s">
        <v>137</v>
      </c>
      <c r="C56" s="368"/>
      <c r="D56" s="368"/>
      <c r="E56" s="259"/>
      <c r="F56" s="424"/>
      <c r="G56" s="65"/>
    </row>
    <row r="57" spans="2:7" s="89" customFormat="1" ht="18.75">
      <c r="B57" s="370" t="s">
        <v>58</v>
      </c>
      <c r="C57" s="369"/>
      <c r="D57" s="369"/>
      <c r="E57" s="369"/>
      <c r="F57" s="424"/>
      <c r="G57" s="65"/>
    </row>
    <row r="58" spans="2:7" s="89" customFormat="1" ht="18.75">
      <c r="B58" s="133" t="str">
        <f>+B9</f>
        <v>Al 31 de enero de 2021</v>
      </c>
      <c r="C58" s="366"/>
      <c r="D58" s="258"/>
      <c r="E58" s="258"/>
      <c r="F58" s="424"/>
      <c r="G58" s="65"/>
    </row>
    <row r="59" spans="2:7" ht="6" customHeight="1">
      <c r="B59" s="617"/>
      <c r="C59" s="617"/>
      <c r="D59" s="617"/>
      <c r="E59" s="617"/>
      <c r="F59" s="424"/>
      <c r="G59" s="65"/>
    </row>
    <row r="60" spans="2:5" ht="18" customHeight="1">
      <c r="B60" s="601" t="s">
        <v>96</v>
      </c>
      <c r="C60" s="601" t="s">
        <v>26</v>
      </c>
      <c r="D60" s="610" t="s">
        <v>87</v>
      </c>
      <c r="E60" s="611" t="s">
        <v>164</v>
      </c>
    </row>
    <row r="61" spans="2:6" s="81" customFormat="1" ht="18" customHeight="1">
      <c r="B61" s="602"/>
      <c r="C61" s="602"/>
      <c r="D61" s="596"/>
      <c r="E61" s="612"/>
      <c r="F61" s="90"/>
    </row>
    <row r="62" spans="2:6" s="81" customFormat="1" ht="9.75" customHeight="1">
      <c r="B62" s="110"/>
      <c r="C62" s="257"/>
      <c r="D62" s="94"/>
      <c r="E62" s="261"/>
      <c r="F62" s="90"/>
    </row>
    <row r="63" spans="2:7" s="65" customFormat="1" ht="16.5" customHeight="1">
      <c r="B63" s="371" t="s">
        <v>85</v>
      </c>
      <c r="C63" s="372"/>
      <c r="D63" s="479">
        <f>SUM(D64:D71)</f>
        <v>286620.43424000003</v>
      </c>
      <c r="E63" s="383">
        <f>SUM(E64:E71)</f>
        <v>1043871.62150208</v>
      </c>
      <c r="F63" s="71"/>
      <c r="G63" s="71"/>
    </row>
    <row r="64" spans="2:7" s="65" customFormat="1" ht="16.5" customHeight="1">
      <c r="B64" s="93" t="s">
        <v>171</v>
      </c>
      <c r="C64" s="83" t="s">
        <v>93</v>
      </c>
      <c r="D64" s="480">
        <v>72639.83771</v>
      </c>
      <c r="E64" s="384">
        <f aca="true" t="shared" si="2" ref="E64:E71">ROUND(D64*$F$9,8)</f>
        <v>264554.28893982</v>
      </c>
      <c r="F64" s="71"/>
      <c r="G64" s="71"/>
    </row>
    <row r="65" spans="2:7" s="65" customFormat="1" ht="16.5" customHeight="1">
      <c r="B65" s="93" t="s">
        <v>195</v>
      </c>
      <c r="C65" s="83" t="s">
        <v>93</v>
      </c>
      <c r="D65" s="480">
        <v>67211.68833000002</v>
      </c>
      <c r="E65" s="384">
        <f t="shared" si="2"/>
        <v>244784.96889786</v>
      </c>
      <c r="F65" s="71"/>
      <c r="G65" s="71"/>
    </row>
    <row r="66" spans="2:7" s="65" customFormat="1" ht="16.5" customHeight="1">
      <c r="B66" s="93" t="s">
        <v>218</v>
      </c>
      <c r="C66" s="83" t="s">
        <v>93</v>
      </c>
      <c r="D66" s="480">
        <v>58667.398799999995</v>
      </c>
      <c r="E66" s="384">
        <f t="shared" si="2"/>
        <v>213666.6664296</v>
      </c>
      <c r="F66" s="71"/>
      <c r="G66" s="71"/>
    </row>
    <row r="67" spans="2:7" s="65" customFormat="1" ht="16.5" customHeight="1">
      <c r="B67" s="93" t="s">
        <v>168</v>
      </c>
      <c r="C67" s="83" t="s">
        <v>93</v>
      </c>
      <c r="D67" s="480">
        <v>32537.06755</v>
      </c>
      <c r="E67" s="384">
        <f t="shared" si="2"/>
        <v>118500.0000171</v>
      </c>
      <c r="F67" s="71"/>
      <c r="G67" s="71"/>
    </row>
    <row r="68" spans="2:7" s="65" customFormat="1" ht="16.5" customHeight="1">
      <c r="B68" s="93" t="s">
        <v>193</v>
      </c>
      <c r="C68" s="83" t="s">
        <v>93</v>
      </c>
      <c r="D68" s="480">
        <v>20716.373030000002</v>
      </c>
      <c r="E68" s="384">
        <f t="shared" si="2"/>
        <v>75449.03057526</v>
      </c>
      <c r="F68" s="71"/>
      <c r="G68" s="71"/>
    </row>
    <row r="69" spans="2:7" s="65" customFormat="1" ht="16.5" customHeight="1">
      <c r="B69" s="93" t="s">
        <v>231</v>
      </c>
      <c r="C69" s="83" t="s">
        <v>93</v>
      </c>
      <c r="D69" s="480">
        <v>19403.258280000002</v>
      </c>
      <c r="E69" s="384">
        <f t="shared" si="2"/>
        <v>70666.66665576</v>
      </c>
      <c r="F69" s="71"/>
      <c r="G69" s="71"/>
    </row>
    <row r="70" spans="2:7" s="65" customFormat="1" ht="16.5" customHeight="1">
      <c r="B70" s="93" t="s">
        <v>242</v>
      </c>
      <c r="C70" s="83" t="s">
        <v>93</v>
      </c>
      <c r="D70" s="480">
        <v>10571.11477</v>
      </c>
      <c r="E70" s="384">
        <f t="shared" si="2"/>
        <v>38499.99999234</v>
      </c>
      <c r="F70" s="71"/>
      <c r="G70" s="71"/>
    </row>
    <row r="71" spans="2:7" s="65" customFormat="1" ht="16.5" customHeight="1">
      <c r="B71" s="93" t="s">
        <v>243</v>
      </c>
      <c r="C71" s="83" t="s">
        <v>93</v>
      </c>
      <c r="D71" s="480">
        <v>4873.69577</v>
      </c>
      <c r="E71" s="384">
        <f t="shared" si="2"/>
        <v>17749.99999434</v>
      </c>
      <c r="F71" s="71"/>
      <c r="G71" s="71"/>
    </row>
    <row r="72" spans="2:7" s="65" customFormat="1" ht="12" customHeight="1">
      <c r="B72" s="70"/>
      <c r="C72" s="72"/>
      <c r="D72" s="483"/>
      <c r="E72" s="391"/>
      <c r="F72" s="71"/>
      <c r="G72" s="71"/>
    </row>
    <row r="73" spans="2:7" s="92" customFormat="1" ht="16.5" customHeight="1">
      <c r="B73" s="371" t="s">
        <v>159</v>
      </c>
      <c r="C73" s="72"/>
      <c r="D73" s="479">
        <f>+D74</f>
        <v>957905.61373</v>
      </c>
      <c r="E73" s="383">
        <f>+E74</f>
        <v>3488692.24520466</v>
      </c>
      <c r="F73" s="71"/>
      <c r="G73" s="448"/>
    </row>
    <row r="74" spans="2:7" s="92" customFormat="1" ht="16.5" customHeight="1">
      <c r="B74" s="93" t="s">
        <v>201</v>
      </c>
      <c r="C74" s="83" t="s">
        <v>93</v>
      </c>
      <c r="D74" s="480">
        <v>957905.61373</v>
      </c>
      <c r="E74" s="384">
        <f>ROUND(D74*$F$9,8)</f>
        <v>3488692.24520466</v>
      </c>
      <c r="F74" s="71"/>
      <c r="G74" s="448"/>
    </row>
    <row r="75" spans="2:7" s="65" customFormat="1" ht="9.75" customHeight="1">
      <c r="B75" s="84"/>
      <c r="C75" s="85"/>
      <c r="D75" s="481"/>
      <c r="E75" s="478"/>
      <c r="F75" s="71"/>
      <c r="G75" s="448"/>
    </row>
    <row r="76" spans="2:7" s="81" customFormat="1" ht="15" customHeight="1">
      <c r="B76" s="598" t="s">
        <v>61</v>
      </c>
      <c r="C76" s="613"/>
      <c r="D76" s="615">
        <f>+D63+D73</f>
        <v>1244526.04797</v>
      </c>
      <c r="E76" s="593">
        <f>+E63+E73</f>
        <v>4532563.86670674</v>
      </c>
      <c r="F76" s="71"/>
      <c r="G76" s="448"/>
    </row>
    <row r="77" spans="2:6" s="81" customFormat="1" ht="15" customHeight="1">
      <c r="B77" s="599"/>
      <c r="C77" s="614"/>
      <c r="D77" s="616"/>
      <c r="E77" s="594"/>
      <c r="F77" s="90"/>
    </row>
    <row r="78" ht="12.75">
      <c r="D78" s="193"/>
    </row>
    <row r="79" spans="2:5" ht="15">
      <c r="B79" s="134"/>
      <c r="D79" s="373"/>
      <c r="E79" s="295"/>
    </row>
    <row r="80" spans="2:5" ht="15">
      <c r="B80" s="134"/>
      <c r="D80" s="373"/>
      <c r="E80" s="295"/>
    </row>
    <row r="81" spans="4:5" ht="12.75">
      <c r="D81" s="296"/>
      <c r="E81" s="296"/>
    </row>
    <row r="82" spans="4:5" ht="12.75">
      <c r="D82" s="245"/>
      <c r="E82" s="245"/>
    </row>
  </sheetData>
  <sheetProtection/>
  <mergeCells count="18">
    <mergeCell ref="B10:E10"/>
    <mergeCell ref="B11:B12"/>
    <mergeCell ref="C11:C12"/>
    <mergeCell ref="E11:E12"/>
    <mergeCell ref="D11:D12"/>
    <mergeCell ref="E76:E77"/>
    <mergeCell ref="B76:B77"/>
    <mergeCell ref="C76:C77"/>
    <mergeCell ref="D76:D77"/>
    <mergeCell ref="B59:E59"/>
    <mergeCell ref="B60:B61"/>
    <mergeCell ref="C60:C61"/>
    <mergeCell ref="D60:D61"/>
    <mergeCell ref="E60:E61"/>
    <mergeCell ref="B47:B48"/>
    <mergeCell ref="C47:C48"/>
    <mergeCell ref="D47:D48"/>
    <mergeCell ref="E47:E48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3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24"/>
      <c r="C1" s="624"/>
      <c r="D1" s="624"/>
      <c r="E1" s="624"/>
    </row>
    <row r="2" spans="2:5" s="136" customFormat="1" ht="18.75" customHeight="1">
      <c r="B2" s="624"/>
      <c r="C2" s="624"/>
      <c r="D2" s="624"/>
      <c r="E2" s="624"/>
    </row>
    <row r="3" spans="2:5" s="136" customFormat="1" ht="11.25" customHeight="1">
      <c r="B3" s="624"/>
      <c r="C3" s="624"/>
      <c r="D3" s="624"/>
      <c r="E3" s="624"/>
    </row>
    <row r="4" spans="2:11" s="136" customFormat="1" ht="15" customHeight="1">
      <c r="B4" s="624"/>
      <c r="C4" s="624"/>
      <c r="D4" s="624"/>
      <c r="E4" s="624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21" t="s">
        <v>136</v>
      </c>
      <c r="C6" s="321"/>
      <c r="D6" s="321"/>
      <c r="E6" s="321"/>
      <c r="F6" s="135"/>
      <c r="G6" s="132"/>
      <c r="H6" s="132"/>
      <c r="I6" s="132"/>
      <c r="J6" s="132"/>
      <c r="K6" s="132"/>
    </row>
    <row r="7" spans="2:11" ht="18">
      <c r="B7" s="321" t="s">
        <v>135</v>
      </c>
      <c r="C7" s="321"/>
      <c r="D7" s="321"/>
      <c r="E7" s="321"/>
      <c r="F7" s="135"/>
      <c r="G7" s="132"/>
      <c r="H7" s="132"/>
      <c r="I7" s="132"/>
      <c r="J7" s="132"/>
      <c r="K7" s="132"/>
    </row>
    <row r="8" spans="2:11" ht="16.5">
      <c r="B8" s="345" t="s">
        <v>105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enero de 2021</v>
      </c>
      <c r="C9" s="133"/>
      <c r="D9" s="133"/>
      <c r="E9" s="267"/>
      <c r="F9" s="374">
        <f>+Portada!H39</f>
        <v>3.642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7" t="s">
        <v>212</v>
      </c>
      <c r="C11" s="618" t="s">
        <v>101</v>
      </c>
      <c r="D11" s="620" t="s">
        <v>87</v>
      </c>
      <c r="E11" s="585" t="s">
        <v>164</v>
      </c>
      <c r="G11" s="132"/>
      <c r="H11" s="132"/>
      <c r="I11" s="132"/>
      <c r="J11" s="132"/>
      <c r="K11" s="132"/>
    </row>
    <row r="12" spans="2:11" s="81" customFormat="1" ht="16.5" customHeight="1">
      <c r="B12" s="396" t="s">
        <v>213</v>
      </c>
      <c r="C12" s="619"/>
      <c r="D12" s="621"/>
      <c r="E12" s="586"/>
      <c r="G12" s="166"/>
      <c r="H12" s="166"/>
      <c r="I12" s="166"/>
      <c r="J12" s="166"/>
      <c r="K12" s="166"/>
    </row>
    <row r="13" spans="2:11" s="81" customFormat="1" ht="9.75" customHeight="1">
      <c r="B13" s="266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4" t="s">
        <v>89</v>
      </c>
      <c r="C14" s="364"/>
      <c r="D14" s="383">
        <f>+D15+D18+D20+D22+D25</f>
        <v>3951143.90835</v>
      </c>
      <c r="E14" s="383">
        <f>+E15+E18+E20+E22+E25</f>
        <v>14390066.11422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7">
        <f>SUM(D16:D17)</f>
        <v>1279573.7068200002</v>
      </c>
      <c r="E15" s="477">
        <f>SUM(E16:E17)</f>
        <v>4660207.440239999</v>
      </c>
      <c r="G15" s="165"/>
      <c r="H15" s="165"/>
      <c r="I15" s="165"/>
      <c r="J15" s="165"/>
      <c r="K15" s="165"/>
    </row>
    <row r="16" spans="2:11" s="65" customFormat="1" ht="16.5" customHeight="1">
      <c r="B16" s="390" t="s">
        <v>232</v>
      </c>
      <c r="C16" s="74" t="s">
        <v>103</v>
      </c>
      <c r="D16" s="386">
        <v>1276827.9627200002</v>
      </c>
      <c r="E16" s="386">
        <f>ROUND(+D16*$F$9,5)</f>
        <v>4650207.44023</v>
      </c>
      <c r="G16" s="165"/>
      <c r="H16" s="165"/>
      <c r="I16" s="165"/>
      <c r="J16" s="165"/>
      <c r="K16" s="165"/>
    </row>
    <row r="17" spans="2:11" s="65" customFormat="1" ht="16.5" customHeight="1">
      <c r="B17" s="390" t="s">
        <v>188</v>
      </c>
      <c r="C17" s="74" t="s">
        <v>102</v>
      </c>
      <c r="D17" s="386">
        <v>2745.7441</v>
      </c>
      <c r="E17" s="386">
        <f>ROUND(+D17*$F$9,5)</f>
        <v>10000.00001</v>
      </c>
      <c r="G17" s="165"/>
      <c r="H17" s="165"/>
      <c r="I17" s="165"/>
      <c r="J17" s="165"/>
      <c r="K17" s="165"/>
    </row>
    <row r="18" spans="2:11" s="65" customFormat="1" ht="16.5" customHeight="1">
      <c r="B18" s="73" t="s">
        <v>125</v>
      </c>
      <c r="C18" s="74"/>
      <c r="D18" s="477">
        <f>+D19</f>
        <v>1799.8696599999998</v>
      </c>
      <c r="E18" s="477">
        <f>+E19</f>
        <v>6555.1253</v>
      </c>
      <c r="G18" s="165"/>
      <c r="H18" s="165"/>
      <c r="I18" s="165"/>
      <c r="J18" s="165"/>
      <c r="K18" s="165"/>
    </row>
    <row r="19" spans="2:11" s="65" customFormat="1" ht="16.5" customHeight="1">
      <c r="B19" s="390" t="s">
        <v>185</v>
      </c>
      <c r="C19" s="74" t="s">
        <v>102</v>
      </c>
      <c r="D19" s="386">
        <v>1799.8696599999998</v>
      </c>
      <c r="E19" s="386">
        <f aca="true" t="shared" si="0" ref="E19:E24">ROUND(+D19*$F$9,5)</f>
        <v>6555.1253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75</v>
      </c>
      <c r="C20" s="74"/>
      <c r="D20" s="477">
        <f>+D21</f>
        <v>2000000</v>
      </c>
      <c r="E20" s="477">
        <f>+E21</f>
        <v>7284000</v>
      </c>
      <c r="G20" s="165"/>
      <c r="H20" s="165"/>
      <c r="I20" s="165"/>
      <c r="J20" s="165"/>
      <c r="K20" s="165"/>
    </row>
    <row r="21" spans="2:11" s="65" customFormat="1" ht="16.5" customHeight="1">
      <c r="B21" s="395" t="s">
        <v>225</v>
      </c>
      <c r="C21" s="74" t="s">
        <v>103</v>
      </c>
      <c r="D21" s="386">
        <v>2000000</v>
      </c>
      <c r="E21" s="386">
        <f>ROUND(+D21*$F$9,5)</f>
        <v>7284000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88</v>
      </c>
      <c r="C22" s="73"/>
      <c r="D22" s="477">
        <f>SUM(D23:D24)</f>
        <v>587383.7147</v>
      </c>
      <c r="E22" s="477">
        <f>SUM(E23:E24)</f>
        <v>2139251.48894</v>
      </c>
      <c r="G22" s="165"/>
      <c r="H22" s="165"/>
      <c r="I22" s="165"/>
      <c r="J22" s="165"/>
      <c r="K22" s="165"/>
    </row>
    <row r="23" spans="2:11" s="65" customFormat="1" ht="16.5" customHeight="1">
      <c r="B23" s="390" t="s">
        <v>226</v>
      </c>
      <c r="C23" s="74" t="s">
        <v>102</v>
      </c>
      <c r="D23" s="386">
        <v>394578.17892000003</v>
      </c>
      <c r="E23" s="386">
        <f t="shared" si="0"/>
        <v>1437053.72763</v>
      </c>
      <c r="G23" s="165"/>
      <c r="H23" s="165"/>
      <c r="I23" s="165"/>
      <c r="J23" s="165"/>
      <c r="K23" s="165"/>
    </row>
    <row r="24" spans="2:11" s="65" customFormat="1" ht="16.5" customHeight="1">
      <c r="B24" s="390" t="s">
        <v>182</v>
      </c>
      <c r="C24" s="74" t="s">
        <v>102</v>
      </c>
      <c r="D24" s="386">
        <v>192805.53578</v>
      </c>
      <c r="E24" s="386">
        <f t="shared" si="0"/>
        <v>702197.76131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7">
        <f>SUM(D26:D27)</f>
        <v>82386.61717000001</v>
      </c>
      <c r="E25" s="477">
        <f>SUM(E26:E27)</f>
        <v>300052.05974</v>
      </c>
      <c r="G25" s="165"/>
      <c r="H25" s="165"/>
      <c r="I25" s="165"/>
      <c r="J25" s="165"/>
      <c r="K25" s="165"/>
    </row>
    <row r="26" spans="2:11" s="65" customFormat="1" ht="16.5" customHeight="1">
      <c r="B26" s="390" t="s">
        <v>0</v>
      </c>
      <c r="C26" s="74" t="s">
        <v>102</v>
      </c>
      <c r="D26" s="386">
        <v>82349.56213</v>
      </c>
      <c r="E26" s="386">
        <f>ROUND(+D26*$F$9,5)</f>
        <v>299917.10528</v>
      </c>
      <c r="G26" s="165"/>
      <c r="H26" s="165"/>
      <c r="I26" s="165"/>
      <c r="J26" s="165"/>
      <c r="K26" s="165"/>
    </row>
    <row r="27" spans="2:11" s="65" customFormat="1" ht="16.5" customHeight="1">
      <c r="B27" s="390" t="s">
        <v>183</v>
      </c>
      <c r="C27" s="74" t="s">
        <v>102</v>
      </c>
      <c r="D27" s="386">
        <v>37.05504</v>
      </c>
      <c r="E27" s="386">
        <f>ROUND(+D27*$F$9,5)</f>
        <v>134.95446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4"/>
      <c r="E28" s="384"/>
      <c r="G28" s="165"/>
      <c r="H28" s="165"/>
      <c r="I28" s="165"/>
      <c r="J28" s="165"/>
      <c r="K28" s="165"/>
    </row>
    <row r="29" spans="2:11" s="65" customFormat="1" ht="21.75" customHeight="1">
      <c r="B29" s="364" t="s">
        <v>90</v>
      </c>
      <c r="C29" s="68"/>
      <c r="D29" s="383">
        <f>+D30+D33+D35+D38+D40</f>
        <v>4006396.8867900004</v>
      </c>
      <c r="E29" s="383">
        <f>+E30+E33+E35+E38+E40</f>
        <v>14591297.46169</v>
      </c>
      <c r="F29" s="217"/>
      <c r="G29" s="423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7">
        <f>SUM(D31:D32)</f>
        <v>95163.45130999999</v>
      </c>
      <c r="E30" s="477">
        <f>SUM(E31:E32)</f>
        <v>346585.28967</v>
      </c>
      <c r="F30" s="262"/>
    </row>
    <row r="31" spans="2:6" s="65" customFormat="1" ht="16.5" customHeight="1">
      <c r="B31" s="390" t="s">
        <v>186</v>
      </c>
      <c r="C31" s="74" t="s">
        <v>103</v>
      </c>
      <c r="D31" s="386">
        <v>93904.4481</v>
      </c>
      <c r="E31" s="386">
        <f>ROUND(+D31*$F$9,5)</f>
        <v>341999.99998</v>
      </c>
      <c r="F31" s="390"/>
    </row>
    <row r="32" spans="2:6" s="65" customFormat="1" ht="16.5" customHeight="1">
      <c r="B32" s="390" t="s">
        <v>184</v>
      </c>
      <c r="C32" s="74" t="s">
        <v>102</v>
      </c>
      <c r="D32" s="386">
        <v>1259.0032099999999</v>
      </c>
      <c r="E32" s="386">
        <f>ROUND(+D32*$F$9,5)</f>
        <v>4585.28969</v>
      </c>
      <c r="F32" s="390"/>
    </row>
    <row r="33" spans="2:6" s="65" customFormat="1" ht="16.5" customHeight="1">
      <c r="B33" s="73" t="s">
        <v>125</v>
      </c>
      <c r="C33" s="74"/>
      <c r="D33" s="477">
        <f>+D34</f>
        <v>456617.2431900005</v>
      </c>
      <c r="E33" s="477">
        <f>+E34</f>
        <v>1662999.9997</v>
      </c>
      <c r="F33" s="262"/>
    </row>
    <row r="34" spans="2:7" s="65" customFormat="1" ht="16.5" customHeight="1">
      <c r="B34" s="390" t="s">
        <v>185</v>
      </c>
      <c r="C34" s="74" t="s">
        <v>102</v>
      </c>
      <c r="D34" s="386">
        <v>456617.2431900005</v>
      </c>
      <c r="E34" s="386">
        <f>ROUND(+D34*$F$9,5)</f>
        <v>1662999.9997</v>
      </c>
      <c r="G34" s="355"/>
    </row>
    <row r="35" spans="2:5" s="65" customFormat="1" ht="16.5" customHeight="1">
      <c r="B35" s="73" t="s">
        <v>75</v>
      </c>
      <c r="C35" s="74"/>
      <c r="D35" s="477">
        <f>SUM(D36:D37)</f>
        <v>3009376.5997</v>
      </c>
      <c r="E35" s="477">
        <f>SUM(E36:E37)</f>
        <v>10960149.57611</v>
      </c>
    </row>
    <row r="36" spans="2:5" s="65" customFormat="1" ht="16.5" customHeight="1">
      <c r="B36" s="395" t="s">
        <v>227</v>
      </c>
      <c r="C36" s="74" t="s">
        <v>103</v>
      </c>
      <c r="D36" s="386">
        <v>2409689.6145</v>
      </c>
      <c r="E36" s="386">
        <f>ROUND(+D36*$F$9,5)</f>
        <v>8776089.57601</v>
      </c>
    </row>
    <row r="37" spans="2:5" s="65" customFormat="1" ht="16.5" customHeight="1">
      <c r="B37" s="395" t="s">
        <v>228</v>
      </c>
      <c r="C37" s="74" t="s">
        <v>102</v>
      </c>
      <c r="D37" s="386">
        <v>599686.9852</v>
      </c>
      <c r="E37" s="386">
        <f>ROUND(+D37*$F$9,5)</f>
        <v>2184060.0001</v>
      </c>
    </row>
    <row r="38" spans="2:5" s="65" customFormat="1" ht="16.5" customHeight="1">
      <c r="B38" s="73" t="s">
        <v>88</v>
      </c>
      <c r="C38" s="73"/>
      <c r="D38" s="477">
        <f>+D39</f>
        <v>34766.21127</v>
      </c>
      <c r="E38" s="477">
        <f>+E39</f>
        <v>126618.54145</v>
      </c>
    </row>
    <row r="39" spans="2:5" s="65" customFormat="1" ht="16.5" customHeight="1">
      <c r="B39" s="390" t="s">
        <v>226</v>
      </c>
      <c r="C39" s="74" t="s">
        <v>102</v>
      </c>
      <c r="D39" s="386">
        <v>34766.21127</v>
      </c>
      <c r="E39" s="386">
        <f>ROUND(+D39*$F$9,5)</f>
        <v>126618.54145</v>
      </c>
    </row>
    <row r="40" spans="2:5" s="65" customFormat="1" ht="16.5" customHeight="1">
      <c r="B40" s="73" t="s">
        <v>36</v>
      </c>
      <c r="C40" s="74"/>
      <c r="D40" s="477">
        <f>SUM(D41:D45)</f>
        <v>410473.38132000004</v>
      </c>
      <c r="E40" s="477">
        <f>SUM(E41:E45)</f>
        <v>1494944.05476</v>
      </c>
    </row>
    <row r="41" spans="2:5" s="65" customFormat="1" ht="16.5" customHeight="1">
      <c r="B41" s="390" t="s">
        <v>166</v>
      </c>
      <c r="C41" s="74" t="s">
        <v>103</v>
      </c>
      <c r="D41" s="386">
        <v>212664.59215</v>
      </c>
      <c r="E41" s="386">
        <f>ROUND(+D41*$F$9,5)</f>
        <v>774524.44461</v>
      </c>
    </row>
    <row r="42" spans="2:7" s="65" customFormat="1" ht="16.5" customHeight="1">
      <c r="B42" s="390" t="s">
        <v>234</v>
      </c>
      <c r="C42" s="74" t="s">
        <v>103</v>
      </c>
      <c r="D42" s="386">
        <v>155278.52277</v>
      </c>
      <c r="E42" s="386">
        <f>ROUND(+D42*$F$9,5)</f>
        <v>565524.37993</v>
      </c>
      <c r="G42" s="507"/>
    </row>
    <row r="43" spans="2:7" s="65" customFormat="1" ht="16.5" customHeight="1">
      <c r="B43" s="390" t="s">
        <v>210</v>
      </c>
      <c r="C43" s="74" t="s">
        <v>102</v>
      </c>
      <c r="D43" s="386">
        <v>22593.551440000003</v>
      </c>
      <c r="E43" s="386">
        <f>ROUND(+D43*$F$9,5)</f>
        <v>82285.71434</v>
      </c>
      <c r="G43" s="507"/>
    </row>
    <row r="44" spans="2:7" s="65" customFormat="1" ht="16.5" customHeight="1">
      <c r="B44" s="390" t="s">
        <v>235</v>
      </c>
      <c r="C44" s="74" t="s">
        <v>103</v>
      </c>
      <c r="D44" s="386">
        <v>12500</v>
      </c>
      <c r="E44" s="386">
        <f>ROUND(+D44*$F$9,5)</f>
        <v>45525</v>
      </c>
      <c r="G44" s="507"/>
    </row>
    <row r="45" spans="2:8" s="65" customFormat="1" ht="16.5" customHeight="1">
      <c r="B45" s="390" t="s">
        <v>167</v>
      </c>
      <c r="C45" s="74" t="s">
        <v>103</v>
      </c>
      <c r="D45" s="386">
        <v>7436.71496</v>
      </c>
      <c r="E45" s="386">
        <f>ROUND(+D45*$F$9,5)</f>
        <v>27084.51588</v>
      </c>
      <c r="H45" s="363"/>
    </row>
    <row r="46" spans="2:5" s="65" customFormat="1" ht="9.75" customHeight="1">
      <c r="B46" s="143"/>
      <c r="C46" s="144"/>
      <c r="D46" s="478"/>
      <c r="E46" s="478"/>
    </row>
    <row r="47" spans="2:5" s="81" customFormat="1" ht="15" customHeight="1">
      <c r="B47" s="623" t="s">
        <v>100</v>
      </c>
      <c r="C47" s="145"/>
      <c r="D47" s="628">
        <f>+D29+D14</f>
        <v>7957540.79514</v>
      </c>
      <c r="E47" s="593">
        <f>+E29+E14</f>
        <v>28981363.575910002</v>
      </c>
    </row>
    <row r="48" spans="2:5" s="81" customFormat="1" ht="15" customHeight="1">
      <c r="B48" s="599"/>
      <c r="C48" s="146"/>
      <c r="D48" s="594"/>
      <c r="E48" s="594"/>
    </row>
    <row r="49" spans="2:5" ht="6" customHeight="1">
      <c r="B49" s="147"/>
      <c r="C49" s="147"/>
      <c r="D49" s="97"/>
      <c r="E49" s="97"/>
    </row>
    <row r="50" spans="2:5" ht="14.25" customHeight="1">
      <c r="B50" s="86" t="s">
        <v>222</v>
      </c>
      <c r="C50" s="86"/>
      <c r="D50" s="522"/>
      <c r="E50" s="65"/>
    </row>
    <row r="51" spans="2:5" ht="14.25" customHeight="1">
      <c r="B51" s="86" t="s">
        <v>224</v>
      </c>
      <c r="C51" s="86"/>
      <c r="D51" s="86"/>
      <c r="E51" s="65"/>
    </row>
    <row r="52" spans="2:5" ht="14.25" customHeight="1">
      <c r="B52" s="86" t="s">
        <v>269</v>
      </c>
      <c r="C52" s="86"/>
      <c r="D52" s="169"/>
      <c r="E52" s="65"/>
    </row>
    <row r="53" spans="2:5" ht="14.25" customHeight="1">
      <c r="B53" s="86" t="s">
        <v>270</v>
      </c>
      <c r="C53" s="86"/>
      <c r="D53" s="86"/>
      <c r="E53" s="211"/>
    </row>
    <row r="54" spans="2:5" ht="12.75">
      <c r="B54" s="460"/>
      <c r="C54" s="86"/>
      <c r="D54" s="86"/>
      <c r="E54" s="211"/>
    </row>
    <row r="55" spans="4:6" ht="15">
      <c r="D55" s="393"/>
      <c r="F55" s="214"/>
    </row>
    <row r="56" spans="2:5" ht="12.75">
      <c r="B56" s="86"/>
      <c r="D56" s="246"/>
      <c r="E56" s="246"/>
    </row>
    <row r="57" spans="2:5" ht="12.75">
      <c r="B57" s="86"/>
      <c r="D57" s="246"/>
      <c r="E57" s="246"/>
    </row>
    <row r="58" ht="12.75">
      <c r="D58" s="98"/>
    </row>
    <row r="59" spans="2:5" s="136" customFormat="1" ht="18">
      <c r="B59" s="95" t="s">
        <v>121</v>
      </c>
      <c r="C59" s="95"/>
      <c r="D59" s="95"/>
      <c r="E59" s="95"/>
    </row>
    <row r="60" spans="2:6" s="136" customFormat="1" ht="18">
      <c r="B60" s="622" t="s">
        <v>136</v>
      </c>
      <c r="C60" s="622"/>
      <c r="D60" s="622"/>
      <c r="E60" s="622"/>
      <c r="F60" s="135"/>
    </row>
    <row r="61" spans="2:6" s="136" customFormat="1" ht="18">
      <c r="B61" s="622" t="s">
        <v>137</v>
      </c>
      <c r="C61" s="622"/>
      <c r="D61" s="622"/>
      <c r="E61" s="622"/>
      <c r="F61" s="135"/>
    </row>
    <row r="62" spans="2:5" ht="16.5">
      <c r="B62" s="627" t="s">
        <v>105</v>
      </c>
      <c r="C62" s="627"/>
      <c r="D62" s="627"/>
      <c r="E62" s="627"/>
    </row>
    <row r="63" spans="2:5" ht="15.75">
      <c r="B63" s="597" t="str">
        <f>+B9</f>
        <v>Al 31 de enero de 2021</v>
      </c>
      <c r="C63" s="597"/>
      <c r="D63" s="597"/>
      <c r="E63" s="254"/>
    </row>
    <row r="64" spans="2:5" ht="9.75" customHeight="1">
      <c r="B64" s="184"/>
      <c r="C64" s="184"/>
      <c r="D64" s="184"/>
      <c r="E64" s="184"/>
    </row>
    <row r="65" spans="2:5" ht="16.5" customHeight="1">
      <c r="B65" s="397" t="s">
        <v>212</v>
      </c>
      <c r="C65" s="618" t="s">
        <v>101</v>
      </c>
      <c r="D65" s="620" t="s">
        <v>87</v>
      </c>
      <c r="E65" s="585" t="s">
        <v>164</v>
      </c>
    </row>
    <row r="66" spans="2:5" s="81" customFormat="1" ht="16.5" customHeight="1">
      <c r="B66" s="396" t="s">
        <v>213</v>
      </c>
      <c r="C66" s="619"/>
      <c r="D66" s="621"/>
      <c r="E66" s="586"/>
    </row>
    <row r="67" spans="2:5" s="81" customFormat="1" ht="9.75" customHeight="1">
      <c r="B67" s="191"/>
      <c r="C67" s="142"/>
      <c r="D67" s="96"/>
      <c r="E67" s="96"/>
    </row>
    <row r="68" spans="2:5" s="81" customFormat="1" ht="16.5">
      <c r="B68" s="364" t="s">
        <v>239</v>
      </c>
      <c r="C68" s="364"/>
      <c r="D68" s="398">
        <f>+D69</f>
        <v>0</v>
      </c>
      <c r="E68" s="398">
        <f>+E69</f>
        <v>0</v>
      </c>
    </row>
    <row r="69" spans="2:5" s="81" customFormat="1" ht="16.5" hidden="1">
      <c r="B69" s="73" t="s">
        <v>35</v>
      </c>
      <c r="C69" s="73"/>
      <c r="D69" s="399">
        <f>SUM(D70:D70)</f>
        <v>0</v>
      </c>
      <c r="E69" s="399">
        <f>SUM(E70:E70)</f>
        <v>0</v>
      </c>
    </row>
    <row r="70" spans="2:5" s="81" customFormat="1" ht="16.5" hidden="1">
      <c r="B70" s="390"/>
      <c r="C70" s="74"/>
      <c r="D70" s="429">
        <v>0</v>
      </c>
      <c r="E70" s="394">
        <f>ROUND(+D70*$F$9,5)</f>
        <v>0</v>
      </c>
    </row>
    <row r="71" spans="2:5" s="81" customFormat="1" ht="12" customHeight="1">
      <c r="B71" s="142"/>
      <c r="C71" s="142"/>
      <c r="D71" s="96"/>
      <c r="E71" s="96"/>
    </row>
    <row r="72" spans="2:5" s="65" customFormat="1" ht="16.5" customHeight="1">
      <c r="B72" s="364" t="s">
        <v>237</v>
      </c>
      <c r="C72" s="364"/>
      <c r="D72" s="398">
        <f>+D73+D87+D89</f>
        <v>1244526.0479700002</v>
      </c>
      <c r="E72" s="398">
        <f>+E73+E87+E89</f>
        <v>4532563.86671</v>
      </c>
    </row>
    <row r="73" spans="2:5" s="65" customFormat="1" ht="16.5" customHeight="1">
      <c r="B73" s="73" t="s">
        <v>35</v>
      </c>
      <c r="C73" s="73"/>
      <c r="D73" s="399">
        <f>SUM(D74:D86)</f>
        <v>1122468.5704</v>
      </c>
      <c r="E73" s="399">
        <f>SUM(E74:E86)</f>
        <v>4088030.5334</v>
      </c>
    </row>
    <row r="74" spans="2:5" s="65" customFormat="1" ht="16.5" customHeight="1">
      <c r="B74" s="390" t="s">
        <v>187</v>
      </c>
      <c r="C74" s="74" t="s">
        <v>102</v>
      </c>
      <c r="D74" s="429">
        <v>232241.99140000012</v>
      </c>
      <c r="E74" s="394">
        <f aca="true" t="shared" si="1" ref="E74:E86">ROUND(+D74*$F$9,5)</f>
        <v>845825.33268</v>
      </c>
    </row>
    <row r="75" spans="2:5" s="65" customFormat="1" ht="16.5" customHeight="1">
      <c r="B75" s="390" t="s">
        <v>188</v>
      </c>
      <c r="C75" s="74" t="s">
        <v>102</v>
      </c>
      <c r="D75" s="429">
        <v>200833.20593</v>
      </c>
      <c r="E75" s="394">
        <f t="shared" si="1"/>
        <v>731434.536</v>
      </c>
    </row>
    <row r="76" spans="2:5" s="65" customFormat="1" ht="16.5" customHeight="1">
      <c r="B76" s="390" t="s">
        <v>157</v>
      </c>
      <c r="C76" s="74" t="s">
        <v>102</v>
      </c>
      <c r="D76" s="429">
        <v>175789.24203999995</v>
      </c>
      <c r="E76" s="394">
        <f t="shared" si="1"/>
        <v>640224.41951</v>
      </c>
    </row>
    <row r="77" spans="2:5" s="65" customFormat="1" ht="16.5" customHeight="1">
      <c r="B77" s="390" t="s">
        <v>184</v>
      </c>
      <c r="C77" s="74" t="s">
        <v>102</v>
      </c>
      <c r="D77" s="429">
        <v>100867.65514</v>
      </c>
      <c r="E77" s="394">
        <f t="shared" si="1"/>
        <v>367360.00002</v>
      </c>
    </row>
    <row r="78" spans="2:5" s="65" customFormat="1" ht="16.5" customHeight="1">
      <c r="B78" s="390" t="s">
        <v>252</v>
      </c>
      <c r="C78" s="74" t="s">
        <v>103</v>
      </c>
      <c r="D78" s="429">
        <v>93000</v>
      </c>
      <c r="E78" s="394">
        <f t="shared" si="1"/>
        <v>338706</v>
      </c>
    </row>
    <row r="79" spans="2:5" s="65" customFormat="1" ht="16.5" customHeight="1">
      <c r="B79" s="390" t="s">
        <v>257</v>
      </c>
      <c r="C79" s="74" t="s">
        <v>103</v>
      </c>
      <c r="D79" s="429">
        <v>75000</v>
      </c>
      <c r="E79" s="394">
        <f t="shared" si="1"/>
        <v>273150</v>
      </c>
    </row>
    <row r="80" spans="2:5" s="65" customFormat="1" ht="16.5" customHeight="1">
      <c r="B80" s="390" t="s">
        <v>256</v>
      </c>
      <c r="C80" s="74" t="s">
        <v>103</v>
      </c>
      <c r="D80" s="429">
        <v>66000</v>
      </c>
      <c r="E80" s="394">
        <f t="shared" si="1"/>
        <v>240372</v>
      </c>
    </row>
    <row r="81" spans="2:5" s="65" customFormat="1" ht="16.5" customHeight="1">
      <c r="B81" s="390" t="s">
        <v>263</v>
      </c>
      <c r="C81" s="74" t="s">
        <v>103</v>
      </c>
      <c r="D81" s="429">
        <v>50000</v>
      </c>
      <c r="E81" s="394">
        <f t="shared" si="1"/>
        <v>182100</v>
      </c>
    </row>
    <row r="82" spans="2:5" s="65" customFormat="1" ht="16.5" customHeight="1">
      <c r="B82" s="390" t="s">
        <v>259</v>
      </c>
      <c r="C82" s="74" t="s">
        <v>103</v>
      </c>
      <c r="D82" s="429">
        <v>48000</v>
      </c>
      <c r="E82" s="394">
        <f t="shared" si="1"/>
        <v>174816</v>
      </c>
    </row>
    <row r="83" spans="2:5" s="65" customFormat="1" ht="16.5" customHeight="1">
      <c r="B83" s="390" t="s">
        <v>253</v>
      </c>
      <c r="C83" s="74" t="s">
        <v>102</v>
      </c>
      <c r="D83" s="429">
        <v>41000</v>
      </c>
      <c r="E83" s="394">
        <f t="shared" si="1"/>
        <v>149322</v>
      </c>
    </row>
    <row r="84" spans="2:5" s="65" customFormat="1" ht="16.5" customHeight="1">
      <c r="B84" s="390" t="s">
        <v>264</v>
      </c>
      <c r="C84" s="74" t="s">
        <v>103</v>
      </c>
      <c r="D84" s="429">
        <v>25000</v>
      </c>
      <c r="E84" s="394">
        <f t="shared" si="1"/>
        <v>91050</v>
      </c>
    </row>
    <row r="85" spans="2:5" s="65" customFormat="1" ht="16.5" customHeight="1">
      <c r="B85" s="390" t="s">
        <v>262</v>
      </c>
      <c r="C85" s="74" t="s">
        <v>102</v>
      </c>
      <c r="D85" s="429">
        <v>7736.47589</v>
      </c>
      <c r="E85" s="394">
        <f t="shared" si="1"/>
        <v>28176.24519</v>
      </c>
    </row>
    <row r="86" spans="2:5" s="65" customFormat="1" ht="16.5" customHeight="1">
      <c r="B86" s="390" t="s">
        <v>265</v>
      </c>
      <c r="C86" s="74" t="s">
        <v>103</v>
      </c>
      <c r="D86" s="429">
        <v>7000</v>
      </c>
      <c r="E86" s="394">
        <f t="shared" si="1"/>
        <v>25494</v>
      </c>
    </row>
    <row r="87" spans="2:5" s="65" customFormat="1" ht="16.5" customHeight="1">
      <c r="B87" s="73" t="s">
        <v>125</v>
      </c>
      <c r="C87" s="75"/>
      <c r="D87" s="399">
        <f>+D88</f>
        <v>122057.47756999999</v>
      </c>
      <c r="E87" s="399">
        <f>+E88</f>
        <v>444533.33331</v>
      </c>
    </row>
    <row r="88" spans="2:5" s="65" customFormat="1" ht="16.5" customHeight="1">
      <c r="B88" s="390" t="s">
        <v>185</v>
      </c>
      <c r="C88" s="74" t="s">
        <v>102</v>
      </c>
      <c r="D88" s="429">
        <v>122057.47756999999</v>
      </c>
      <c r="E88" s="394">
        <f>ROUND(+D88*$F$9,5)</f>
        <v>444533.33331</v>
      </c>
    </row>
    <row r="89" spans="2:5" s="65" customFormat="1" ht="16.5" customHeight="1" hidden="1">
      <c r="B89" s="73" t="s">
        <v>36</v>
      </c>
      <c r="C89" s="74"/>
      <c r="D89" s="399">
        <f>SUM(D90:D90)</f>
        <v>0</v>
      </c>
      <c r="E89" s="399">
        <f>SUM(E90:E90)</f>
        <v>0</v>
      </c>
    </row>
    <row r="90" spans="2:5" s="65" customFormat="1" ht="16.5" customHeight="1" hidden="1">
      <c r="B90" s="390"/>
      <c r="C90" s="74"/>
      <c r="D90" s="429"/>
      <c r="E90" s="394"/>
    </row>
    <row r="91" spans="2:9" s="65" customFormat="1" ht="9.75" customHeight="1">
      <c r="B91" s="143"/>
      <c r="C91" s="143"/>
      <c r="D91" s="400"/>
      <c r="E91" s="400"/>
      <c r="G91" s="448"/>
      <c r="H91" s="448"/>
      <c r="I91" s="448"/>
    </row>
    <row r="92" spans="2:7" s="81" customFormat="1" ht="15" customHeight="1">
      <c r="B92" s="623" t="s">
        <v>100</v>
      </c>
      <c r="C92" s="145"/>
      <c r="D92" s="625">
        <f>+D68+D72</f>
        <v>1244526.0479700002</v>
      </c>
      <c r="E92" s="625">
        <f>+E68+E72</f>
        <v>4532563.86671</v>
      </c>
      <c r="G92" s="65"/>
    </row>
    <row r="93" spans="2:7" s="81" customFormat="1" ht="15" customHeight="1">
      <c r="B93" s="599"/>
      <c r="C93" s="146"/>
      <c r="D93" s="626"/>
      <c r="E93" s="626"/>
      <c r="G93" s="65"/>
    </row>
    <row r="94" spans="2:7" ht="7.5" customHeight="1">
      <c r="B94" s="147"/>
      <c r="C94" s="147"/>
      <c r="D94" s="97"/>
      <c r="E94" s="97"/>
      <c r="G94" s="65"/>
    </row>
    <row r="95" spans="4:7" ht="14.25">
      <c r="D95" s="439"/>
      <c r="E95" s="247"/>
      <c r="G95" s="65"/>
    </row>
    <row r="96" spans="4:7" ht="14.25">
      <c r="D96" s="248"/>
      <c r="G96" s="65"/>
    </row>
    <row r="97" spans="4:7" ht="14.25">
      <c r="D97" s="98"/>
      <c r="E97" s="98"/>
      <c r="G97" s="65"/>
    </row>
    <row r="98" ht="14.25">
      <c r="G98" s="65"/>
    </row>
    <row r="99" ht="14.25">
      <c r="G99" s="65"/>
    </row>
    <row r="100" ht="14.25">
      <c r="G100" s="65"/>
    </row>
    <row r="101" ht="14.25">
      <c r="G101" s="65"/>
    </row>
    <row r="102" ht="14.25">
      <c r="G102" s="65"/>
    </row>
    <row r="103" ht="14.25">
      <c r="G103" s="65"/>
    </row>
  </sheetData>
  <sheetProtection/>
  <mergeCells count="20">
    <mergeCell ref="B1:E1"/>
    <mergeCell ref="B2:E2"/>
    <mergeCell ref="B3:E3"/>
    <mergeCell ref="B4:E4"/>
    <mergeCell ref="E11:E12"/>
    <mergeCell ref="B92:B93"/>
    <mergeCell ref="D92:D93"/>
    <mergeCell ref="E92:E93"/>
    <mergeCell ref="B62:E62"/>
    <mergeCell ref="D47:D48"/>
    <mergeCell ref="C65:C66"/>
    <mergeCell ref="C11:C12"/>
    <mergeCell ref="D11:D12"/>
    <mergeCell ref="B63:D63"/>
    <mergeCell ref="E47:E48"/>
    <mergeCell ref="B60:E60"/>
    <mergeCell ref="B47:B48"/>
    <mergeCell ref="D65:D66"/>
    <mergeCell ref="B61:E61"/>
    <mergeCell ref="E65:E66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5:E40 E33 E18:E26 E16 E87 E8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12.75">
      <c r="B4" s="148"/>
      <c r="P4" s="196"/>
    </row>
    <row r="5" spans="2:16" ht="18">
      <c r="B5" s="375" t="s">
        <v>16</v>
      </c>
      <c r="C5" s="375"/>
      <c r="D5" s="375"/>
      <c r="P5" s="196"/>
    </row>
    <row r="6" spans="2:16" ht="18">
      <c r="B6" s="376" t="s">
        <v>136</v>
      </c>
      <c r="C6" s="376"/>
      <c r="D6" s="376"/>
      <c r="P6" s="196"/>
    </row>
    <row r="7" spans="2:16" ht="18">
      <c r="B7" s="376" t="s">
        <v>135</v>
      </c>
      <c r="C7" s="376"/>
      <c r="D7" s="376"/>
      <c r="E7" s="297"/>
      <c r="P7" s="196"/>
    </row>
    <row r="8" spans="2:16" ht="16.5">
      <c r="B8" s="380" t="s">
        <v>59</v>
      </c>
      <c r="C8" s="377"/>
      <c r="D8" s="377"/>
      <c r="P8" s="196"/>
    </row>
    <row r="9" spans="2:16" ht="15.75">
      <c r="B9" s="378" t="str">
        <f>+'DEP-C2'!B9</f>
        <v>Al 31 de enero de 2021</v>
      </c>
      <c r="C9" s="378"/>
      <c r="D9" s="298"/>
      <c r="E9" s="379">
        <f>+Portada!H39</f>
        <v>3.642</v>
      </c>
      <c r="P9" s="196"/>
    </row>
    <row r="10" spans="2:16" s="77" customFormat="1" ht="9.75" customHeight="1">
      <c r="B10" s="541"/>
      <c r="C10" s="541"/>
      <c r="D10" s="541"/>
      <c r="E10" s="212"/>
      <c r="P10" s="197"/>
    </row>
    <row r="11" spans="2:16" ht="16.5" customHeight="1">
      <c r="B11" s="552" t="s">
        <v>97</v>
      </c>
      <c r="C11" s="629" t="s">
        <v>87</v>
      </c>
      <c r="D11" s="631" t="s">
        <v>164</v>
      </c>
      <c r="P11" s="196"/>
    </row>
    <row r="12" spans="2:16" s="111" customFormat="1" ht="16.5" customHeight="1">
      <c r="B12" s="553"/>
      <c r="C12" s="630"/>
      <c r="D12" s="632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202</v>
      </c>
      <c r="C14" s="513">
        <f>+C16+C34</f>
        <v>7528196.404949999</v>
      </c>
      <c r="D14" s="513">
        <f>+D16+D34</f>
        <v>27417691.306830004</v>
      </c>
      <c r="E14" s="249"/>
      <c r="F14" s="387"/>
      <c r="G14" s="299"/>
      <c r="H14" s="299"/>
      <c r="P14" s="197"/>
    </row>
    <row r="15" spans="2:16" s="77" customFormat="1" ht="9.75" customHeight="1">
      <c r="B15" s="79"/>
      <c r="C15" s="383"/>
      <c r="D15" s="513"/>
      <c r="E15" s="249"/>
      <c r="F15" s="388"/>
      <c r="G15" s="299"/>
      <c r="H15" s="299"/>
      <c r="P15" s="197"/>
    </row>
    <row r="16" spans="2:16" s="77" customFormat="1" ht="16.5" customHeight="1">
      <c r="B16" s="78" t="s">
        <v>66</v>
      </c>
      <c r="C16" s="383">
        <f>SUM(C17:C32)</f>
        <v>3556565.729429999</v>
      </c>
      <c r="D16" s="383">
        <f>SUM(D17:D32)</f>
        <v>12953012.386590006</v>
      </c>
      <c r="E16" s="463"/>
      <c r="F16" s="463"/>
      <c r="P16" s="197"/>
    </row>
    <row r="17" spans="2:16" s="77" customFormat="1" ht="16.5" customHeight="1">
      <c r="B17" s="381" t="s">
        <v>201</v>
      </c>
      <c r="C17" s="497">
        <v>3276827.9627199997</v>
      </c>
      <c r="D17" s="384">
        <f aca="true" t="shared" si="0" ref="D17:D32">ROUND(+C17*$E$9,5)</f>
        <v>11934207.44023</v>
      </c>
      <c r="E17" s="463"/>
      <c r="F17" s="463"/>
      <c r="P17" s="197"/>
    </row>
    <row r="18" spans="2:16" s="77" customFormat="1" ht="16.5" customHeight="1">
      <c r="B18" s="381" t="s">
        <v>209</v>
      </c>
      <c r="C18" s="497">
        <v>140898.78488</v>
      </c>
      <c r="D18" s="384">
        <f t="shared" si="0"/>
        <v>513153.37453</v>
      </c>
      <c r="E18" s="463"/>
      <c r="F18" s="463"/>
      <c r="P18" s="197"/>
    </row>
    <row r="19" spans="2:16" s="77" customFormat="1" ht="16.5" customHeight="1">
      <c r="B19" s="381" t="s">
        <v>199</v>
      </c>
      <c r="C19" s="497">
        <v>37598.99251</v>
      </c>
      <c r="D19" s="384">
        <f t="shared" si="0"/>
        <v>136935.53072</v>
      </c>
      <c r="E19" s="463"/>
      <c r="F19" s="463"/>
      <c r="P19" s="197"/>
    </row>
    <row r="20" spans="2:16" s="77" customFormat="1" ht="16.5" customHeight="1">
      <c r="B20" s="381" t="s">
        <v>195</v>
      </c>
      <c r="C20" s="497">
        <v>23421.40219</v>
      </c>
      <c r="D20" s="384">
        <f t="shared" si="0"/>
        <v>85300.74678</v>
      </c>
      <c r="E20" s="463"/>
      <c r="F20" s="463"/>
      <c r="P20" s="197"/>
    </row>
    <row r="21" spans="2:16" s="77" customFormat="1" ht="16.5" customHeight="1">
      <c r="B21" s="381" t="s">
        <v>169</v>
      </c>
      <c r="C21" s="497">
        <v>21643.03826</v>
      </c>
      <c r="D21" s="384">
        <f t="shared" si="0"/>
        <v>78823.94534</v>
      </c>
      <c r="E21" s="463"/>
      <c r="F21" s="463"/>
      <c r="P21" s="197"/>
    </row>
    <row r="22" spans="2:16" s="77" customFormat="1" ht="16.5" customHeight="1">
      <c r="B22" s="381" t="s">
        <v>168</v>
      </c>
      <c r="C22" s="497">
        <v>16183.45362</v>
      </c>
      <c r="D22" s="384">
        <f t="shared" si="0"/>
        <v>58940.13808</v>
      </c>
      <c r="E22" s="463"/>
      <c r="F22" s="463"/>
      <c r="P22" s="197"/>
    </row>
    <row r="23" spans="2:16" s="77" customFormat="1" ht="16.5" customHeight="1">
      <c r="B23" s="381" t="s">
        <v>194</v>
      </c>
      <c r="C23" s="497">
        <v>9871.21125</v>
      </c>
      <c r="D23" s="384">
        <f t="shared" si="0"/>
        <v>35950.95137</v>
      </c>
      <c r="E23" s="463"/>
      <c r="F23" s="463"/>
      <c r="P23" s="197"/>
    </row>
    <row r="24" spans="2:16" s="77" customFormat="1" ht="16.5" customHeight="1">
      <c r="B24" s="381" t="s">
        <v>200</v>
      </c>
      <c r="C24" s="497">
        <v>8223.9085</v>
      </c>
      <c r="D24" s="384">
        <f t="shared" si="0"/>
        <v>29951.47476</v>
      </c>
      <c r="E24" s="463"/>
      <c r="F24" s="463"/>
      <c r="P24" s="197"/>
    </row>
    <row r="25" spans="2:16" s="77" customFormat="1" ht="16.5" customHeight="1">
      <c r="B25" s="381" t="s">
        <v>208</v>
      </c>
      <c r="C25" s="497">
        <v>5214.09107</v>
      </c>
      <c r="D25" s="384">
        <f t="shared" si="0"/>
        <v>18989.71968</v>
      </c>
      <c r="E25" s="463"/>
      <c r="F25" s="463"/>
      <c r="P25" s="197"/>
    </row>
    <row r="26" spans="2:16" s="77" customFormat="1" ht="16.5" customHeight="1">
      <c r="B26" s="381" t="s">
        <v>197</v>
      </c>
      <c r="C26" s="497">
        <v>4968.204299999999</v>
      </c>
      <c r="D26" s="384">
        <f t="shared" si="0"/>
        <v>18094.20006</v>
      </c>
      <c r="E26" s="463"/>
      <c r="F26" s="463"/>
      <c r="P26" s="197"/>
    </row>
    <row r="27" spans="2:16" s="77" customFormat="1" ht="16.5" customHeight="1">
      <c r="B27" s="381" t="s">
        <v>196</v>
      </c>
      <c r="C27" s="497">
        <v>4888.1638</v>
      </c>
      <c r="D27" s="384">
        <f t="shared" si="0"/>
        <v>17802.69256</v>
      </c>
      <c r="E27" s="463"/>
      <c r="F27" s="463"/>
      <c r="P27" s="197"/>
    </row>
    <row r="28" spans="2:16" s="77" customFormat="1" ht="16.5" customHeight="1">
      <c r="B28" s="381" t="s">
        <v>198</v>
      </c>
      <c r="C28" s="497">
        <v>3221.931</v>
      </c>
      <c r="D28" s="384">
        <f t="shared" si="0"/>
        <v>11734.2727</v>
      </c>
      <c r="E28" s="463"/>
      <c r="F28" s="463"/>
      <c r="P28" s="197"/>
    </row>
    <row r="29" spans="2:16" s="77" customFormat="1" ht="16.5" customHeight="1">
      <c r="B29" s="381" t="s">
        <v>49</v>
      </c>
      <c r="C29" s="497">
        <v>2062.63501</v>
      </c>
      <c r="D29" s="384">
        <f t="shared" si="0"/>
        <v>7512.11671</v>
      </c>
      <c r="E29" s="463"/>
      <c r="F29" s="463"/>
      <c r="P29" s="197"/>
    </row>
    <row r="30" spans="2:16" s="77" customFormat="1" ht="16.5" customHeight="1">
      <c r="B30" s="381" t="s">
        <v>238</v>
      </c>
      <c r="C30" s="497">
        <v>864.12861</v>
      </c>
      <c r="D30" s="384">
        <f t="shared" si="0"/>
        <v>3147.1564</v>
      </c>
      <c r="E30" s="463"/>
      <c r="F30" s="463"/>
      <c r="P30" s="197"/>
    </row>
    <row r="31" spans="2:16" s="77" customFormat="1" ht="16.5" customHeight="1">
      <c r="B31" s="381" t="s">
        <v>233</v>
      </c>
      <c r="C31" s="497">
        <v>640.7666700000001</v>
      </c>
      <c r="D31" s="384">
        <f t="shared" si="0"/>
        <v>2333.67221</v>
      </c>
      <c r="E31" s="463"/>
      <c r="F31" s="463"/>
      <c r="P31" s="197"/>
    </row>
    <row r="32" spans="2:16" s="77" customFormat="1" ht="16.5" customHeight="1">
      <c r="B32" s="381" t="s">
        <v>43</v>
      </c>
      <c r="C32" s="497">
        <v>37.05504</v>
      </c>
      <c r="D32" s="384">
        <f t="shared" si="0"/>
        <v>134.95446</v>
      </c>
      <c r="E32" s="463"/>
      <c r="F32" s="463"/>
      <c r="P32" s="197"/>
    </row>
    <row r="33" spans="2:16" s="77" customFormat="1" ht="12" customHeight="1">
      <c r="B33" s="301"/>
      <c r="C33" s="386"/>
      <c r="D33" s="386"/>
      <c r="E33" s="463"/>
      <c r="F33" s="463"/>
      <c r="P33" s="197"/>
    </row>
    <row r="34" spans="2:16" s="77" customFormat="1" ht="16.5" customHeight="1">
      <c r="B34" s="78" t="s">
        <v>25</v>
      </c>
      <c r="C34" s="383">
        <f>SUM(C35:C37)</f>
        <v>3971630.6755200005</v>
      </c>
      <c r="D34" s="383">
        <f>+SUM(D35:D37)</f>
        <v>14464678.92024</v>
      </c>
      <c r="E34" s="463"/>
      <c r="F34" s="463"/>
      <c r="P34" s="197"/>
    </row>
    <row r="35" spans="2:16" s="77" customFormat="1" ht="16.5" customHeight="1">
      <c r="B35" s="381" t="s">
        <v>210</v>
      </c>
      <c r="C35" s="497">
        <v>2398129.808140001</v>
      </c>
      <c r="D35" s="384">
        <f>ROUND(+C35*$E$9,5)</f>
        <v>8733988.76125</v>
      </c>
      <c r="E35" s="463"/>
      <c r="F35" s="463"/>
      <c r="P35" s="197"/>
    </row>
    <row r="36" spans="2:16" s="77" customFormat="1" ht="16.5" customHeight="1">
      <c r="B36" s="382" t="s">
        <v>170</v>
      </c>
      <c r="C36" s="497">
        <v>1550907.3159399997</v>
      </c>
      <c r="D36" s="384">
        <f>ROUND(+C36*$E$9,5)</f>
        <v>5648404.44465</v>
      </c>
      <c r="E36" s="249"/>
      <c r="F36" s="389"/>
      <c r="P36" s="197"/>
    </row>
    <row r="37" spans="2:16" s="77" customFormat="1" ht="16.5" customHeight="1">
      <c r="B37" s="381" t="s">
        <v>124</v>
      </c>
      <c r="C37" s="497">
        <v>22593.551440000003</v>
      </c>
      <c r="D37" s="384">
        <f>ROUND(+C37*$E$9,5)</f>
        <v>82285.71434</v>
      </c>
      <c r="E37" s="249"/>
      <c r="F37" s="389"/>
      <c r="P37" s="197"/>
    </row>
    <row r="38" spans="2:16" s="77" customFormat="1" ht="15" customHeight="1">
      <c r="B38" s="301"/>
      <c r="C38" s="484"/>
      <c r="D38" s="484"/>
      <c r="E38" s="249"/>
      <c r="F38" s="389"/>
      <c r="P38" s="197"/>
    </row>
    <row r="39" spans="2:16" s="77" customFormat="1" ht="19.5" customHeight="1">
      <c r="B39" s="79" t="s">
        <v>203</v>
      </c>
      <c r="C39" s="513">
        <f>+C41+C53</f>
        <v>429344.39019000006</v>
      </c>
      <c r="D39" s="513">
        <f>+D41+D53</f>
        <v>1563672.2690700002</v>
      </c>
      <c r="E39" s="249"/>
      <c r="F39" s="389"/>
      <c r="P39" s="197"/>
    </row>
    <row r="40" spans="2:16" s="77" customFormat="1" ht="9.75" customHeight="1">
      <c r="B40" s="79"/>
      <c r="C40" s="513"/>
      <c r="D40" s="513"/>
      <c r="E40" s="249"/>
      <c r="F40" s="389"/>
      <c r="P40" s="197"/>
    </row>
    <row r="41" spans="2:16" s="77" customFormat="1" ht="16.5" customHeight="1">
      <c r="B41" s="78" t="s">
        <v>24</v>
      </c>
      <c r="C41" s="383">
        <f>SUM(C42:C51)</f>
        <v>394578.17892000003</v>
      </c>
      <c r="D41" s="383">
        <f>SUM(D42:D51)</f>
        <v>1437053.7276200003</v>
      </c>
      <c r="E41" s="249"/>
      <c r="F41" s="249"/>
      <c r="P41" s="197"/>
    </row>
    <row r="42" spans="2:16" s="77" customFormat="1" ht="16.5" customHeight="1">
      <c r="B42" s="381" t="s">
        <v>209</v>
      </c>
      <c r="C42" s="497">
        <v>377674.0463</v>
      </c>
      <c r="D42" s="384">
        <f aca="true" t="shared" si="1" ref="D42:D51">ROUND(+C42*$E$9,5)</f>
        <v>1375488.87662</v>
      </c>
      <c r="E42" s="249"/>
      <c r="F42" s="249"/>
      <c r="P42" s="197"/>
    </row>
    <row r="43" spans="2:16" s="77" customFormat="1" ht="16.5" customHeight="1">
      <c r="B43" s="346" t="s">
        <v>206</v>
      </c>
      <c r="C43" s="497">
        <v>4541.51125</v>
      </c>
      <c r="D43" s="384">
        <f t="shared" si="1"/>
        <v>16540.18397</v>
      </c>
      <c r="E43" s="249"/>
      <c r="F43" s="249"/>
      <c r="P43" s="197"/>
    </row>
    <row r="44" spans="2:16" s="77" customFormat="1" ht="16.5" customHeight="1">
      <c r="B44" s="346" t="s">
        <v>69</v>
      </c>
      <c r="C44" s="497">
        <v>3798.27757</v>
      </c>
      <c r="D44" s="384">
        <f t="shared" si="1"/>
        <v>13833.32691</v>
      </c>
      <c r="E44" s="249"/>
      <c r="F44" s="249"/>
      <c r="P44" s="197"/>
    </row>
    <row r="45" spans="2:16" s="77" customFormat="1" ht="16.5" customHeight="1">
      <c r="B45" s="346" t="s">
        <v>44</v>
      </c>
      <c r="C45" s="497">
        <v>2530.17985</v>
      </c>
      <c r="D45" s="384">
        <f t="shared" si="1"/>
        <v>9214.91501</v>
      </c>
      <c r="E45" s="249"/>
      <c r="F45" s="249"/>
      <c r="P45" s="197"/>
    </row>
    <row r="46" spans="2:16" s="77" customFormat="1" ht="16.5" customHeight="1">
      <c r="B46" s="346" t="s">
        <v>158</v>
      </c>
      <c r="C46" s="497">
        <v>2029.56595</v>
      </c>
      <c r="D46" s="384">
        <f t="shared" si="1"/>
        <v>7391.67919</v>
      </c>
      <c r="E46" s="249"/>
      <c r="F46" s="249"/>
      <c r="P46" s="197"/>
    </row>
    <row r="47" spans="2:16" s="77" customFormat="1" ht="16.5" customHeight="1">
      <c r="B47" s="346" t="s">
        <v>42</v>
      </c>
      <c r="C47" s="497">
        <v>1535.3359000000003</v>
      </c>
      <c r="D47" s="384">
        <f t="shared" si="1"/>
        <v>5591.69335</v>
      </c>
      <c r="E47" s="249"/>
      <c r="F47" s="249"/>
      <c r="P47" s="197"/>
    </row>
    <row r="48" spans="2:16" s="77" customFormat="1" ht="16.5" customHeight="1">
      <c r="B48" s="346" t="s">
        <v>51</v>
      </c>
      <c r="C48" s="497">
        <v>1510.9363999999998</v>
      </c>
      <c r="D48" s="384">
        <f t="shared" si="1"/>
        <v>5502.83037</v>
      </c>
      <c r="E48" s="249"/>
      <c r="F48" s="249"/>
      <c r="P48" s="197"/>
    </row>
    <row r="49" spans="2:16" s="77" customFormat="1" ht="16.5" customHeight="1">
      <c r="B49" s="346" t="s">
        <v>207</v>
      </c>
      <c r="C49" s="497">
        <v>568.00394</v>
      </c>
      <c r="D49" s="384">
        <f t="shared" si="1"/>
        <v>2068.67035</v>
      </c>
      <c r="E49" s="249"/>
      <c r="F49" s="249"/>
      <c r="P49" s="197"/>
    </row>
    <row r="50" spans="2:16" s="77" customFormat="1" ht="16.5" customHeight="1">
      <c r="B50" s="346" t="s">
        <v>229</v>
      </c>
      <c r="C50" s="497">
        <v>313.43331</v>
      </c>
      <c r="D50" s="384">
        <f t="shared" si="1"/>
        <v>1141.52412</v>
      </c>
      <c r="E50" s="249"/>
      <c r="F50" s="249"/>
      <c r="P50" s="197"/>
    </row>
    <row r="51" spans="2:16" s="77" customFormat="1" ht="16.5" customHeight="1">
      <c r="B51" s="346" t="s">
        <v>208</v>
      </c>
      <c r="C51" s="497">
        <v>76.88844999999999</v>
      </c>
      <c r="D51" s="384">
        <f t="shared" si="1"/>
        <v>280.02773</v>
      </c>
      <c r="E51" s="249"/>
      <c r="F51" s="249"/>
      <c r="P51" s="197"/>
    </row>
    <row r="52" spans="2:16" s="77" customFormat="1" ht="12" customHeight="1">
      <c r="B52" s="390"/>
      <c r="C52" s="386"/>
      <c r="D52" s="386"/>
      <c r="E52" s="249"/>
      <c r="F52" s="249"/>
      <c r="G52" s="450"/>
      <c r="P52" s="197"/>
    </row>
    <row r="53" spans="2:16" s="77" customFormat="1" ht="16.5" customHeight="1">
      <c r="B53" s="78" t="s">
        <v>25</v>
      </c>
      <c r="C53" s="383">
        <f>+C54</f>
        <v>34766.21127</v>
      </c>
      <c r="D53" s="383">
        <f>+D54</f>
        <v>126618.54145</v>
      </c>
      <c r="E53" s="249"/>
      <c r="F53" s="449"/>
      <c r="P53" s="197"/>
    </row>
    <row r="54" spans="2:16" s="77" customFormat="1" ht="16.5" customHeight="1">
      <c r="B54" s="346" t="s">
        <v>210</v>
      </c>
      <c r="C54" s="497">
        <v>34766.21127</v>
      </c>
      <c r="D54" s="384">
        <f>ROUND(+C54*$E$9,5)</f>
        <v>126618.54145</v>
      </c>
      <c r="E54" s="249"/>
      <c r="F54" s="389"/>
      <c r="P54" s="197"/>
    </row>
    <row r="55" spans="2:16" s="77" customFormat="1" ht="9.75" customHeight="1">
      <c r="B55" s="76"/>
      <c r="C55" s="391"/>
      <c r="D55" s="391"/>
      <c r="E55" s="249"/>
      <c r="F55" s="389"/>
      <c r="P55" s="197"/>
    </row>
    <row r="56" spans="2:16" s="77" customFormat="1" ht="18" customHeight="1" hidden="1">
      <c r="B56" s="150"/>
      <c r="C56" s="384"/>
      <c r="D56" s="384"/>
      <c r="E56" s="249"/>
      <c r="F56" s="389"/>
      <c r="P56" s="197"/>
    </row>
    <row r="57" spans="2:16" s="77" customFormat="1" ht="21.75" customHeight="1" hidden="1">
      <c r="B57" s="79" t="s">
        <v>112</v>
      </c>
      <c r="C57" s="513">
        <f>+C58</f>
        <v>0</v>
      </c>
      <c r="D57" s="513">
        <f>+D58</f>
        <v>0</v>
      </c>
      <c r="E57" s="249"/>
      <c r="F57" s="389"/>
      <c r="H57" s="302"/>
      <c r="P57" s="197"/>
    </row>
    <row r="58" spans="2:16" s="77" customFormat="1" ht="21.75" customHeight="1" hidden="1">
      <c r="B58" s="76" t="s">
        <v>66</v>
      </c>
      <c r="C58" s="391">
        <f>+C59</f>
        <v>0</v>
      </c>
      <c r="D58" s="391">
        <f>+D59</f>
        <v>0</v>
      </c>
      <c r="E58" s="249"/>
      <c r="F58" s="389"/>
      <c r="H58" s="302"/>
      <c r="P58" s="197"/>
    </row>
    <row r="59" spans="2:16" s="77" customFormat="1" ht="21.75" customHeight="1" hidden="1">
      <c r="B59" s="300" t="s">
        <v>109</v>
      </c>
      <c r="C59" s="386">
        <v>0</v>
      </c>
      <c r="D59" s="386">
        <f>+C59*$E$9</f>
        <v>0</v>
      </c>
      <c r="E59" s="249"/>
      <c r="F59" s="389"/>
      <c r="H59" s="302"/>
      <c r="P59" s="197"/>
    </row>
    <row r="60" spans="2:16" s="77" customFormat="1" ht="19.5" customHeight="1" hidden="1">
      <c r="B60" s="150"/>
      <c r="C60" s="384"/>
      <c r="D60" s="384"/>
      <c r="E60" s="249"/>
      <c r="F60" s="389"/>
      <c r="P60" s="197"/>
    </row>
    <row r="61" spans="2:16" s="77" customFormat="1" ht="21.75" customHeight="1" hidden="1">
      <c r="B61" s="79" t="s">
        <v>138</v>
      </c>
      <c r="C61" s="513">
        <f>+C62+C86</f>
        <v>0</v>
      </c>
      <c r="D61" s="513">
        <f>+D62+D86</f>
        <v>0</v>
      </c>
      <c r="E61" s="249"/>
      <c r="F61" s="389"/>
      <c r="P61" s="197"/>
    </row>
    <row r="62" spans="2:16" s="77" customFormat="1" ht="21.75" customHeight="1" hidden="1">
      <c r="B62" s="78" t="s">
        <v>24</v>
      </c>
      <c r="C62" s="383">
        <f>SUM(C63:C84)</f>
        <v>0</v>
      </c>
      <c r="D62" s="383">
        <f>SUM(D63:D84)</f>
        <v>0</v>
      </c>
      <c r="E62" s="249"/>
      <c r="F62" s="389"/>
      <c r="P62" s="197"/>
    </row>
    <row r="63" spans="2:16" s="77" customFormat="1" ht="21.75" customHeight="1" hidden="1">
      <c r="B63" s="300" t="s">
        <v>108</v>
      </c>
      <c r="C63" s="386"/>
      <c r="D63" s="386">
        <f aca="true" t="shared" si="2" ref="D63:D84">+C63*$E$9</f>
        <v>0</v>
      </c>
      <c r="E63" s="249"/>
      <c r="F63" s="389"/>
      <c r="P63" s="197"/>
    </row>
    <row r="64" spans="2:16" s="77" customFormat="1" ht="21.75" customHeight="1" hidden="1">
      <c r="B64" s="300" t="s">
        <v>38</v>
      </c>
      <c r="C64" s="386"/>
      <c r="D64" s="386">
        <f t="shared" si="2"/>
        <v>0</v>
      </c>
      <c r="E64" s="249"/>
      <c r="F64" s="389"/>
      <c r="P64" s="197"/>
    </row>
    <row r="65" spans="2:16" s="77" customFormat="1" ht="21.75" customHeight="1" hidden="1">
      <c r="B65" s="300" t="s">
        <v>39</v>
      </c>
      <c r="C65" s="386"/>
      <c r="D65" s="386">
        <f t="shared" si="2"/>
        <v>0</v>
      </c>
      <c r="E65" s="249"/>
      <c r="F65" s="389"/>
      <c r="P65" s="197"/>
    </row>
    <row r="66" spans="2:16" s="77" customFormat="1" ht="21.75" customHeight="1" hidden="1">
      <c r="B66" s="300" t="s">
        <v>41</v>
      </c>
      <c r="C66" s="386"/>
      <c r="D66" s="386">
        <f t="shared" si="2"/>
        <v>0</v>
      </c>
      <c r="E66" s="249"/>
      <c r="F66" s="389"/>
      <c r="P66" s="197"/>
    </row>
    <row r="67" spans="2:16" s="77" customFormat="1" ht="21.75" customHeight="1" hidden="1">
      <c r="B67" s="300" t="s">
        <v>145</v>
      </c>
      <c r="C67" s="386"/>
      <c r="D67" s="386">
        <f t="shared" si="2"/>
        <v>0</v>
      </c>
      <c r="E67" s="249"/>
      <c r="F67" s="389"/>
      <c r="P67" s="197"/>
    </row>
    <row r="68" spans="2:16" s="77" customFormat="1" ht="21.75" customHeight="1" hidden="1">
      <c r="B68" s="300" t="s">
        <v>40</v>
      </c>
      <c r="C68" s="386"/>
      <c r="D68" s="386">
        <f t="shared" si="2"/>
        <v>0</v>
      </c>
      <c r="E68" s="249"/>
      <c r="F68" s="389"/>
      <c r="P68" s="197"/>
    </row>
    <row r="69" spans="2:16" s="77" customFormat="1" ht="21.75" customHeight="1" hidden="1">
      <c r="B69" s="300" t="s">
        <v>45</v>
      </c>
      <c r="C69" s="386"/>
      <c r="D69" s="386">
        <f t="shared" si="2"/>
        <v>0</v>
      </c>
      <c r="E69" s="249"/>
      <c r="F69" s="389"/>
      <c r="P69" s="197"/>
    </row>
    <row r="70" spans="2:16" s="77" customFormat="1" ht="21.75" customHeight="1" hidden="1">
      <c r="B70" s="300" t="s">
        <v>69</v>
      </c>
      <c r="C70" s="386"/>
      <c r="D70" s="386">
        <f t="shared" si="2"/>
        <v>0</v>
      </c>
      <c r="E70" s="249"/>
      <c r="F70" s="389"/>
      <c r="P70" s="197"/>
    </row>
    <row r="71" spans="2:16" s="77" customFormat="1" ht="21.75" customHeight="1" hidden="1">
      <c r="B71" s="300" t="s">
        <v>47</v>
      </c>
      <c r="C71" s="386"/>
      <c r="D71" s="386">
        <f t="shared" si="2"/>
        <v>0</v>
      </c>
      <c r="E71" s="249"/>
      <c r="F71" s="389"/>
      <c r="P71" s="197"/>
    </row>
    <row r="72" spans="2:16" s="77" customFormat="1" ht="21.75" customHeight="1" hidden="1">
      <c r="B72" s="300" t="s">
        <v>42</v>
      </c>
      <c r="C72" s="386"/>
      <c r="D72" s="386">
        <f t="shared" si="2"/>
        <v>0</v>
      </c>
      <c r="E72" s="249"/>
      <c r="F72" s="389"/>
      <c r="P72" s="197"/>
    </row>
    <row r="73" spans="2:16" s="77" customFormat="1" ht="21.75" customHeight="1" hidden="1">
      <c r="B73" s="300" t="s">
        <v>44</v>
      </c>
      <c r="C73" s="386"/>
      <c r="D73" s="386">
        <f t="shared" si="2"/>
        <v>0</v>
      </c>
      <c r="E73" s="249"/>
      <c r="F73" s="389"/>
      <c r="P73" s="197"/>
    </row>
    <row r="74" spans="2:16" s="77" customFormat="1" ht="21.75" customHeight="1" hidden="1">
      <c r="B74" s="300" t="s">
        <v>48</v>
      </c>
      <c r="C74" s="386"/>
      <c r="D74" s="386">
        <f t="shared" si="2"/>
        <v>0</v>
      </c>
      <c r="E74" s="249"/>
      <c r="F74" s="389"/>
      <c r="P74" s="197"/>
    </row>
    <row r="75" spans="2:16" s="77" customFormat="1" ht="21.75" customHeight="1" hidden="1">
      <c r="B75" s="300" t="s">
        <v>51</v>
      </c>
      <c r="C75" s="386"/>
      <c r="D75" s="386">
        <f t="shared" si="2"/>
        <v>0</v>
      </c>
      <c r="E75" s="249"/>
      <c r="F75" s="389"/>
      <c r="P75" s="197"/>
    </row>
    <row r="76" spans="2:16" s="77" customFormat="1" ht="21.75" customHeight="1" hidden="1">
      <c r="B76" s="300" t="s">
        <v>158</v>
      </c>
      <c r="C76" s="386"/>
      <c r="D76" s="386">
        <f t="shared" si="2"/>
        <v>0</v>
      </c>
      <c r="E76" s="249"/>
      <c r="F76" s="389"/>
      <c r="P76" s="197"/>
    </row>
    <row r="77" spans="2:16" s="77" customFormat="1" ht="21.75" customHeight="1" hidden="1">
      <c r="B77" s="300" t="s">
        <v>53</v>
      </c>
      <c r="C77" s="386"/>
      <c r="D77" s="386">
        <f t="shared" si="2"/>
        <v>0</v>
      </c>
      <c r="E77" s="249"/>
      <c r="F77" s="389"/>
      <c r="P77" s="197"/>
    </row>
    <row r="78" spans="2:16" s="77" customFormat="1" ht="21.75" customHeight="1" hidden="1">
      <c r="B78" s="300" t="s">
        <v>55</v>
      </c>
      <c r="C78" s="386"/>
      <c r="D78" s="386">
        <f t="shared" si="2"/>
        <v>0</v>
      </c>
      <c r="E78" s="249"/>
      <c r="F78" s="389"/>
      <c r="P78" s="197"/>
    </row>
    <row r="79" spans="2:16" s="77" customFormat="1" ht="21.75" customHeight="1" hidden="1">
      <c r="B79" s="300" t="s">
        <v>46</v>
      </c>
      <c r="C79" s="386"/>
      <c r="D79" s="386">
        <f t="shared" si="2"/>
        <v>0</v>
      </c>
      <c r="E79" s="249"/>
      <c r="F79" s="389"/>
      <c r="P79" s="197"/>
    </row>
    <row r="80" spans="2:16" s="77" customFormat="1" ht="21.75" customHeight="1" hidden="1">
      <c r="B80" s="300" t="s">
        <v>50</v>
      </c>
      <c r="C80" s="386"/>
      <c r="D80" s="386">
        <f t="shared" si="2"/>
        <v>0</v>
      </c>
      <c r="E80" s="249"/>
      <c r="F80" s="389"/>
      <c r="P80" s="197"/>
    </row>
    <row r="81" spans="2:16" s="77" customFormat="1" ht="21.75" customHeight="1" hidden="1">
      <c r="B81" s="300" t="s">
        <v>57</v>
      </c>
      <c r="C81" s="386"/>
      <c r="D81" s="386">
        <f t="shared" si="2"/>
        <v>0</v>
      </c>
      <c r="E81" s="249"/>
      <c r="F81" s="389"/>
      <c r="P81" s="197"/>
    </row>
    <row r="82" spans="2:16" s="77" customFormat="1" ht="21.75" customHeight="1" hidden="1">
      <c r="B82" s="300" t="s">
        <v>52</v>
      </c>
      <c r="C82" s="386"/>
      <c r="D82" s="386">
        <f t="shared" si="2"/>
        <v>0</v>
      </c>
      <c r="E82" s="249"/>
      <c r="F82" s="389"/>
      <c r="P82" s="197"/>
    </row>
    <row r="83" spans="2:16" s="77" customFormat="1" ht="21.75" customHeight="1" hidden="1">
      <c r="B83" s="300" t="s">
        <v>54</v>
      </c>
      <c r="C83" s="386"/>
      <c r="D83" s="386">
        <f t="shared" si="2"/>
        <v>0</v>
      </c>
      <c r="E83" s="249"/>
      <c r="F83" s="389"/>
      <c r="P83" s="197"/>
    </row>
    <row r="84" spans="2:16" s="77" customFormat="1" ht="21.75" customHeight="1" hidden="1">
      <c r="B84" s="300" t="s">
        <v>56</v>
      </c>
      <c r="C84" s="386"/>
      <c r="D84" s="386">
        <f t="shared" si="2"/>
        <v>0</v>
      </c>
      <c r="E84" s="249"/>
      <c r="F84" s="389"/>
      <c r="P84" s="197"/>
    </row>
    <row r="85" spans="2:16" s="77" customFormat="1" ht="9.75" customHeight="1" hidden="1">
      <c r="B85" s="76"/>
      <c r="C85" s="391"/>
      <c r="D85" s="391"/>
      <c r="E85" s="249"/>
      <c r="F85" s="389"/>
      <c r="P85" s="197"/>
    </row>
    <row r="86" spans="2:16" s="77" customFormat="1" ht="21.75" customHeight="1" hidden="1">
      <c r="B86" s="78" t="s">
        <v>25</v>
      </c>
      <c r="C86" s="383">
        <f>+C87</f>
        <v>0</v>
      </c>
      <c r="D86" s="383">
        <f>+D87</f>
        <v>0</v>
      </c>
      <c r="E86" s="249"/>
      <c r="F86" s="389"/>
      <c r="P86" s="197"/>
    </row>
    <row r="87" spans="2:16" s="77" customFormat="1" ht="21.75" customHeight="1" hidden="1">
      <c r="B87" s="300" t="s">
        <v>107</v>
      </c>
      <c r="C87" s="386"/>
      <c r="D87" s="386">
        <f>+C87*$E$9</f>
        <v>0</v>
      </c>
      <c r="E87" s="249"/>
      <c r="F87" s="389"/>
      <c r="P87" s="197"/>
    </row>
    <row r="88" spans="2:16" s="77" customFormat="1" ht="4.5" customHeight="1">
      <c r="B88" s="150"/>
      <c r="C88" s="384"/>
      <c r="D88" s="384"/>
      <c r="E88" s="249"/>
      <c r="F88" s="389"/>
      <c r="P88" s="197"/>
    </row>
    <row r="89" spans="2:16" s="77" customFormat="1" ht="15" customHeight="1">
      <c r="B89" s="633" t="s">
        <v>28</v>
      </c>
      <c r="C89" s="593">
        <f>C14+C39</f>
        <v>7957540.795139999</v>
      </c>
      <c r="D89" s="593">
        <f>+D14+D39</f>
        <v>28981363.575900003</v>
      </c>
      <c r="E89" s="249"/>
      <c r="F89" s="389"/>
      <c r="P89" s="197"/>
    </row>
    <row r="90" spans="2:16" s="111" customFormat="1" ht="15" customHeight="1">
      <c r="B90" s="634"/>
      <c r="C90" s="594"/>
      <c r="D90" s="594"/>
      <c r="E90" s="249"/>
      <c r="F90" s="389"/>
      <c r="G90" s="77"/>
      <c r="P90" s="198"/>
    </row>
    <row r="91" spans="2:16" s="77" customFormat="1" ht="7.5" customHeight="1">
      <c r="B91" s="151"/>
      <c r="C91" s="101"/>
      <c r="D91" s="101"/>
      <c r="E91" s="249"/>
      <c r="F91" s="389"/>
      <c r="P91" s="197"/>
    </row>
    <row r="92" spans="1:16" ht="14.25" customHeight="1">
      <c r="A92" s="303"/>
      <c r="B92" s="304" t="s">
        <v>204</v>
      </c>
      <c r="C92" s="316"/>
      <c r="D92" s="305"/>
      <c r="E92" s="249"/>
      <c r="F92" s="389"/>
      <c r="G92" s="77"/>
      <c r="P92" s="196"/>
    </row>
    <row r="93" spans="1:16" ht="14.25" customHeight="1">
      <c r="A93" s="303"/>
      <c r="B93" s="304" t="s">
        <v>205</v>
      </c>
      <c r="C93" s="306"/>
      <c r="D93" s="307"/>
      <c r="E93" s="249"/>
      <c r="F93" s="389"/>
      <c r="G93" s="77"/>
      <c r="P93" s="196"/>
    </row>
    <row r="94" spans="3:16" ht="14.25">
      <c r="C94" s="308"/>
      <c r="D94" s="309"/>
      <c r="E94" s="249"/>
      <c r="F94" s="389"/>
      <c r="G94" s="77"/>
      <c r="P94" s="196"/>
    </row>
    <row r="95" spans="3:16" ht="14.25">
      <c r="C95" s="311"/>
      <c r="D95" s="311"/>
      <c r="E95" s="249"/>
      <c r="F95" s="389"/>
      <c r="G95" s="312"/>
      <c r="H95" s="312"/>
      <c r="P95" s="196"/>
    </row>
    <row r="96" spans="3:16" ht="12.75">
      <c r="C96" s="313"/>
      <c r="D96" s="313"/>
      <c r="G96" s="312"/>
      <c r="H96" s="312"/>
      <c r="P96" s="196"/>
    </row>
    <row r="97" spans="3:16" ht="12.75">
      <c r="C97" s="314"/>
      <c r="D97" s="314"/>
      <c r="H97" s="310"/>
      <c r="P97" s="196"/>
    </row>
    <row r="98" spans="2:16" ht="18">
      <c r="B98" s="375" t="s">
        <v>122</v>
      </c>
      <c r="C98" s="375"/>
      <c r="D98" s="375"/>
      <c r="H98" s="310"/>
      <c r="P98" s="196"/>
    </row>
    <row r="99" spans="2:16" ht="18">
      <c r="B99" s="376" t="s">
        <v>136</v>
      </c>
      <c r="C99" s="376"/>
      <c r="D99" s="376"/>
      <c r="G99" s="312"/>
      <c r="P99" s="196"/>
    </row>
    <row r="100" spans="2:16" ht="18">
      <c r="B100" s="376" t="s">
        <v>137</v>
      </c>
      <c r="C100" s="376"/>
      <c r="D100" s="376"/>
      <c r="P100" s="196"/>
    </row>
    <row r="101" spans="2:16" ht="16.5">
      <c r="B101" s="380" t="s">
        <v>59</v>
      </c>
      <c r="C101" s="377"/>
      <c r="D101" s="377"/>
      <c r="P101" s="196"/>
    </row>
    <row r="102" spans="2:16" ht="15.75">
      <c r="B102" s="378" t="str">
        <f>+B9</f>
        <v>Al 31 de enero de 2021</v>
      </c>
      <c r="C102" s="378"/>
      <c r="D102" s="298"/>
      <c r="P102" s="196"/>
    </row>
    <row r="103" spans="2:16" s="77" customFormat="1" ht="6.75" customHeight="1">
      <c r="B103" s="541"/>
      <c r="C103" s="541"/>
      <c r="D103" s="541"/>
      <c r="E103" s="212"/>
      <c r="P103" s="197"/>
    </row>
    <row r="104" spans="2:16" ht="16.5" customHeight="1">
      <c r="B104" s="552" t="s">
        <v>97</v>
      </c>
      <c r="C104" s="629" t="s">
        <v>87</v>
      </c>
      <c r="D104" s="631" t="s">
        <v>164</v>
      </c>
      <c r="P104" s="196"/>
    </row>
    <row r="105" spans="2:16" s="111" customFormat="1" ht="16.5" customHeight="1">
      <c r="B105" s="553"/>
      <c r="C105" s="630"/>
      <c r="D105" s="632"/>
      <c r="E105" s="213"/>
      <c r="G105" s="317"/>
      <c r="P105" s="198"/>
    </row>
    <row r="106" spans="2:16" s="111" customFormat="1" ht="9.75" customHeight="1">
      <c r="B106" s="149"/>
      <c r="C106" s="100"/>
      <c r="D106" s="112"/>
      <c r="E106" s="213"/>
      <c r="G106" s="317"/>
      <c r="P106" s="198"/>
    </row>
    <row r="107" spans="2:16" s="77" customFormat="1" ht="19.5" customHeight="1">
      <c r="B107" s="79" t="s">
        <v>202</v>
      </c>
      <c r="C107" s="513">
        <f>+C109+C112</f>
        <v>1244526.0479700002</v>
      </c>
      <c r="D107" s="513">
        <f>+D109+D112</f>
        <v>4532563.866710001</v>
      </c>
      <c r="E107" s="212"/>
      <c r="G107" s="302"/>
      <c r="H107" s="302"/>
      <c r="P107" s="197"/>
    </row>
    <row r="108" spans="2:16" s="77" customFormat="1" ht="9.75" customHeight="1">
      <c r="B108" s="79"/>
      <c r="C108" s="513"/>
      <c r="D108" s="513"/>
      <c r="E108" s="212"/>
      <c r="G108" s="302"/>
      <c r="H108" s="302"/>
      <c r="P108" s="197"/>
    </row>
    <row r="109" spans="2:16" s="77" customFormat="1" ht="16.5" customHeight="1">
      <c r="B109" s="78" t="s">
        <v>25</v>
      </c>
      <c r="C109" s="383">
        <f>SUM(C110:C110)</f>
        <v>0</v>
      </c>
      <c r="D109" s="383">
        <f>SUM(D110:D110)</f>
        <v>0</v>
      </c>
      <c r="E109" s="212"/>
      <c r="G109" s="302"/>
      <c r="H109" s="302"/>
      <c r="P109" s="197"/>
    </row>
    <row r="110" spans="2:16" s="77" customFormat="1" ht="16.5" customHeight="1" hidden="1">
      <c r="B110" s="435"/>
      <c r="C110" s="497">
        <v>0</v>
      </c>
      <c r="D110" s="384">
        <f>ROUND(+C110*$E$9,5)</f>
        <v>0</v>
      </c>
      <c r="E110" s="212"/>
      <c r="G110" s="302"/>
      <c r="H110" s="302"/>
      <c r="P110" s="197"/>
    </row>
    <row r="111" spans="2:16" s="77" customFormat="1" ht="12" customHeight="1">
      <c r="B111" s="79"/>
      <c r="C111" s="513"/>
      <c r="D111" s="513"/>
      <c r="E111" s="212"/>
      <c r="G111" s="302"/>
      <c r="H111" s="302"/>
      <c r="P111" s="197"/>
    </row>
    <row r="112" spans="2:16" s="77" customFormat="1" ht="16.5" customHeight="1">
      <c r="B112" s="78" t="s">
        <v>24</v>
      </c>
      <c r="C112" s="383">
        <f>SUM(C113:C121)</f>
        <v>1244526.0479700002</v>
      </c>
      <c r="D112" s="383">
        <f>SUM(D113:D121)</f>
        <v>4532563.866710001</v>
      </c>
      <c r="E112" s="212"/>
      <c r="F112" s="212"/>
      <c r="G112" s="318"/>
      <c r="H112" s="318"/>
      <c r="P112" s="197"/>
    </row>
    <row r="113" spans="2:16" s="77" customFormat="1" ht="16.5" customHeight="1">
      <c r="B113" s="518" t="s">
        <v>246</v>
      </c>
      <c r="C113" s="497">
        <v>957905.61373</v>
      </c>
      <c r="D113" s="384">
        <f aca="true" t="shared" si="3" ref="D113:D121">ROUND(+C113*$E$9,5)</f>
        <v>3488692.2452</v>
      </c>
      <c r="E113" s="212"/>
      <c r="F113" s="212"/>
      <c r="G113" s="318"/>
      <c r="H113" s="318"/>
      <c r="P113" s="197"/>
    </row>
    <row r="114" spans="2:16" s="77" customFormat="1" ht="16.5" customHeight="1">
      <c r="B114" s="518" t="s">
        <v>244</v>
      </c>
      <c r="C114" s="497">
        <v>72639.83771</v>
      </c>
      <c r="D114" s="384">
        <f t="shared" si="3"/>
        <v>264554.28894</v>
      </c>
      <c r="E114" s="212"/>
      <c r="F114" s="212"/>
      <c r="G114" s="318"/>
      <c r="P114" s="197"/>
    </row>
    <row r="115" spans="2:16" s="77" customFormat="1" ht="16.5" customHeight="1">
      <c r="B115" s="518" t="s">
        <v>245</v>
      </c>
      <c r="C115" s="497">
        <v>67211.68833000002</v>
      </c>
      <c r="D115" s="384">
        <f t="shared" si="3"/>
        <v>244784.9689</v>
      </c>
      <c r="E115" s="212"/>
      <c r="F115" s="212"/>
      <c r="G115" s="318"/>
      <c r="P115" s="197"/>
    </row>
    <row r="116" spans="2:16" s="77" customFormat="1" ht="16.5" customHeight="1">
      <c r="B116" s="518" t="s">
        <v>247</v>
      </c>
      <c r="C116" s="497">
        <v>58667.398799999995</v>
      </c>
      <c r="D116" s="384">
        <f t="shared" si="3"/>
        <v>213666.66643</v>
      </c>
      <c r="E116" s="212"/>
      <c r="F116" s="212"/>
      <c r="G116" s="318"/>
      <c r="P116" s="197"/>
    </row>
    <row r="117" spans="2:16" s="77" customFormat="1" ht="16.5" customHeight="1">
      <c r="B117" s="381" t="s">
        <v>168</v>
      </c>
      <c r="C117" s="497">
        <v>32537.06755</v>
      </c>
      <c r="D117" s="384">
        <f t="shared" si="3"/>
        <v>118500.00002</v>
      </c>
      <c r="E117" s="212"/>
      <c r="F117" s="212"/>
      <c r="G117" s="318"/>
      <c r="P117" s="197"/>
    </row>
    <row r="118" spans="2:16" s="77" customFormat="1" ht="16.5" customHeight="1">
      <c r="B118" s="518" t="s">
        <v>249</v>
      </c>
      <c r="C118" s="497">
        <v>20716.373030000002</v>
      </c>
      <c r="D118" s="384">
        <f t="shared" si="3"/>
        <v>75449.03058</v>
      </c>
      <c r="E118" s="212"/>
      <c r="F118" s="212"/>
      <c r="G118" s="318"/>
      <c r="P118" s="197"/>
    </row>
    <row r="119" spans="2:16" s="77" customFormat="1" ht="16.5" customHeight="1">
      <c r="B119" s="518" t="s">
        <v>248</v>
      </c>
      <c r="C119" s="497">
        <v>19403.258280000002</v>
      </c>
      <c r="D119" s="384">
        <f t="shared" si="3"/>
        <v>70666.66666</v>
      </c>
      <c r="E119" s="212"/>
      <c r="F119" s="212"/>
      <c r="G119" s="318"/>
      <c r="P119" s="197"/>
    </row>
    <row r="120" spans="2:16" s="77" customFormat="1" ht="16.5" customHeight="1">
      <c r="B120" s="518" t="s">
        <v>250</v>
      </c>
      <c r="C120" s="497">
        <v>10571.11477</v>
      </c>
      <c r="D120" s="384">
        <f t="shared" si="3"/>
        <v>38499.99999</v>
      </c>
      <c r="E120" s="212"/>
      <c r="F120" s="212"/>
      <c r="G120" s="318"/>
      <c r="P120" s="197"/>
    </row>
    <row r="121" spans="2:16" s="77" customFormat="1" ht="16.5" customHeight="1">
      <c r="B121" s="518" t="s">
        <v>251</v>
      </c>
      <c r="C121" s="497">
        <v>4873.69577</v>
      </c>
      <c r="D121" s="384">
        <f t="shared" si="3"/>
        <v>17749.99999</v>
      </c>
      <c r="E121" s="212"/>
      <c r="F121" s="212"/>
      <c r="G121" s="318"/>
      <c r="P121" s="197"/>
    </row>
    <row r="122" spans="2:16" s="77" customFormat="1" ht="9.75" customHeight="1">
      <c r="B122" s="150"/>
      <c r="C122" s="384"/>
      <c r="D122" s="384"/>
      <c r="E122" s="212"/>
      <c r="F122" s="212"/>
      <c r="G122" s="318"/>
      <c r="P122" s="197"/>
    </row>
    <row r="123" spans="2:16" s="77" customFormat="1" ht="15" customHeight="1">
      <c r="B123" s="633" t="s">
        <v>28</v>
      </c>
      <c r="C123" s="593">
        <f>+C107</f>
        <v>1244526.0479700002</v>
      </c>
      <c r="D123" s="593">
        <f>+D107</f>
        <v>4532563.866710001</v>
      </c>
      <c r="E123" s="212"/>
      <c r="F123" s="212"/>
      <c r="G123" s="318"/>
      <c r="P123" s="197"/>
    </row>
    <row r="124" spans="2:16" s="111" customFormat="1" ht="15" customHeight="1">
      <c r="B124" s="634"/>
      <c r="C124" s="594"/>
      <c r="D124" s="594"/>
      <c r="E124" s="212"/>
      <c r="F124" s="450"/>
      <c r="G124" s="318"/>
      <c r="P124" s="198"/>
    </row>
    <row r="125" spans="2:16" s="77" customFormat="1" ht="7.5" customHeight="1">
      <c r="B125" s="151"/>
      <c r="C125" s="101"/>
      <c r="D125" s="101"/>
      <c r="E125" s="212"/>
      <c r="F125" s="450"/>
      <c r="P125" s="197"/>
    </row>
    <row r="126" spans="1:16" ht="14.25" customHeight="1">
      <c r="A126" s="303"/>
      <c r="B126" s="304" t="s">
        <v>204</v>
      </c>
      <c r="C126" s="392"/>
      <c r="D126" s="315"/>
      <c r="P126" s="196"/>
    </row>
    <row r="127" spans="3:16" ht="12.75">
      <c r="C127" s="316"/>
      <c r="D127" s="316"/>
      <c r="P127" s="196"/>
    </row>
  </sheetData>
  <sheetProtection/>
  <mergeCells count="14">
    <mergeCell ref="B10:D10"/>
    <mergeCell ref="B103:D103"/>
    <mergeCell ref="B11:B12"/>
    <mergeCell ref="C11:C12"/>
    <mergeCell ref="D11:D12"/>
    <mergeCell ref="B89:B90"/>
    <mergeCell ref="C89:C90"/>
    <mergeCell ref="D89:D90"/>
    <mergeCell ref="B104:B105"/>
    <mergeCell ref="C104:C105"/>
    <mergeCell ref="D104:D105"/>
    <mergeCell ref="B123:B124"/>
    <mergeCell ref="C123:C124"/>
    <mergeCell ref="D123:D124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27" t="s">
        <v>18</v>
      </c>
      <c r="C6" s="527"/>
      <c r="D6" s="527"/>
      <c r="E6" s="527"/>
      <c r="F6" s="527"/>
      <c r="G6" s="527"/>
    </row>
    <row r="7" spans="2:7" s="4" customFormat="1" ht="15.75">
      <c r="B7" s="528" t="str">
        <f>+Indice!B7</f>
        <v>AL 31 DE ENERO 2021</v>
      </c>
      <c r="C7" s="528"/>
      <c r="D7" s="528"/>
      <c r="E7" s="528"/>
      <c r="F7" s="528"/>
      <c r="G7" s="528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32" t="s">
        <v>143</v>
      </c>
      <c r="E9" s="532"/>
      <c r="F9" s="532"/>
      <c r="G9" s="532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131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33" t="s">
        <v>132</v>
      </c>
      <c r="E13" s="533"/>
      <c r="F13" s="533"/>
      <c r="G13" s="533"/>
      <c r="H13" s="533"/>
    </row>
    <row r="14" spans="2:8" ht="15.75" customHeight="1">
      <c r="B14" s="52"/>
      <c r="C14" s="52"/>
      <c r="D14" s="533" t="s">
        <v>133</v>
      </c>
      <c r="E14" s="533"/>
      <c r="F14" s="533"/>
      <c r="G14" s="533"/>
      <c r="H14" s="533"/>
    </row>
    <row r="15" spans="2:7" ht="15.75" customHeight="1">
      <c r="B15" s="52"/>
      <c r="C15" s="52"/>
      <c r="D15" s="29" t="s">
        <v>134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128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129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130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30">
        <v>44227</v>
      </c>
      <c r="E22" s="531"/>
      <c r="F22" s="531"/>
      <c r="G22" s="531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31" t="s">
        <v>17</v>
      </c>
      <c r="E24" s="531"/>
      <c r="F24" s="531"/>
      <c r="G24" s="531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32" t="s">
        <v>152</v>
      </c>
      <c r="E26" s="532"/>
      <c r="F26" s="532"/>
      <c r="G26" s="532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160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83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44255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82</v>
      </c>
      <c r="C35" s="55" t="s">
        <v>8</v>
      </c>
      <c r="D35" s="29" t="s">
        <v>84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33" t="s">
        <v>161</v>
      </c>
      <c r="E37" s="533"/>
      <c r="F37" s="533"/>
      <c r="G37" s="533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31" t="s">
        <v>172</v>
      </c>
      <c r="E39" s="531"/>
      <c r="F39" s="531"/>
      <c r="G39" s="531"/>
      <c r="H39" s="534">
        <v>3.642</v>
      </c>
    </row>
    <row r="40" spans="4:8" ht="15.75" customHeight="1">
      <c r="D40" s="531"/>
      <c r="E40" s="531"/>
      <c r="F40" s="531"/>
      <c r="G40" s="531"/>
      <c r="H40" s="534"/>
    </row>
    <row r="41" ht="15.75" customHeight="1"/>
    <row r="42" spans="2:4" ht="12.75">
      <c r="B42" s="55" t="s">
        <v>70</v>
      </c>
      <c r="C42" s="55" t="s">
        <v>8</v>
      </c>
      <c r="D42" s="6" t="s">
        <v>71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2.75"/>
    <row r="2" s="130" customFormat="1" ht="12.75">
      <c r="D2" s="152"/>
    </row>
    <row r="3" s="130" customFormat="1" ht="12.75">
      <c r="D3" s="152"/>
    </row>
    <row r="4" spans="1:19" s="154" customFormat="1" ht="15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22.5" customHeight="1">
      <c r="A5" s="130"/>
      <c r="B5" s="527" t="s">
        <v>174</v>
      </c>
      <c r="C5" s="527"/>
      <c r="D5" s="527"/>
      <c r="E5" s="527"/>
      <c r="F5" s="527"/>
      <c r="G5" s="527"/>
      <c r="H5" s="527"/>
      <c r="I5" s="527"/>
      <c r="J5" s="527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40" t="s">
        <v>18</v>
      </c>
      <c r="C6" s="540"/>
      <c r="D6" s="540"/>
      <c r="E6" s="540"/>
      <c r="F6" s="540"/>
      <c r="G6" s="540"/>
      <c r="H6" s="540"/>
      <c r="I6" s="540"/>
      <c r="J6" s="540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28" t="str">
        <f>+Indice!B7</f>
        <v>AL 31 DE ENERO 2021</v>
      </c>
      <c r="C7" s="528"/>
      <c r="D7" s="528"/>
      <c r="E7" s="528"/>
      <c r="F7" s="528"/>
      <c r="G7" s="528"/>
      <c r="H7" s="528"/>
      <c r="I7" s="528"/>
      <c r="J7" s="528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28"/>
      <c r="C8" s="528"/>
      <c r="D8" s="528"/>
      <c r="E8" s="528"/>
      <c r="F8" s="528"/>
      <c r="G8" s="528"/>
      <c r="H8" s="528"/>
      <c r="I8" s="528"/>
      <c r="J8" s="528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41" t="s">
        <v>162</v>
      </c>
      <c r="C9" s="541"/>
      <c r="D9" s="541"/>
      <c r="E9" s="541"/>
      <c r="F9" s="541"/>
      <c r="G9" s="541"/>
      <c r="H9" s="263"/>
      <c r="I9" s="263"/>
      <c r="J9" s="263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35" t="s">
        <v>154</v>
      </c>
      <c r="C11" s="536"/>
      <c r="D11" s="536"/>
      <c r="E11" s="537"/>
      <c r="G11" s="535" t="s">
        <v>31</v>
      </c>
      <c r="H11" s="536"/>
      <c r="I11" s="536"/>
      <c r="J11" s="537"/>
    </row>
    <row r="12" spans="2:10" ht="19.5" customHeight="1">
      <c r="B12" s="121"/>
      <c r="C12" s="418" t="s">
        <v>77</v>
      </c>
      <c r="D12" s="419" t="s">
        <v>163</v>
      </c>
      <c r="E12" s="415" t="s">
        <v>27</v>
      </c>
      <c r="G12" s="124"/>
      <c r="H12" s="412" t="s">
        <v>77</v>
      </c>
      <c r="I12" s="412" t="str">
        <f>+D12</f>
        <v>Soles</v>
      </c>
      <c r="J12" s="496" t="s">
        <v>230</v>
      </c>
    </row>
    <row r="13" spans="2:15" ht="19.5" customHeight="1">
      <c r="B13" s="125" t="s">
        <v>73</v>
      </c>
      <c r="C13" s="413">
        <f>(+'DEP-C2'!C18+'DEP-C2'!C42)/1000</f>
        <v>6532.3018552</v>
      </c>
      <c r="D13" s="413">
        <f>(+'DEP-C2'!D18+'DEP-C2'!D42)/1000</f>
        <v>23790.64335664</v>
      </c>
      <c r="E13" s="416">
        <f>+C13/$C$15</f>
        <v>0.709873332434118</v>
      </c>
      <c r="G13" s="125" t="s">
        <v>74</v>
      </c>
      <c r="H13" s="413">
        <f>+C21+C22+C23+C24</f>
        <v>4192.69024341</v>
      </c>
      <c r="I13" s="413">
        <f>+D21+D22+D23+D24</f>
        <v>15269.77786651</v>
      </c>
      <c r="J13" s="494">
        <f>+H13/$H$15</f>
        <v>0.45562484112460616</v>
      </c>
      <c r="N13" s="200"/>
      <c r="O13" s="200"/>
    </row>
    <row r="14" spans="2:15" ht="19.5" customHeight="1">
      <c r="B14" s="125" t="s">
        <v>72</v>
      </c>
      <c r="C14" s="413">
        <f>(+'DEP-C2'!C14+'DEP-C2'!C38)/1000</f>
        <v>2669.7649879099995</v>
      </c>
      <c r="D14" s="413">
        <f>(+'DEP-C2'!D14+'DEP-C2'!D38)/1000</f>
        <v>9723.28408596674</v>
      </c>
      <c r="E14" s="416">
        <f>+C14/$C$15</f>
        <v>0.2901266675658819</v>
      </c>
      <c r="G14" s="125" t="s">
        <v>75</v>
      </c>
      <c r="H14" s="413">
        <f>+C20</f>
        <v>5009.3765997</v>
      </c>
      <c r="I14" s="413">
        <f>+D20</f>
        <v>18244.149576109998</v>
      </c>
      <c r="J14" s="494">
        <f>+H14/$H$15</f>
        <v>0.5443751588753938</v>
      </c>
      <c r="O14" s="156"/>
    </row>
    <row r="15" spans="2:15" ht="19.5" customHeight="1">
      <c r="B15" s="126" t="s">
        <v>28</v>
      </c>
      <c r="C15" s="414">
        <f>SUM(C13:C14)</f>
        <v>9202.06684311</v>
      </c>
      <c r="D15" s="414">
        <f>SUM(D13:D14)</f>
        <v>33513.92744260674</v>
      </c>
      <c r="E15" s="417">
        <f>SUM(E13:E14)</f>
        <v>0.9999999999999999</v>
      </c>
      <c r="G15" s="126" t="s">
        <v>28</v>
      </c>
      <c r="H15" s="414">
        <f>SUM(H13:H14)</f>
        <v>9202.06684311</v>
      </c>
      <c r="I15" s="414">
        <f>SUM(I13:I14)</f>
        <v>33513.92744262</v>
      </c>
      <c r="J15" s="495">
        <f>SUM(J13:J14)</f>
        <v>1</v>
      </c>
      <c r="O15" s="156"/>
    </row>
    <row r="16" spans="2:10" ht="19.5" customHeight="1">
      <c r="B16" s="123"/>
      <c r="C16" s="504"/>
      <c r="D16" s="272"/>
      <c r="E16" s="223"/>
      <c r="G16" s="123"/>
      <c r="H16" s="273"/>
      <c r="I16" s="273"/>
      <c r="J16" s="223"/>
    </row>
    <row r="17" spans="2:8" ht="19.5" customHeight="1">
      <c r="B17" s="164"/>
      <c r="C17" s="274"/>
      <c r="H17" s="127"/>
    </row>
    <row r="18" spans="2:12" ht="19.5" customHeight="1">
      <c r="B18" s="535" t="s">
        <v>68</v>
      </c>
      <c r="C18" s="536"/>
      <c r="D18" s="536"/>
      <c r="E18" s="537"/>
      <c r="G18" s="535" t="s">
        <v>62</v>
      </c>
      <c r="H18" s="536"/>
      <c r="I18" s="536"/>
      <c r="J18" s="537"/>
      <c r="L18" s="127"/>
    </row>
    <row r="19" spans="2:10" ht="19.5" customHeight="1">
      <c r="B19" s="124"/>
      <c r="C19" s="412" t="s">
        <v>77</v>
      </c>
      <c r="D19" s="412" t="str">
        <f>+D12</f>
        <v>Soles</v>
      </c>
      <c r="E19" s="420" t="s">
        <v>27</v>
      </c>
      <c r="G19" s="124"/>
      <c r="H19" s="412" t="s">
        <v>77</v>
      </c>
      <c r="I19" s="412" t="str">
        <f>+I12</f>
        <v>Soles</v>
      </c>
      <c r="J19" s="420" t="s">
        <v>27</v>
      </c>
    </row>
    <row r="20" spans="2:12" ht="19.5" customHeight="1">
      <c r="B20" s="125" t="s">
        <v>75</v>
      </c>
      <c r="C20" s="413">
        <f>+(+'DEP-C7'!D20+'DEP-C7'!D35)/1000</f>
        <v>5009.3765997</v>
      </c>
      <c r="D20" s="413">
        <f>+(+'DEP-C7'!E20+'DEP-C7'!E35)/1000</f>
        <v>18244.149576109998</v>
      </c>
      <c r="E20" s="416">
        <f>+C20/$C$25</f>
        <v>0.5443751588753938</v>
      </c>
      <c r="G20" s="125" t="s">
        <v>77</v>
      </c>
      <c r="H20" s="413">
        <f>('DEP-C3'!C22+'DEP-C3'!C57)/1000</f>
        <v>6592.59867473</v>
      </c>
      <c r="I20" s="413">
        <f>('DEP-C3'!D22+'DEP-C3'!D57)/1000</f>
        <v>24010.24437337</v>
      </c>
      <c r="J20" s="416">
        <f>+H20/$H$24</f>
        <v>0.7164258624861191</v>
      </c>
      <c r="L20" s="157"/>
    </row>
    <row r="21" spans="2:12" ht="19.5" customHeight="1">
      <c r="B21" s="125" t="s">
        <v>76</v>
      </c>
      <c r="C21" s="413">
        <f>+(+'DEP-C7'!D15+'DEP-C7'!D30+'DEP-C7'!D73)/1000</f>
        <v>2497.2057285299998</v>
      </c>
      <c r="D21" s="413">
        <f>+(+'DEP-C7'!E15+'DEP-C7'!E30+'DEP-C7'!E73)/1000</f>
        <v>9094.82326331</v>
      </c>
      <c r="E21" s="416">
        <f>+C21/$C$25</f>
        <v>0.2713744391456762</v>
      </c>
      <c r="G21" s="125" t="s">
        <v>163</v>
      </c>
      <c r="H21" s="413">
        <f>('DEP-C3'!C14+'DEP-C3'!C49)/1000</f>
        <v>2107.4557363299996</v>
      </c>
      <c r="I21" s="413">
        <f>(+'DEP-C3'!D14+'DEP-C3'!D49)/1000</f>
        <v>7675.353791720001</v>
      </c>
      <c r="J21" s="416">
        <f>+H21/$H$24</f>
        <v>0.22901982481337288</v>
      </c>
      <c r="L21" s="170"/>
    </row>
    <row r="22" spans="2:12" ht="19.5" customHeight="1">
      <c r="B22" s="125" t="s">
        <v>215</v>
      </c>
      <c r="C22" s="413">
        <f>+('DEP-C7'!D22+'DEP-C7'!D38)/1000</f>
        <v>622.14992597</v>
      </c>
      <c r="D22" s="413">
        <f>+('DEP-C7'!E22+'DEP-C7'!E38)/1000</f>
        <v>2265.87003039</v>
      </c>
      <c r="E22" s="416">
        <f>+C22/$C$25</f>
        <v>0.06760980294724023</v>
      </c>
      <c r="G22" s="125" t="s">
        <v>78</v>
      </c>
      <c r="H22" s="413">
        <f>+'DEP-C3'!C26/1000</f>
        <v>222.35086356</v>
      </c>
      <c r="I22" s="413">
        <f>+'DEP-C3'!D26/1000</f>
        <v>809.8018450899999</v>
      </c>
      <c r="J22" s="416">
        <f>+H22/$H$24</f>
        <v>0.024163143710098568</v>
      </c>
      <c r="L22" s="201"/>
    </row>
    <row r="23" spans="2:12" ht="19.5" customHeight="1">
      <c r="B23" s="125" t="s">
        <v>126</v>
      </c>
      <c r="C23" s="413">
        <f>+('DEP-C7'!D18+'DEP-C7'!D33+'DEP-C7'!D87)/1000</f>
        <v>580.4745904200005</v>
      </c>
      <c r="D23" s="413">
        <f>(+'DEP-C7'!E18+'DEP-C7'!E33+'DEP-C7'!E87)/1000</f>
        <v>2114.08845831</v>
      </c>
      <c r="E23" s="416">
        <f>+C23/$C$25</f>
        <v>0.06308089262083852</v>
      </c>
      <c r="G23" s="125" t="s">
        <v>79</v>
      </c>
      <c r="H23" s="235">
        <f>+'DEP-C3'!C30/1000</f>
        <v>279.66156849</v>
      </c>
      <c r="I23" s="235">
        <f>+'DEP-C3'!D30/1000</f>
        <v>1018.52743244</v>
      </c>
      <c r="J23" s="416">
        <f>+H23/$H$24</f>
        <v>0.03039116899040949</v>
      </c>
      <c r="L23" s="170"/>
    </row>
    <row r="24" spans="2:12" ht="19.5" customHeight="1">
      <c r="B24" s="125" t="s">
        <v>36</v>
      </c>
      <c r="C24" s="413">
        <f>+('DEP-C7'!D25+'DEP-C7'!D40+'DEP-C7'!D89)/1000</f>
        <v>492.85999849</v>
      </c>
      <c r="D24" s="413">
        <f>+('DEP-C7'!E25+'DEP-C7'!E40+'DEP-C7'!E89)/1000</f>
        <v>1794.9961145</v>
      </c>
      <c r="E24" s="416">
        <f>+C24/$C$25</f>
        <v>0.053559706410851206</v>
      </c>
      <c r="G24" s="126" t="s">
        <v>28</v>
      </c>
      <c r="H24" s="414">
        <f>SUM(H20:H23)</f>
        <v>9202.06684311</v>
      </c>
      <c r="I24" s="414">
        <f>SUM(I20:I23)</f>
        <v>33513.92744262</v>
      </c>
      <c r="J24" s="417">
        <f>SUM(J20:J23)</f>
        <v>1</v>
      </c>
      <c r="L24" s="202"/>
    </row>
    <row r="25" spans="2:5" ht="19.5" customHeight="1">
      <c r="B25" s="126" t="s">
        <v>28</v>
      </c>
      <c r="C25" s="414">
        <f>SUM(C20:C24)</f>
        <v>9202.06684311</v>
      </c>
      <c r="D25" s="414">
        <f>SUM(D20:D24)</f>
        <v>33513.92744262</v>
      </c>
      <c r="E25" s="417">
        <f>SUM(E20:E24)</f>
        <v>1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5"/>
      <c r="D27" s="276"/>
      <c r="E27" s="223"/>
      <c r="G27" s="225"/>
      <c r="H27" s="235"/>
    </row>
    <row r="28" spans="2:10" ht="19.5" customHeight="1">
      <c r="B28" s="535" t="s">
        <v>29</v>
      </c>
      <c r="C28" s="536"/>
      <c r="D28" s="536"/>
      <c r="E28" s="537"/>
      <c r="G28" s="535" t="s">
        <v>30</v>
      </c>
      <c r="H28" s="536"/>
      <c r="I28" s="536"/>
      <c r="J28" s="537"/>
    </row>
    <row r="29" spans="2:10" ht="19.5" customHeight="1">
      <c r="B29" s="124"/>
      <c r="C29" s="412" t="s">
        <v>77</v>
      </c>
      <c r="D29" s="412" t="str">
        <f>+D19</f>
        <v>Soles</v>
      </c>
      <c r="E29" s="420" t="s">
        <v>27</v>
      </c>
      <c r="G29" s="124"/>
      <c r="H29" s="122" t="s">
        <v>77</v>
      </c>
      <c r="I29" s="122" t="str">
        <f>+I19</f>
        <v>Soles</v>
      </c>
      <c r="J29" s="421" t="s">
        <v>27</v>
      </c>
    </row>
    <row r="30" spans="2:14" ht="19.5" customHeight="1">
      <c r="B30" s="125" t="s">
        <v>92</v>
      </c>
      <c r="C30" s="413">
        <f>(+'DEP-C2'!C15+'DEP-C2'!C19+'DEP-C2'!C43)/1000</f>
        <v>4006.39688679</v>
      </c>
      <c r="D30" s="413">
        <f>(+'DEP-C2'!D15+'DEP-C2'!D19+'DEP-C2'!D43)/1000</f>
        <v>14591.29746169</v>
      </c>
      <c r="E30" s="416">
        <f>+C30/$C$32</f>
        <v>0.43538011134854654</v>
      </c>
      <c r="G30" s="125" t="s">
        <v>80</v>
      </c>
      <c r="H30" s="413">
        <f>'DEP-C2'!C22/1000</f>
        <v>7957.54079514</v>
      </c>
      <c r="I30" s="413">
        <f>+'DEP-C2'!D22/1000</f>
        <v>28981.3635759</v>
      </c>
      <c r="J30" s="416">
        <f>+H30/$H$32</f>
        <v>0.8647558131028105</v>
      </c>
      <c r="N30" s="157"/>
    </row>
    <row r="31" spans="2:14" ht="19.5" customHeight="1">
      <c r="B31" s="125" t="s">
        <v>93</v>
      </c>
      <c r="C31" s="413">
        <f>(+'DEP-C2'!C16+'DEP-C2'!C20+'DEP-C2'!C40+'DEP-C2'!C44)/1000</f>
        <v>5195.66995632</v>
      </c>
      <c r="D31" s="413">
        <f>(+'DEP-C2'!D16+'DEP-C2'!D20+'DEP-C2'!D40+'DEP-C2'!D44)/1000</f>
        <v>18922.62998091674</v>
      </c>
      <c r="E31" s="416">
        <f>+C31/$C$32</f>
        <v>0.5646198886514534</v>
      </c>
      <c r="G31" s="125" t="s">
        <v>81</v>
      </c>
      <c r="H31" s="413">
        <f>+'DEP-C2'!C46/1000</f>
        <v>1244.52604797</v>
      </c>
      <c r="I31" s="413">
        <f>+'DEP-C2'!D46/1000</f>
        <v>4532.563866706741</v>
      </c>
      <c r="J31" s="416">
        <f>+H31/$H$32</f>
        <v>0.13524418689718956</v>
      </c>
      <c r="N31" s="158"/>
    </row>
    <row r="32" spans="2:14" ht="19.5" customHeight="1">
      <c r="B32" s="126" t="s">
        <v>28</v>
      </c>
      <c r="C32" s="414">
        <f>SUM(C30:C31)</f>
        <v>9202.06684311</v>
      </c>
      <c r="D32" s="414">
        <f>SUM(D30:D31)</f>
        <v>33513.92744260674</v>
      </c>
      <c r="E32" s="417">
        <f>SUM(E30:E31)</f>
        <v>1</v>
      </c>
      <c r="G32" s="126" t="s">
        <v>28</v>
      </c>
      <c r="H32" s="414">
        <f>SUM(H30:H31)</f>
        <v>9202.06684311</v>
      </c>
      <c r="I32" s="414">
        <f>SUM(I30:I31)</f>
        <v>33513.92744260674</v>
      </c>
      <c r="J32" s="417">
        <f>SUM(J30:J31)</f>
        <v>1</v>
      </c>
      <c r="N32" s="156"/>
    </row>
    <row r="33" ht="8.25" customHeight="1"/>
    <row r="34" spans="2:10" ht="15.75" customHeight="1">
      <c r="B34" s="236"/>
      <c r="C34" s="277"/>
      <c r="D34" s="278"/>
      <c r="E34" s="236"/>
      <c r="F34" s="236"/>
      <c r="G34" s="236"/>
      <c r="H34" s="278"/>
      <c r="I34" s="278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38"/>
      <c r="C37" s="539"/>
      <c r="D37" s="539"/>
      <c r="E37" s="539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3"/>
    </row>
    <row r="39" spans="2:6" s="77" customFormat="1" ht="15.75" customHeight="1">
      <c r="B39" s="86"/>
      <c r="C39" s="159"/>
      <c r="D39" s="86"/>
      <c r="E39" s="86"/>
      <c r="F39" s="253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527" t="s">
        <v>175</v>
      </c>
      <c r="C5" s="527"/>
      <c r="D5" s="527"/>
      <c r="E5" s="527"/>
      <c r="F5" s="527"/>
      <c r="G5" s="527"/>
      <c r="H5" s="527"/>
    </row>
    <row r="6" spans="2:8" s="4" customFormat="1" ht="19.5" customHeight="1">
      <c r="B6" s="540" t="s">
        <v>18</v>
      </c>
      <c r="C6" s="540"/>
      <c r="D6" s="540"/>
      <c r="E6" s="540"/>
      <c r="F6" s="540"/>
      <c r="G6" s="540"/>
      <c r="H6" s="540"/>
    </row>
    <row r="7" spans="2:8" s="4" customFormat="1" ht="18" customHeight="1">
      <c r="B7" s="528" t="str">
        <f>+Indice!B7</f>
        <v>AL 31 DE ENERO 2021</v>
      </c>
      <c r="C7" s="528"/>
      <c r="D7" s="528"/>
      <c r="E7" s="528"/>
      <c r="F7" s="528"/>
      <c r="G7" s="528"/>
      <c r="H7" s="528"/>
    </row>
    <row r="8" spans="2:9" s="4" customFormat="1" ht="24.75" customHeight="1">
      <c r="B8" s="263"/>
      <c r="C8" s="263"/>
      <c r="D8" s="263"/>
      <c r="E8" s="263"/>
      <c r="F8" s="263"/>
      <c r="G8" s="263"/>
      <c r="H8" s="263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42" t="str">
        <f>+Resumen!B11:E11</f>
        <v>TIPO DE DEUDA</v>
      </c>
      <c r="C10" s="542"/>
      <c r="D10" s="542"/>
      <c r="E10" s="90"/>
      <c r="F10" s="542" t="s">
        <v>31</v>
      </c>
      <c r="G10" s="542"/>
      <c r="H10" s="542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42" t="str">
        <f>+Resumen!B18:E18</f>
        <v>GRUPO DEL ACREEDOR</v>
      </c>
      <c r="C28" s="542"/>
      <c r="D28" s="542"/>
      <c r="F28" s="542" t="s">
        <v>62</v>
      </c>
      <c r="G28" s="542"/>
      <c r="H28" s="542"/>
    </row>
    <row r="48" spans="2:8" s="23" customFormat="1" ht="16.5">
      <c r="B48" s="542" t="s">
        <v>29</v>
      </c>
      <c r="C48" s="542"/>
      <c r="D48" s="542"/>
      <c r="F48" s="542" t="s">
        <v>30</v>
      </c>
      <c r="G48" s="542"/>
      <c r="H48" s="542"/>
    </row>
    <row r="66" spans="2:8" ht="30" customHeight="1">
      <c r="B66" s="545"/>
      <c r="C66" s="545"/>
      <c r="D66" s="545"/>
      <c r="E66" s="545"/>
      <c r="F66" s="545"/>
      <c r="G66" s="545"/>
      <c r="H66" s="545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43"/>
      <c r="C69" s="544"/>
      <c r="D69" s="544"/>
      <c r="E69" s="544"/>
      <c r="F69" s="51"/>
      <c r="G69" s="51"/>
      <c r="H69" s="51"/>
    </row>
    <row r="70" spans="2:8" ht="15.75" customHeight="1">
      <c r="B70" s="543"/>
      <c r="C70" s="544"/>
      <c r="D70" s="544"/>
      <c r="E70" s="544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6" width="12.7109375" style="9" customWidth="1"/>
    <col min="27" max="27" width="9.7109375" style="9" hidden="1" customWidth="1"/>
    <col min="28" max="37" width="9.140625" style="9" hidden="1" customWidth="1"/>
    <col min="38" max="223" width="11.421875" style="9" customWidth="1"/>
    <col min="224" max="224" width="25.7109375" style="9" customWidth="1"/>
    <col min="225" max="16384" width="15.7109375" style="9" customWidth="1"/>
  </cols>
  <sheetData>
    <row r="1" ht="12.75">
      <c r="B1" s="8"/>
    </row>
    <row r="2" spans="2:22" s="11" customFormat="1" ht="18">
      <c r="B2" s="580"/>
      <c r="C2" s="580"/>
      <c r="D2" s="580"/>
      <c r="E2" s="580"/>
      <c r="F2" s="580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80"/>
      <c r="C3" s="580"/>
      <c r="D3" s="580"/>
      <c r="E3" s="580"/>
      <c r="F3" s="580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6" t="s">
        <v>114</v>
      </c>
      <c r="C6" s="376"/>
      <c r="D6" s="376"/>
      <c r="E6" s="376"/>
      <c r="F6" s="376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22" t="s">
        <v>165</v>
      </c>
      <c r="C7" s="264"/>
      <c r="D7" s="264"/>
      <c r="E7" s="264"/>
      <c r="F7" s="264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70" t="s">
        <v>155</v>
      </c>
      <c r="C8" s="133"/>
      <c r="D8" s="264"/>
      <c r="E8" s="264"/>
      <c r="F8" s="264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6" t="s">
        <v>267</v>
      </c>
      <c r="C9" s="133"/>
      <c r="D9" s="264"/>
      <c r="E9" s="264"/>
      <c r="F9" s="264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11" t="s">
        <v>113</v>
      </c>
      <c r="C10" s="269"/>
      <c r="D10" s="264"/>
      <c r="E10" s="264"/>
      <c r="F10" s="264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1"/>
      <c r="C11" s="251"/>
      <c r="D11" s="251"/>
      <c r="E11" s="251"/>
      <c r="F11" s="172"/>
      <c r="G11" s="22"/>
    </row>
    <row r="12" spans="2:38" s="27" customFormat="1" ht="18" customHeight="1">
      <c r="B12" s="550" t="s">
        <v>141</v>
      </c>
      <c r="C12" s="552">
        <v>2009</v>
      </c>
      <c r="D12" s="583">
        <v>2010</v>
      </c>
      <c r="E12" s="581">
        <v>2011</v>
      </c>
      <c r="F12" s="552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52">
        <v>2013</v>
      </c>
      <c r="S12" s="552">
        <v>2014</v>
      </c>
      <c r="T12" s="576">
        <v>2015</v>
      </c>
      <c r="U12" s="560">
        <v>2016</v>
      </c>
      <c r="V12" s="578">
        <v>2017</v>
      </c>
      <c r="W12" s="546">
        <v>2018</v>
      </c>
      <c r="X12" s="546">
        <v>2019</v>
      </c>
      <c r="Y12" s="546">
        <v>2020</v>
      </c>
      <c r="Z12" s="573">
        <v>2021</v>
      </c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5"/>
      <c r="AL12" s="499"/>
    </row>
    <row r="13" spans="2:38" s="27" customFormat="1" ht="18" customHeight="1">
      <c r="B13" s="551"/>
      <c r="C13" s="553"/>
      <c r="D13" s="584"/>
      <c r="E13" s="582"/>
      <c r="F13" s="553"/>
      <c r="G13" s="107" t="s">
        <v>98</v>
      </c>
      <c r="H13" s="107" t="s">
        <v>99</v>
      </c>
      <c r="I13" s="108" t="s">
        <v>104</v>
      </c>
      <c r="J13" s="108" t="s">
        <v>106</v>
      </c>
      <c r="K13" s="108" t="s">
        <v>110</v>
      </c>
      <c r="L13" s="108" t="s">
        <v>123</v>
      </c>
      <c r="M13" s="108" t="s">
        <v>142</v>
      </c>
      <c r="N13" s="108" t="s">
        <v>144</v>
      </c>
      <c r="O13" s="108" t="s">
        <v>146</v>
      </c>
      <c r="P13" s="108" t="s">
        <v>149</v>
      </c>
      <c r="Q13" s="108" t="s">
        <v>151</v>
      </c>
      <c r="R13" s="553"/>
      <c r="S13" s="553"/>
      <c r="T13" s="577"/>
      <c r="U13" s="561"/>
      <c r="V13" s="579"/>
      <c r="W13" s="547"/>
      <c r="X13" s="547"/>
      <c r="Y13" s="547"/>
      <c r="Z13" s="498" t="s">
        <v>98</v>
      </c>
      <c r="AA13" s="430" t="s">
        <v>99</v>
      </c>
      <c r="AB13" s="434" t="s">
        <v>104</v>
      </c>
      <c r="AC13" s="436" t="s">
        <v>106</v>
      </c>
      <c r="AD13" s="441" t="s">
        <v>236</v>
      </c>
      <c r="AE13" s="434" t="s">
        <v>123</v>
      </c>
      <c r="AF13" s="443" t="s">
        <v>142</v>
      </c>
      <c r="AG13" s="452" t="s">
        <v>144</v>
      </c>
      <c r="AH13" s="456" t="s">
        <v>254</v>
      </c>
      <c r="AI13" s="486" t="s">
        <v>149</v>
      </c>
      <c r="AJ13" s="443" t="s">
        <v>151</v>
      </c>
      <c r="AK13" s="485" t="s">
        <v>173</v>
      </c>
      <c r="AL13" s="499"/>
    </row>
    <row r="14" spans="2:38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01"/>
      <c r="U14" s="404"/>
      <c r="V14" s="453"/>
      <c r="W14" s="487"/>
      <c r="X14" s="487"/>
      <c r="Y14" s="444"/>
      <c r="Z14" s="404"/>
      <c r="AA14" s="431"/>
      <c r="AB14" s="182"/>
      <c r="AC14" s="431"/>
      <c r="AD14" s="442"/>
      <c r="AE14" s="182"/>
      <c r="AF14" s="444"/>
      <c r="AG14" s="453"/>
      <c r="AH14" s="405"/>
      <c r="AI14" s="487"/>
      <c r="AJ14" s="444"/>
      <c r="AK14" s="444"/>
      <c r="AL14" s="499"/>
    </row>
    <row r="15" spans="2:39" s="25" customFormat="1" ht="21.75" customHeight="1">
      <c r="B15" s="178" t="s">
        <v>34</v>
      </c>
      <c r="C15" s="492">
        <v>1389</v>
      </c>
      <c r="D15" s="492">
        <v>2144</v>
      </c>
      <c r="E15" s="490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2">
        <v>2258.8960634599985</v>
      </c>
      <c r="U15" s="406">
        <v>2931.5247573100005</v>
      </c>
      <c r="V15" s="432">
        <v>2816.8010528699997</v>
      </c>
      <c r="W15" s="488">
        <v>2585.67327702</v>
      </c>
      <c r="X15" s="488">
        <v>2512.4269972</v>
      </c>
      <c r="Y15" s="445">
        <v>2847.266591940001</v>
      </c>
      <c r="Z15" s="406">
        <v>2669.7649879099995</v>
      </c>
      <c r="AA15" s="432">
        <v>0</v>
      </c>
      <c r="AB15" s="33">
        <v>0</v>
      </c>
      <c r="AC15" s="432">
        <v>0</v>
      </c>
      <c r="AD15" s="402">
        <v>0</v>
      </c>
      <c r="AE15" s="33">
        <v>0</v>
      </c>
      <c r="AF15" s="512">
        <v>0</v>
      </c>
      <c r="AG15" s="454">
        <v>0</v>
      </c>
      <c r="AH15" s="407">
        <v>0</v>
      </c>
      <c r="AI15" s="488">
        <v>0</v>
      </c>
      <c r="AJ15" s="445">
        <v>0</v>
      </c>
      <c r="AK15" s="445">
        <v>0</v>
      </c>
      <c r="AL15" s="500"/>
      <c r="AM15" s="467"/>
    </row>
    <row r="16" spans="2:39" s="25" customFormat="1" ht="21.75" customHeight="1">
      <c r="B16" s="178" t="s">
        <v>33</v>
      </c>
      <c r="C16" s="492">
        <v>256</v>
      </c>
      <c r="D16" s="492">
        <v>389</v>
      </c>
      <c r="E16" s="490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2">
        <v>4201.51382237</v>
      </c>
      <c r="U16" s="406">
        <v>4539.076503679999</v>
      </c>
      <c r="V16" s="432">
        <v>5985.46242653</v>
      </c>
      <c r="W16" s="488">
        <v>7233.929935290001</v>
      </c>
      <c r="X16" s="488">
        <v>6012.22120457</v>
      </c>
      <c r="Y16" s="445">
        <v>6614.97187366</v>
      </c>
      <c r="Z16" s="406">
        <v>6532.3018552</v>
      </c>
      <c r="AA16" s="432">
        <v>0</v>
      </c>
      <c r="AB16" s="33">
        <v>0</v>
      </c>
      <c r="AC16" s="432">
        <v>0</v>
      </c>
      <c r="AD16" s="402">
        <v>0</v>
      </c>
      <c r="AE16" s="33">
        <v>0</v>
      </c>
      <c r="AF16" s="445">
        <v>0</v>
      </c>
      <c r="AG16" s="454">
        <v>0</v>
      </c>
      <c r="AH16" s="407">
        <v>0</v>
      </c>
      <c r="AI16" s="488">
        <v>0</v>
      </c>
      <c r="AJ16" s="445">
        <v>0</v>
      </c>
      <c r="AK16" s="445">
        <v>0</v>
      </c>
      <c r="AL16" s="501"/>
      <c r="AM16" s="467"/>
    </row>
    <row r="17" spans="2:38" s="25" customFormat="1" ht="6" customHeight="1">
      <c r="B17" s="179"/>
      <c r="C17" s="493"/>
      <c r="D17" s="493"/>
      <c r="E17" s="491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3"/>
      <c r="U17" s="408"/>
      <c r="V17" s="455"/>
      <c r="W17" s="489"/>
      <c r="X17" s="489"/>
      <c r="Y17" s="446"/>
      <c r="Z17" s="408"/>
      <c r="AA17" s="433"/>
      <c r="AB17" s="35"/>
      <c r="AC17" s="433"/>
      <c r="AD17" s="403"/>
      <c r="AE17" s="35"/>
      <c r="AF17" s="446"/>
      <c r="AG17" s="455"/>
      <c r="AH17" s="409"/>
      <c r="AI17" s="489"/>
      <c r="AJ17" s="446"/>
      <c r="AK17" s="446"/>
      <c r="AL17" s="500"/>
    </row>
    <row r="18" spans="2:38" s="27" customFormat="1" ht="15" customHeight="1">
      <c r="B18" s="565" t="s">
        <v>100</v>
      </c>
      <c r="C18" s="567">
        <f aca="true" t="shared" si="0" ref="C18:H18">SUM(C15:C16)</f>
        <v>1645</v>
      </c>
      <c r="D18" s="567">
        <f t="shared" si="0"/>
        <v>2533</v>
      </c>
      <c r="E18" s="558">
        <f t="shared" si="0"/>
        <v>2778</v>
      </c>
      <c r="F18" s="567">
        <f t="shared" si="0"/>
        <v>3231.62940566</v>
      </c>
      <c r="G18" s="569">
        <f t="shared" si="0"/>
        <v>3978.2822575499995</v>
      </c>
      <c r="H18" s="569">
        <f t="shared" si="0"/>
        <v>4283.16118678</v>
      </c>
      <c r="I18" s="556">
        <f aca="true" t="shared" si="1" ref="I18:N18">SUM(I15:I16)</f>
        <v>4271.37034379</v>
      </c>
      <c r="J18" s="556">
        <f t="shared" si="1"/>
        <v>3622.58121752</v>
      </c>
      <c r="K18" s="556">
        <f t="shared" si="1"/>
        <v>3177.2183911999996</v>
      </c>
      <c r="L18" s="556">
        <f t="shared" si="1"/>
        <v>3224.1298934800006</v>
      </c>
      <c r="M18" s="556">
        <f t="shared" si="1"/>
        <v>3273.10540427</v>
      </c>
      <c r="N18" s="556">
        <f t="shared" si="1"/>
        <v>3382.31552197</v>
      </c>
      <c r="O18" s="556">
        <f>+O15+O16</f>
        <v>3510.4566990000008</v>
      </c>
      <c r="P18" s="556">
        <f>+P15+P16</f>
        <v>3663.6902058299997</v>
      </c>
      <c r="Q18" s="556">
        <f>+Q15+Q16</f>
        <v>3934.70126796</v>
      </c>
      <c r="R18" s="556">
        <f>+R15+R16</f>
        <v>4098.53643417</v>
      </c>
      <c r="S18" s="556">
        <f>+S15+S16</f>
        <v>5844.665124709998</v>
      </c>
      <c r="T18" s="562">
        <f aca="true" t="shared" si="2" ref="T18:AD18">+T16+T15</f>
        <v>6460.4098858299985</v>
      </c>
      <c r="U18" s="571">
        <f>+U16+U15</f>
        <v>7470.60126099</v>
      </c>
      <c r="V18" s="562">
        <f>+V16+V15</f>
        <v>8802.2634794</v>
      </c>
      <c r="W18" s="548">
        <f>+W16+W15</f>
        <v>9819.603212310001</v>
      </c>
      <c r="X18" s="548">
        <f>+X16+X15</f>
        <v>8524.64820177</v>
      </c>
      <c r="Y18" s="554">
        <f>+Y16+Y15</f>
        <v>9462.238465600001</v>
      </c>
      <c r="Z18" s="548">
        <f t="shared" si="2"/>
        <v>9202.06684311</v>
      </c>
      <c r="AA18" s="558">
        <f t="shared" si="2"/>
        <v>0</v>
      </c>
      <c r="AB18" s="571">
        <f t="shared" si="2"/>
        <v>0</v>
      </c>
      <c r="AC18" s="558">
        <f t="shared" si="2"/>
        <v>0</v>
      </c>
      <c r="AD18" s="562">
        <f t="shared" si="2"/>
        <v>0</v>
      </c>
      <c r="AE18" s="571">
        <f aca="true" t="shared" si="3" ref="AE18:AJ18">+AE16+AE15</f>
        <v>0</v>
      </c>
      <c r="AF18" s="554">
        <f t="shared" si="3"/>
        <v>0</v>
      </c>
      <c r="AG18" s="562">
        <f t="shared" si="3"/>
        <v>0</v>
      </c>
      <c r="AH18" s="556">
        <f t="shared" si="3"/>
        <v>0</v>
      </c>
      <c r="AI18" s="548">
        <f t="shared" si="3"/>
        <v>0</v>
      </c>
      <c r="AJ18" s="554">
        <f t="shared" si="3"/>
        <v>0</v>
      </c>
      <c r="AK18" s="554">
        <f>+AK16+AK15</f>
        <v>0</v>
      </c>
      <c r="AL18" s="499"/>
    </row>
    <row r="19" spans="2:39" s="27" customFormat="1" ht="15" customHeight="1">
      <c r="B19" s="566"/>
      <c r="C19" s="568"/>
      <c r="D19" s="568"/>
      <c r="E19" s="559"/>
      <c r="F19" s="568"/>
      <c r="G19" s="570"/>
      <c r="H19" s="570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63"/>
      <c r="U19" s="572"/>
      <c r="V19" s="563"/>
      <c r="W19" s="549"/>
      <c r="X19" s="549"/>
      <c r="Y19" s="555"/>
      <c r="Z19" s="549"/>
      <c r="AA19" s="559"/>
      <c r="AB19" s="572"/>
      <c r="AC19" s="559"/>
      <c r="AD19" s="563"/>
      <c r="AE19" s="572"/>
      <c r="AF19" s="555"/>
      <c r="AG19" s="563"/>
      <c r="AH19" s="557"/>
      <c r="AI19" s="549"/>
      <c r="AJ19" s="555"/>
      <c r="AK19" s="555"/>
      <c r="AL19" s="499"/>
      <c r="AM19" s="467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7" s="25" customFormat="1" ht="28.5" customHeight="1">
      <c r="B22" s="564"/>
      <c r="C22" s="564"/>
      <c r="D22" s="564"/>
      <c r="E22" s="564"/>
      <c r="F22" s="564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203"/>
      <c r="Z22" s="188"/>
      <c r="AA22" s="188"/>
      <c r="AB22" s="188"/>
      <c r="AC22" s="203"/>
      <c r="AD22" s="203"/>
      <c r="AE22" s="203"/>
      <c r="AF22" s="203"/>
      <c r="AG22" s="203"/>
      <c r="AH22" s="203"/>
      <c r="AI22" s="203"/>
      <c r="AJ22" s="203"/>
      <c r="AK22" s="203"/>
    </row>
    <row r="23" spans="2:37" s="25" customFormat="1" ht="28.5" customHeight="1">
      <c r="B23" s="564"/>
      <c r="C23" s="564"/>
      <c r="D23" s="564"/>
      <c r="E23" s="564"/>
      <c r="F23" s="564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509"/>
      <c r="AF23" s="203"/>
      <c r="AG23" s="511"/>
      <c r="AK23" s="509"/>
    </row>
    <row r="24" spans="2:32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54"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AF18:AF19"/>
    <mergeCell ref="Z12:AK12"/>
    <mergeCell ref="AD18:AD19"/>
    <mergeCell ref="Z18:Z19"/>
    <mergeCell ref="T12:T13"/>
    <mergeCell ref="AE18:AE19"/>
    <mergeCell ref="X12:X13"/>
    <mergeCell ref="X18:X19"/>
    <mergeCell ref="V12:V13"/>
    <mergeCell ref="V18:V19"/>
    <mergeCell ref="AB18:AB19"/>
    <mergeCell ref="AJ18:AJ19"/>
    <mergeCell ref="AI18:AI19"/>
    <mergeCell ref="H18:H19"/>
    <mergeCell ref="I18:I19"/>
    <mergeCell ref="Q18:Q19"/>
    <mergeCell ref="R18:R19"/>
    <mergeCell ref="AC18:AC19"/>
    <mergeCell ref="T18:T19"/>
    <mergeCell ref="AH18:AH19"/>
    <mergeCell ref="B23:F23"/>
    <mergeCell ref="B18:B19"/>
    <mergeCell ref="C18:C19"/>
    <mergeCell ref="D18:D19"/>
    <mergeCell ref="E18:E19"/>
    <mergeCell ref="G18:G19"/>
    <mergeCell ref="B22:F22"/>
    <mergeCell ref="F18:F19"/>
    <mergeCell ref="AK18:AK19"/>
    <mergeCell ref="J18:J19"/>
    <mergeCell ref="S18:S19"/>
    <mergeCell ref="N18:N19"/>
    <mergeCell ref="S12:S13"/>
    <mergeCell ref="K18:K19"/>
    <mergeCell ref="AA18:AA19"/>
    <mergeCell ref="U12:U13"/>
    <mergeCell ref="M18:M19"/>
    <mergeCell ref="AG18:AG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8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6"/>
    </row>
    <row r="2" spans="2:14" s="1" customFormat="1" ht="13.5" customHeight="1">
      <c r="B2" s="580"/>
      <c r="C2" s="580"/>
      <c r="D2" s="580"/>
      <c r="E2" s="171"/>
      <c r="F2" s="356"/>
      <c r="G2" s="171"/>
      <c r="H2" s="171"/>
      <c r="I2" s="171"/>
      <c r="J2" s="171"/>
      <c r="M2" s="227"/>
      <c r="N2" s="227"/>
    </row>
    <row r="3" spans="2:14" s="1" customFormat="1" ht="13.5" customHeight="1">
      <c r="B3" s="580"/>
      <c r="C3" s="580"/>
      <c r="D3" s="580"/>
      <c r="E3" s="171"/>
      <c r="F3" s="356"/>
      <c r="G3" s="171"/>
      <c r="H3" s="171"/>
      <c r="I3" s="171"/>
      <c r="J3" s="171"/>
      <c r="M3" s="227"/>
      <c r="N3" s="227"/>
    </row>
    <row r="4" spans="2:14" s="1" customFormat="1" ht="18">
      <c r="B4" s="580"/>
      <c r="C4" s="580"/>
      <c r="D4" s="580"/>
      <c r="E4" s="171"/>
      <c r="F4" s="356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6"/>
      <c r="H5" s="171"/>
      <c r="I5" s="280"/>
      <c r="J5" s="171"/>
      <c r="M5" s="228"/>
      <c r="N5" s="228"/>
    </row>
    <row r="6" spans="2:7" ht="18">
      <c r="B6" s="321" t="s">
        <v>136</v>
      </c>
      <c r="C6" s="321"/>
      <c r="D6" s="321"/>
      <c r="F6" s="356"/>
      <c r="G6" s="279"/>
    </row>
    <row r="7" spans="2:7" ht="18">
      <c r="B7" s="321" t="s">
        <v>135</v>
      </c>
      <c r="C7" s="321"/>
      <c r="D7" s="321"/>
      <c r="F7" s="356"/>
      <c r="G7" s="281"/>
    </row>
    <row r="8" spans="2:6" ht="15.75">
      <c r="B8" s="184" t="s">
        <v>153</v>
      </c>
      <c r="C8" s="184"/>
      <c r="D8" s="184"/>
      <c r="F8" s="356"/>
    </row>
    <row r="9" spans="2:14" s="3" customFormat="1" ht="15.75">
      <c r="B9" s="133" t="s">
        <v>268</v>
      </c>
      <c r="C9" s="269"/>
      <c r="D9" s="137"/>
      <c r="E9" s="320">
        <f>+Portada!H39</f>
        <v>3.642</v>
      </c>
      <c r="F9" s="141"/>
      <c r="G9" s="282"/>
      <c r="H9" s="283"/>
      <c r="I9" s="204"/>
      <c r="J9" s="204"/>
      <c r="M9" s="230"/>
      <c r="N9" s="230"/>
    </row>
    <row r="10" spans="2:6" ht="9.75" customHeight="1">
      <c r="B10" s="184"/>
      <c r="C10" s="184"/>
      <c r="D10" s="184"/>
      <c r="F10" s="356"/>
    </row>
    <row r="11" spans="2:12" ht="18.75" customHeight="1">
      <c r="B11" s="589" t="s">
        <v>156</v>
      </c>
      <c r="C11" s="585" t="s">
        <v>87</v>
      </c>
      <c r="D11" s="585" t="s">
        <v>164</v>
      </c>
      <c r="E11" s="322"/>
      <c r="F11" s="330"/>
      <c r="G11" s="322"/>
      <c r="H11" s="322"/>
      <c r="I11" s="322"/>
      <c r="J11" s="322"/>
      <c r="K11" s="323"/>
      <c r="L11" s="323"/>
    </row>
    <row r="12" spans="2:12" ht="18.75" customHeight="1">
      <c r="B12" s="590"/>
      <c r="C12" s="586"/>
      <c r="D12" s="586"/>
      <c r="E12" s="322"/>
      <c r="F12" s="330"/>
      <c r="G12" s="322"/>
      <c r="H12" s="322"/>
      <c r="I12" s="322"/>
      <c r="J12" s="322"/>
      <c r="K12" s="323"/>
      <c r="L12" s="323"/>
    </row>
    <row r="13" spans="2:14" s="16" customFormat="1" ht="9.75" customHeight="1">
      <c r="B13" s="255"/>
      <c r="C13" s="173"/>
      <c r="D13" s="174"/>
      <c r="E13" s="322"/>
      <c r="F13" s="357"/>
      <c r="G13" s="324"/>
      <c r="H13" s="324"/>
      <c r="I13" s="324"/>
      <c r="J13" s="322"/>
      <c r="K13" s="324"/>
      <c r="L13" s="324"/>
      <c r="M13" s="231"/>
      <c r="N13" s="231"/>
    </row>
    <row r="14" spans="2:14" s="13" customFormat="1" ht="19.5" customHeight="1">
      <c r="B14" s="67" t="s">
        <v>19</v>
      </c>
      <c r="C14" s="471">
        <f>SUM(C15:C16)</f>
        <v>1789238.93994</v>
      </c>
      <c r="D14" s="469">
        <f>SUM(D15:D16)</f>
        <v>6516408.21926</v>
      </c>
      <c r="E14" s="322"/>
      <c r="F14" s="502"/>
      <c r="G14" s="325"/>
      <c r="H14" s="325"/>
      <c r="I14" s="325"/>
      <c r="J14" s="322"/>
      <c r="K14" s="322"/>
      <c r="L14" s="322"/>
      <c r="M14" s="226"/>
      <c r="N14" s="226"/>
    </row>
    <row r="15" spans="2:14" s="13" customFormat="1" ht="16.5" customHeight="1">
      <c r="B15" s="68" t="s">
        <v>25</v>
      </c>
      <c r="C15" s="470">
        <v>1114922.99431</v>
      </c>
      <c r="D15" s="470">
        <f>ROUND(+C15*$E$9,5)</f>
        <v>4060549.54528</v>
      </c>
      <c r="E15" s="326"/>
      <c r="F15" s="466"/>
      <c r="G15" s="325"/>
      <c r="H15" s="325"/>
      <c r="I15" s="325"/>
      <c r="J15" s="322"/>
      <c r="K15" s="326"/>
      <c r="L15" s="327"/>
      <c r="M15" s="233"/>
      <c r="N15" s="226"/>
    </row>
    <row r="16" spans="2:14" s="13" customFormat="1" ht="16.5" customHeight="1">
      <c r="B16" s="68" t="s">
        <v>24</v>
      </c>
      <c r="C16" s="470">
        <v>674315.94563</v>
      </c>
      <c r="D16" s="470">
        <f>ROUND(+C16*$E$9,5)</f>
        <v>2455858.67398</v>
      </c>
      <c r="E16" s="326"/>
      <c r="F16" s="466"/>
      <c r="G16" s="325"/>
      <c r="H16" s="325"/>
      <c r="I16" s="325"/>
      <c r="J16" s="322"/>
      <c r="K16" s="322"/>
      <c r="L16" s="327"/>
      <c r="M16" s="233"/>
      <c r="N16" s="226"/>
    </row>
    <row r="17" spans="2:14" s="13" customFormat="1" ht="15" customHeight="1">
      <c r="B17" s="15"/>
      <c r="C17" s="472"/>
      <c r="D17" s="470"/>
      <c r="E17" s="322"/>
      <c r="F17" s="437"/>
      <c r="G17" s="325"/>
      <c r="H17" s="325"/>
      <c r="I17" s="325"/>
      <c r="J17" s="322"/>
      <c r="K17" s="326"/>
      <c r="L17" s="327"/>
      <c r="M17" s="233"/>
      <c r="N17" s="226"/>
    </row>
    <row r="18" spans="2:14" s="13" customFormat="1" ht="19.5" customHeight="1">
      <c r="B18" s="18" t="s">
        <v>20</v>
      </c>
      <c r="C18" s="471">
        <f>SUM(C19:C20)</f>
        <v>6168301.8552</v>
      </c>
      <c r="D18" s="469">
        <f>SUM(D19:D20)</f>
        <v>22464955.35664</v>
      </c>
      <c r="E18" s="322"/>
      <c r="F18" s="502"/>
      <c r="G18" s="325"/>
      <c r="H18" s="325"/>
      <c r="I18" s="325"/>
      <c r="J18" s="322"/>
      <c r="K18" s="322"/>
      <c r="L18" s="326"/>
      <c r="M18" s="226"/>
      <c r="N18" s="226"/>
    </row>
    <row r="19" spans="2:14" s="13" customFormat="1" ht="16.5" customHeight="1">
      <c r="B19" s="15" t="s">
        <v>25</v>
      </c>
      <c r="C19" s="470">
        <v>2891473.89248</v>
      </c>
      <c r="D19" s="470">
        <f>ROUND(+C19*$E$9,5)</f>
        <v>10530747.91641</v>
      </c>
      <c r="E19" s="322"/>
      <c r="F19" s="359"/>
      <c r="G19" s="325"/>
      <c r="H19" s="325"/>
      <c r="I19" s="325"/>
      <c r="J19" s="322"/>
      <c r="K19" s="326"/>
      <c r="L19" s="327"/>
      <c r="M19" s="233"/>
      <c r="N19" s="226"/>
    </row>
    <row r="20" spans="2:14" s="13" customFormat="1" ht="16.5" customHeight="1">
      <c r="B20" s="15" t="s">
        <v>111</v>
      </c>
      <c r="C20" s="470">
        <v>3276827.96272</v>
      </c>
      <c r="D20" s="470">
        <f>ROUND(+C20*$E$9,5)</f>
        <v>11934207.44023</v>
      </c>
      <c r="E20" s="322"/>
      <c r="F20" s="360"/>
      <c r="G20" s="325"/>
      <c r="H20" s="325"/>
      <c r="I20" s="325"/>
      <c r="J20" s="322"/>
      <c r="K20" s="326"/>
      <c r="L20" s="327"/>
      <c r="M20" s="233"/>
      <c r="N20" s="226"/>
    </row>
    <row r="21" spans="2:14" s="13" customFormat="1" ht="9.75" customHeight="1">
      <c r="B21" s="15"/>
      <c r="C21" s="472"/>
      <c r="D21" s="470"/>
      <c r="E21" s="322"/>
      <c r="F21" s="361"/>
      <c r="G21" s="325"/>
      <c r="H21" s="325"/>
      <c r="I21" s="325"/>
      <c r="J21" s="322"/>
      <c r="K21" s="326"/>
      <c r="L21" s="326"/>
      <c r="M21" s="226"/>
      <c r="N21" s="226"/>
    </row>
    <row r="22" spans="2:14" s="13" customFormat="1" ht="15" customHeight="1">
      <c r="B22" s="591" t="s">
        <v>61</v>
      </c>
      <c r="C22" s="587">
        <f>+C18+C14</f>
        <v>7957540.79514</v>
      </c>
      <c r="D22" s="587">
        <f>+D18+D14</f>
        <v>28981363.5759</v>
      </c>
      <c r="E22" s="322"/>
      <c r="F22" s="358"/>
      <c r="G22" s="325"/>
      <c r="H22" s="325"/>
      <c r="I22" s="325"/>
      <c r="J22" s="322"/>
      <c r="K22" s="322"/>
      <c r="L22" s="322"/>
      <c r="M22" s="226"/>
      <c r="N22" s="226"/>
    </row>
    <row r="23" spans="2:14" s="16" customFormat="1" ht="15" customHeight="1">
      <c r="B23" s="592"/>
      <c r="C23" s="588"/>
      <c r="D23" s="588"/>
      <c r="E23" s="322"/>
      <c r="F23" s="361"/>
      <c r="G23" s="325"/>
      <c r="H23" s="324"/>
      <c r="I23" s="324"/>
      <c r="J23" s="322"/>
      <c r="K23" s="322"/>
      <c r="L23" s="328"/>
      <c r="M23" s="234"/>
      <c r="N23" s="226"/>
    </row>
    <row r="24" spans="2:14" ht="14.25">
      <c r="B24" s="337"/>
      <c r="C24" s="465"/>
      <c r="D24" s="323"/>
      <c r="E24" s="322"/>
      <c r="F24" s="361"/>
      <c r="G24" s="325"/>
      <c r="H24" s="322"/>
      <c r="I24" s="322"/>
      <c r="J24" s="322"/>
      <c r="K24" s="329"/>
      <c r="L24" s="329"/>
      <c r="M24" s="226"/>
      <c r="N24" s="226"/>
    </row>
    <row r="25" spans="2:14" ht="14.25">
      <c r="B25" s="338"/>
      <c r="C25" s="205"/>
      <c r="D25" s="339"/>
      <c r="E25" s="330"/>
      <c r="F25" s="362"/>
      <c r="G25" s="325"/>
      <c r="H25" s="322"/>
      <c r="I25" s="322"/>
      <c r="J25" s="322"/>
      <c r="K25" s="322"/>
      <c r="L25" s="331"/>
      <c r="M25" s="226"/>
      <c r="N25" s="226"/>
    </row>
    <row r="26" spans="2:14" ht="14.25">
      <c r="B26" s="337"/>
      <c r="D26" s="340"/>
      <c r="E26" s="322"/>
      <c r="F26" s="362"/>
      <c r="G26" s="325"/>
      <c r="H26" s="322"/>
      <c r="I26" s="322"/>
      <c r="J26" s="322"/>
      <c r="K26" s="330"/>
      <c r="L26" s="326"/>
      <c r="M26" s="232"/>
      <c r="N26" s="226"/>
    </row>
    <row r="27" spans="2:14" ht="14.25">
      <c r="B27" s="323"/>
      <c r="D27" s="341"/>
      <c r="E27" s="322"/>
      <c r="F27" s="362"/>
      <c r="G27" s="325"/>
      <c r="H27" s="322"/>
      <c r="I27" s="322"/>
      <c r="J27" s="322"/>
      <c r="K27" s="322"/>
      <c r="L27" s="326"/>
      <c r="M27" s="226"/>
      <c r="N27" s="226"/>
    </row>
    <row r="28" spans="2:14" ht="14.25">
      <c r="B28" s="323"/>
      <c r="C28" s="342"/>
      <c r="D28" s="342"/>
      <c r="E28" s="322"/>
      <c r="F28" s="361"/>
      <c r="G28" s="325"/>
      <c r="H28" s="322"/>
      <c r="I28" s="322"/>
      <c r="J28" s="322"/>
      <c r="K28" s="322"/>
      <c r="L28" s="332"/>
      <c r="M28" s="229"/>
      <c r="N28" s="226"/>
    </row>
    <row r="29" spans="2:14" s="1" customFormat="1" ht="18">
      <c r="B29" s="129" t="s">
        <v>116</v>
      </c>
      <c r="C29" s="129"/>
      <c r="D29" s="129"/>
      <c r="E29" s="322"/>
      <c r="F29" s="361"/>
      <c r="G29" s="325"/>
      <c r="H29" s="333"/>
      <c r="I29" s="333"/>
      <c r="J29" s="322"/>
      <c r="K29" s="322"/>
      <c r="L29" s="322"/>
      <c r="M29" s="226"/>
      <c r="N29" s="226"/>
    </row>
    <row r="30" spans="2:14" s="1" customFormat="1" ht="18">
      <c r="B30" s="321" t="s">
        <v>136</v>
      </c>
      <c r="C30" s="321"/>
      <c r="D30" s="321"/>
      <c r="E30" s="322"/>
      <c r="F30" s="361"/>
      <c r="G30" s="325"/>
      <c r="H30" s="333"/>
      <c r="I30" s="333"/>
      <c r="J30" s="322"/>
      <c r="K30" s="322"/>
      <c r="L30" s="326"/>
      <c r="M30" s="232"/>
      <c r="N30" s="226"/>
    </row>
    <row r="31" spans="2:14" s="1" customFormat="1" ht="18">
      <c r="B31" s="321" t="s">
        <v>137</v>
      </c>
      <c r="C31" s="321"/>
      <c r="D31" s="321"/>
      <c r="E31" s="322"/>
      <c r="F31" s="361"/>
      <c r="G31" s="325"/>
      <c r="H31" s="333"/>
      <c r="I31" s="333"/>
      <c r="J31" s="322"/>
      <c r="K31" s="322"/>
      <c r="L31" s="322"/>
      <c r="M31" s="226"/>
      <c r="N31" s="226"/>
    </row>
    <row r="32" spans="2:14" s="1" customFormat="1" ht="18">
      <c r="B32" s="184" t="s">
        <v>153</v>
      </c>
      <c r="C32" s="184"/>
      <c r="D32" s="184"/>
      <c r="E32" s="322"/>
      <c r="F32" s="361"/>
      <c r="G32" s="325"/>
      <c r="H32" s="322"/>
      <c r="I32" s="322"/>
      <c r="J32" s="322"/>
      <c r="K32" s="322"/>
      <c r="L32" s="322"/>
      <c r="M32" s="226"/>
      <c r="N32" s="226"/>
    </row>
    <row r="33" spans="2:14" s="3" customFormat="1" ht="15.75">
      <c r="B33" s="256" t="str">
        <f>+B9</f>
        <v>Al 31 de enero de 2021</v>
      </c>
      <c r="C33" s="256"/>
      <c r="D33" s="137"/>
      <c r="E33" s="334"/>
      <c r="F33" s="361"/>
      <c r="G33" s="325"/>
      <c r="H33" s="335"/>
      <c r="I33" s="334"/>
      <c r="J33" s="334"/>
      <c r="K33" s="336"/>
      <c r="L33" s="336"/>
      <c r="M33" s="230"/>
      <c r="N33" s="230"/>
    </row>
    <row r="34" spans="2:14" s="3" customFormat="1" ht="9.75" customHeight="1">
      <c r="B34" s="14"/>
      <c r="C34" s="256"/>
      <c r="D34" s="12"/>
      <c r="E34" s="334"/>
      <c r="F34" s="361"/>
      <c r="G34" s="325"/>
      <c r="H34" s="334"/>
      <c r="I34" s="334"/>
      <c r="J34" s="334"/>
      <c r="K34" s="336"/>
      <c r="L34" s="336"/>
      <c r="M34" s="230"/>
      <c r="N34" s="230"/>
    </row>
    <row r="35" spans="2:12" ht="18.75" customHeight="1">
      <c r="B35" s="589" t="s">
        <v>156</v>
      </c>
      <c r="C35" s="585" t="s">
        <v>87</v>
      </c>
      <c r="D35" s="585" t="s">
        <v>164</v>
      </c>
      <c r="E35" s="322"/>
      <c r="F35" s="361"/>
      <c r="G35" s="325"/>
      <c r="H35" s="322"/>
      <c r="I35" s="322"/>
      <c r="J35" s="322"/>
      <c r="K35" s="323"/>
      <c r="L35" s="323"/>
    </row>
    <row r="36" spans="2:14" s="16" customFormat="1" ht="18.75" customHeight="1">
      <c r="B36" s="590"/>
      <c r="C36" s="586"/>
      <c r="D36" s="586"/>
      <c r="E36" s="322"/>
      <c r="F36" s="361"/>
      <c r="G36" s="325"/>
      <c r="H36" s="322"/>
      <c r="I36" s="322"/>
      <c r="J36" s="322"/>
      <c r="K36" s="324"/>
      <c r="L36" s="324"/>
      <c r="M36" s="231"/>
      <c r="N36" s="231"/>
    </row>
    <row r="37" spans="2:14" s="16" customFormat="1" ht="9.75" customHeight="1">
      <c r="B37" s="17"/>
      <c r="C37" s="260"/>
      <c r="D37" s="19"/>
      <c r="E37" s="322"/>
      <c r="F37" s="361"/>
      <c r="G37" s="325"/>
      <c r="H37" s="322"/>
      <c r="I37" s="322"/>
      <c r="J37" s="322"/>
      <c r="K37" s="324"/>
      <c r="L37" s="324"/>
      <c r="M37" s="231"/>
      <c r="N37" s="231"/>
    </row>
    <row r="38" spans="2:14" s="13" customFormat="1" ht="19.5" customHeight="1">
      <c r="B38" s="18" t="s">
        <v>147</v>
      </c>
      <c r="C38" s="471">
        <f>SUM(C39:C40)</f>
        <v>880526.04797</v>
      </c>
      <c r="D38" s="469">
        <f>SUM(D39:D40)</f>
        <v>3206875.8667067396</v>
      </c>
      <c r="E38" s="322"/>
      <c r="F38" s="358"/>
      <c r="G38" s="325"/>
      <c r="H38" s="322"/>
      <c r="I38" s="322"/>
      <c r="J38" s="322"/>
      <c r="K38" s="325"/>
      <c r="L38" s="325"/>
      <c r="M38" s="228"/>
      <c r="N38" s="228"/>
    </row>
    <row r="39" spans="2:14" s="13" customFormat="1" ht="16.5" customHeight="1">
      <c r="B39" s="15" t="s">
        <v>25</v>
      </c>
      <c r="C39" s="472">
        <v>0</v>
      </c>
      <c r="D39" s="470">
        <f>+C39*$E$9</f>
        <v>0</v>
      </c>
      <c r="E39" s="322"/>
      <c r="F39" s="360"/>
      <c r="G39" s="325"/>
      <c r="H39" s="322"/>
      <c r="I39" s="322"/>
      <c r="J39" s="322"/>
      <c r="K39" s="325"/>
      <c r="L39" s="325"/>
      <c r="M39" s="228"/>
      <c r="N39" s="228"/>
    </row>
    <row r="40" spans="2:14" s="13" customFormat="1" ht="16.5" customHeight="1">
      <c r="B40" s="15" t="s">
        <v>24</v>
      </c>
      <c r="C40" s="472">
        <v>880526.04797</v>
      </c>
      <c r="D40" s="470">
        <f>+C40*$E$9</f>
        <v>3206875.8667067396</v>
      </c>
      <c r="E40" s="322"/>
      <c r="F40" s="361"/>
      <c r="G40" s="325"/>
      <c r="H40" s="322"/>
      <c r="I40" s="322"/>
      <c r="J40" s="322"/>
      <c r="K40" s="325"/>
      <c r="L40" s="325"/>
      <c r="M40" s="228"/>
      <c r="N40" s="228"/>
    </row>
    <row r="41" spans="2:14" s="13" customFormat="1" ht="15" customHeight="1">
      <c r="B41" s="15"/>
      <c r="C41" s="472"/>
      <c r="D41" s="470"/>
      <c r="E41" s="322"/>
      <c r="F41" s="361"/>
      <c r="G41" s="325"/>
      <c r="H41" s="322"/>
      <c r="I41" s="322"/>
      <c r="J41" s="322"/>
      <c r="K41" s="325"/>
      <c r="L41" s="325"/>
      <c r="M41" s="228"/>
      <c r="N41" s="228"/>
    </row>
    <row r="42" spans="2:14" s="13" customFormat="1" ht="19.5" customHeight="1">
      <c r="B42" s="18" t="s">
        <v>148</v>
      </c>
      <c r="C42" s="471">
        <f>SUM(C43:C44)</f>
        <v>364000</v>
      </c>
      <c r="D42" s="469">
        <f>SUM(D43:D44)</f>
        <v>1325688</v>
      </c>
      <c r="E42" s="322"/>
      <c r="F42" s="358"/>
      <c r="G42" s="325"/>
      <c r="H42" s="322"/>
      <c r="I42" s="322"/>
      <c r="J42" s="322"/>
      <c r="K42" s="325"/>
      <c r="L42" s="325"/>
      <c r="M42" s="228"/>
      <c r="N42" s="228"/>
    </row>
    <row r="43" spans="2:14" s="13" customFormat="1" ht="16.5" customHeight="1">
      <c r="B43" s="15" t="s">
        <v>25</v>
      </c>
      <c r="C43" s="472">
        <v>0</v>
      </c>
      <c r="D43" s="470">
        <f>+C43*$E$9</f>
        <v>0</v>
      </c>
      <c r="E43" s="322"/>
      <c r="F43" s="360"/>
      <c r="G43" s="325"/>
      <c r="H43" s="322"/>
      <c r="I43" s="322"/>
      <c r="J43" s="322"/>
      <c r="K43" s="325"/>
      <c r="L43" s="325"/>
      <c r="M43" s="228"/>
      <c r="N43" s="228"/>
    </row>
    <row r="44" spans="2:14" s="13" customFormat="1" ht="16.5" customHeight="1">
      <c r="B44" s="15" t="s">
        <v>24</v>
      </c>
      <c r="C44" s="472">
        <v>364000</v>
      </c>
      <c r="D44" s="470">
        <f>+C44*$E$9</f>
        <v>1325688</v>
      </c>
      <c r="E44" s="322"/>
      <c r="F44" s="360"/>
      <c r="G44" s="325"/>
      <c r="H44" s="322"/>
      <c r="I44" s="322"/>
      <c r="J44" s="322"/>
      <c r="K44" s="325"/>
      <c r="L44" s="325"/>
      <c r="M44" s="228"/>
      <c r="N44" s="228"/>
    </row>
    <row r="45" spans="2:14" s="13" customFormat="1" ht="7.5" customHeight="1">
      <c r="B45" s="15"/>
      <c r="C45" s="472"/>
      <c r="D45" s="470"/>
      <c r="E45" s="322"/>
      <c r="F45" s="325"/>
      <c r="G45" s="325"/>
      <c r="H45" s="322"/>
      <c r="I45" s="322"/>
      <c r="J45" s="322"/>
      <c r="K45" s="325"/>
      <c r="L45" s="325"/>
      <c r="M45" s="228"/>
      <c r="N45" s="228"/>
    </row>
    <row r="46" spans="2:14" s="13" customFormat="1" ht="15" customHeight="1">
      <c r="B46" s="591" t="s">
        <v>61</v>
      </c>
      <c r="C46" s="587">
        <f>+C42+C38</f>
        <v>1244526.04797</v>
      </c>
      <c r="D46" s="587">
        <f>+D42+D38</f>
        <v>4532563.86670674</v>
      </c>
      <c r="E46" s="322"/>
      <c r="F46" s="325"/>
      <c r="G46" s="325"/>
      <c r="H46" s="322"/>
      <c r="I46" s="322"/>
      <c r="J46" s="322"/>
      <c r="K46" s="325"/>
      <c r="L46" s="325"/>
      <c r="M46" s="228"/>
      <c r="N46" s="228"/>
    </row>
    <row r="47" spans="2:14" s="16" customFormat="1" ht="15" customHeight="1">
      <c r="B47" s="592"/>
      <c r="C47" s="588"/>
      <c r="D47" s="588"/>
      <c r="E47" s="322"/>
      <c r="F47" s="351"/>
      <c r="G47" s="325"/>
      <c r="H47" s="322"/>
      <c r="I47" s="322"/>
      <c r="J47" s="322"/>
      <c r="K47" s="324"/>
      <c r="L47" s="324"/>
      <c r="M47" s="231"/>
      <c r="N47" s="231"/>
    </row>
    <row r="48" spans="2:12" ht="16.5" customHeight="1">
      <c r="B48" s="28" t="s">
        <v>139</v>
      </c>
      <c r="C48" s="205"/>
      <c r="D48" s="205"/>
      <c r="E48" s="322"/>
      <c r="F48" s="325"/>
      <c r="G48" s="325"/>
      <c r="H48" s="322"/>
      <c r="I48" s="322"/>
      <c r="J48" s="322"/>
      <c r="K48" s="323"/>
      <c r="L48" s="323"/>
    </row>
    <row r="49" spans="2:12" ht="12.75">
      <c r="B49" s="2" t="s">
        <v>140</v>
      </c>
      <c r="C49" s="205"/>
      <c r="D49" s="205"/>
      <c r="E49" s="322"/>
      <c r="F49" s="322"/>
      <c r="G49" s="322"/>
      <c r="H49" s="322"/>
      <c r="I49" s="322"/>
      <c r="J49" s="322"/>
      <c r="K49" s="323"/>
      <c r="L49" s="323"/>
    </row>
    <row r="50" spans="2:12" ht="12.75">
      <c r="B50" s="323"/>
      <c r="C50" s="503"/>
      <c r="D50" s="343"/>
      <c r="E50" s="322"/>
      <c r="F50" s="322"/>
      <c r="G50" s="322"/>
      <c r="H50" s="322"/>
      <c r="I50" s="322"/>
      <c r="J50" s="322"/>
      <c r="K50" s="323"/>
      <c r="L50" s="323"/>
    </row>
    <row r="51" spans="2:12" ht="12.75">
      <c r="B51" s="323"/>
      <c r="C51" s="343"/>
      <c r="D51" s="440"/>
      <c r="E51" s="322"/>
      <c r="F51" s="322"/>
      <c r="G51" s="322"/>
      <c r="H51" s="322"/>
      <c r="I51" s="322"/>
      <c r="J51" s="322"/>
      <c r="K51" s="323"/>
      <c r="L51" s="323"/>
    </row>
    <row r="52" spans="2:4" ht="12.75">
      <c r="B52" s="323"/>
      <c r="C52" s="506"/>
      <c r="D52" s="323"/>
    </row>
    <row r="53" spans="2:4" ht="12.75">
      <c r="B53" s="323"/>
      <c r="C53" s="343"/>
      <c r="D53" s="343"/>
    </row>
    <row r="54" spans="2:4" ht="12.75">
      <c r="B54" s="323"/>
      <c r="C54" s="343"/>
      <c r="D54" s="343"/>
    </row>
    <row r="55" spans="2:4" ht="12.75">
      <c r="B55" s="323"/>
      <c r="C55" s="343"/>
      <c r="D55" s="343"/>
    </row>
    <row r="56" spans="2:4" ht="12.75">
      <c r="B56" s="323"/>
      <c r="C56" s="437"/>
      <c r="D56" s="437"/>
    </row>
    <row r="57" spans="2:4" ht="12.75">
      <c r="B57" s="323"/>
      <c r="C57" s="343"/>
      <c r="D57" s="343"/>
    </row>
    <row r="58" spans="2:4" ht="12.75">
      <c r="B58" s="323"/>
      <c r="C58" s="343"/>
      <c r="D58" s="343"/>
    </row>
    <row r="59" spans="2:4" ht="12.75">
      <c r="B59" s="323"/>
      <c r="C59" s="343"/>
      <c r="D59" s="323"/>
    </row>
    <row r="60" spans="2:4" ht="12.75">
      <c r="B60" s="323"/>
      <c r="C60" s="344"/>
      <c r="D60" s="323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21" t="s">
        <v>136</v>
      </c>
      <c r="C6" s="321"/>
      <c r="D6" s="321"/>
      <c r="M6" s="190"/>
    </row>
    <row r="7" spans="2:13" s="136" customFormat="1" ht="18">
      <c r="B7" s="321" t="s">
        <v>135</v>
      </c>
      <c r="C7" s="321"/>
      <c r="D7" s="321"/>
      <c r="M7" s="190"/>
    </row>
    <row r="8" spans="2:13" s="136" customFormat="1" ht="18">
      <c r="B8" s="345" t="s">
        <v>37</v>
      </c>
      <c r="C8" s="184"/>
      <c r="D8" s="184"/>
      <c r="M8" s="190"/>
    </row>
    <row r="9" spans="2:13" s="136" customFormat="1" ht="18">
      <c r="B9" s="597" t="str">
        <f>+'DEP-C2'!B9</f>
        <v>Al 31 de enero de 2021</v>
      </c>
      <c r="C9" s="597"/>
      <c r="D9" s="267"/>
      <c r="E9" s="320">
        <f>+Portada!H39</f>
        <v>3.642</v>
      </c>
      <c r="M9" s="190"/>
    </row>
    <row r="10" spans="2:13" s="65" customFormat="1" ht="9.75" customHeight="1">
      <c r="B10" s="600"/>
      <c r="C10" s="600"/>
      <c r="D10" s="600"/>
      <c r="E10" s="284"/>
      <c r="M10" s="165"/>
    </row>
    <row r="11" spans="2:4" ht="16.5" customHeight="1">
      <c r="B11" s="601" t="s">
        <v>94</v>
      </c>
      <c r="C11" s="595" t="s">
        <v>87</v>
      </c>
      <c r="D11" s="585" t="s">
        <v>164</v>
      </c>
    </row>
    <row r="12" spans="2:13" s="81" customFormat="1" ht="16.5" customHeight="1">
      <c r="B12" s="602"/>
      <c r="C12" s="596"/>
      <c r="D12" s="586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73">
        <f>SUM(C15:C16)</f>
        <v>1768666.16425</v>
      </c>
      <c r="D14" s="385">
        <f>SUM(D15:D16)</f>
        <v>6441482.1702000005</v>
      </c>
      <c r="M14" s="166"/>
    </row>
    <row r="15" spans="2:13" s="81" customFormat="1" ht="16.5">
      <c r="B15" s="80" t="s">
        <v>25</v>
      </c>
      <c r="C15" s="474">
        <v>1492018.39754</v>
      </c>
      <c r="D15" s="391">
        <f>ROUND(+C15*$E$9,5)</f>
        <v>5433931.00384</v>
      </c>
      <c r="E15" s="285"/>
      <c r="F15" s="437"/>
      <c r="G15" s="286"/>
      <c r="M15" s="166"/>
    </row>
    <row r="16" spans="2:13" s="81" customFormat="1" ht="16.5">
      <c r="B16" s="80" t="s">
        <v>24</v>
      </c>
      <c r="C16" s="474">
        <v>276647.76671</v>
      </c>
      <c r="D16" s="391">
        <f>ROUND(+C16*$E$9,5)</f>
        <v>1007551.16636</v>
      </c>
      <c r="E16" s="285"/>
      <c r="F16" s="437"/>
      <c r="M16" s="166"/>
    </row>
    <row r="17" spans="2:13" s="81" customFormat="1" ht="15" customHeight="1">
      <c r="B17" s="64"/>
      <c r="C17" s="475"/>
      <c r="D17" s="384"/>
      <c r="M17" s="166"/>
    </row>
    <row r="18" spans="2:13" s="81" customFormat="1" ht="16.5">
      <c r="B18" s="163" t="s">
        <v>63</v>
      </c>
      <c r="C18" s="473">
        <f>SUM(C19:C20)</f>
        <v>6188874.630890001</v>
      </c>
      <c r="D18" s="473">
        <f>SUM(D19:D20)</f>
        <v>22539881.40571</v>
      </c>
      <c r="E18" s="285"/>
      <c r="M18" s="166"/>
    </row>
    <row r="19" spans="2:13" s="81" customFormat="1" ht="16.5">
      <c r="B19" s="80" t="s">
        <v>25</v>
      </c>
      <c r="C19" s="474">
        <f>+C23+C27+C31</f>
        <v>2514378.48925</v>
      </c>
      <c r="D19" s="474">
        <f>+D23+D27+D31</f>
        <v>9157366.45785</v>
      </c>
      <c r="M19" s="166"/>
    </row>
    <row r="20" spans="2:13" s="81" customFormat="1" ht="16.5">
      <c r="B20" s="80" t="s">
        <v>24</v>
      </c>
      <c r="C20" s="474">
        <f>+C24+C28+C32</f>
        <v>3674496.14164</v>
      </c>
      <c r="D20" s="474">
        <f>+D24+D28+D32</f>
        <v>13382514.94786</v>
      </c>
      <c r="M20" s="166"/>
    </row>
    <row r="21" spans="2:13" s="81" customFormat="1" ht="9.75" customHeight="1">
      <c r="B21" s="82"/>
      <c r="C21" s="474"/>
      <c r="D21" s="391"/>
      <c r="M21" s="166"/>
    </row>
    <row r="22" spans="2:13" s="81" customFormat="1" ht="16.5">
      <c r="B22" s="347" t="s">
        <v>176</v>
      </c>
      <c r="C22" s="476">
        <f>SUM(C23:C24)</f>
        <v>5686862.19884</v>
      </c>
      <c r="D22" s="383">
        <f>SUM(D23:D24)</f>
        <v>20711552.12818</v>
      </c>
      <c r="G22" s="285"/>
      <c r="I22" s="287"/>
      <c r="M22" s="166"/>
    </row>
    <row r="23" spans="2:13" s="81" customFormat="1" ht="16.5">
      <c r="B23" s="348" t="s">
        <v>25</v>
      </c>
      <c r="C23" s="475">
        <v>2138207.0080500003</v>
      </c>
      <c r="D23" s="384">
        <f>ROUND(+C23*$E$9,5)</f>
        <v>7787349.92332</v>
      </c>
      <c r="G23" s="285"/>
      <c r="I23" s="287"/>
      <c r="M23" s="166"/>
    </row>
    <row r="24" spans="2:13" s="81" customFormat="1" ht="16.5">
      <c r="B24" s="348" t="s">
        <v>24</v>
      </c>
      <c r="C24" s="475">
        <v>3548655.19079</v>
      </c>
      <c r="D24" s="384">
        <f>ROUND(+C24*$E$9,5)</f>
        <v>12924202.20486</v>
      </c>
      <c r="M24" s="166"/>
    </row>
    <row r="25" spans="2:13" s="81" customFormat="1" ht="9.75" customHeight="1">
      <c r="B25" s="82"/>
      <c r="C25" s="474"/>
      <c r="D25" s="391"/>
      <c r="M25" s="166"/>
    </row>
    <row r="26" spans="2:13" s="81" customFormat="1" ht="16.5">
      <c r="B26" s="347" t="s">
        <v>177</v>
      </c>
      <c r="C26" s="476">
        <f>SUM(C27:C28)</f>
        <v>222350.86356</v>
      </c>
      <c r="D26" s="383">
        <f>SUM(D27:D28)</f>
        <v>809801.84509</v>
      </c>
      <c r="G26" s="288"/>
      <c r="M26" s="166"/>
    </row>
    <row r="27" spans="2:13" s="81" customFormat="1" ht="16.5">
      <c r="B27" s="348" t="s">
        <v>25</v>
      </c>
      <c r="C27" s="475">
        <v>106842.96813</v>
      </c>
      <c r="D27" s="384">
        <f>ROUND(+C27*$E$9,5)</f>
        <v>389122.08993</v>
      </c>
      <c r="M27" s="166"/>
    </row>
    <row r="28" spans="2:13" s="81" customFormat="1" ht="16.5">
      <c r="B28" s="348" t="s">
        <v>24</v>
      </c>
      <c r="C28" s="475">
        <v>115507.89543</v>
      </c>
      <c r="D28" s="384">
        <f>ROUND(+C28*$E$9,5)</f>
        <v>420679.75516</v>
      </c>
      <c r="M28" s="166"/>
    </row>
    <row r="29" spans="2:13" s="81" customFormat="1" ht="9.75" customHeight="1">
      <c r="B29" s="82"/>
      <c r="C29" s="384"/>
      <c r="D29" s="391"/>
      <c r="M29" s="166"/>
    </row>
    <row r="30" spans="2:13" s="81" customFormat="1" ht="16.5">
      <c r="B30" s="349" t="s">
        <v>178</v>
      </c>
      <c r="C30" s="476">
        <f>+SUM(C31:C32)</f>
        <v>279661.56849</v>
      </c>
      <c r="D30" s="383">
        <f>SUM(D31:D32)</f>
        <v>1018527.43244</v>
      </c>
      <c r="M30" s="166"/>
    </row>
    <row r="31" spans="2:13" s="81" customFormat="1" ht="16.5">
      <c r="B31" s="348" t="s">
        <v>25</v>
      </c>
      <c r="C31" s="475">
        <v>269328.51307</v>
      </c>
      <c r="D31" s="384">
        <f>ROUND(+C31*$E$9,5)</f>
        <v>980894.4446</v>
      </c>
      <c r="M31" s="166"/>
    </row>
    <row r="32" spans="2:13" s="81" customFormat="1" ht="16.5">
      <c r="B32" s="348" t="s">
        <v>24</v>
      </c>
      <c r="C32" s="475">
        <v>10333.05542</v>
      </c>
      <c r="D32" s="384">
        <f>ROUND(+C32*$E$9,5)</f>
        <v>37632.98784</v>
      </c>
      <c r="M32" s="166"/>
    </row>
    <row r="33" spans="2:13" s="81" customFormat="1" ht="9.75" customHeight="1">
      <c r="B33" s="194"/>
      <c r="C33" s="475"/>
      <c r="D33" s="384"/>
      <c r="M33" s="166"/>
    </row>
    <row r="34" spans="2:13" s="81" customFormat="1" ht="15" customHeight="1">
      <c r="B34" s="598" t="s">
        <v>61</v>
      </c>
      <c r="C34" s="593">
        <f>+C18+C14</f>
        <v>7957540.79514</v>
      </c>
      <c r="D34" s="593">
        <f>+D18+D14</f>
        <v>28981363.575910002</v>
      </c>
      <c r="M34" s="166"/>
    </row>
    <row r="35" spans="2:13" s="81" customFormat="1" ht="15" customHeight="1">
      <c r="B35" s="599"/>
      <c r="C35" s="594"/>
      <c r="D35" s="594"/>
      <c r="M35" s="166"/>
    </row>
    <row r="36" spans="3:6" ht="16.5">
      <c r="C36" s="193"/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117</v>
      </c>
      <c r="C40" s="129"/>
      <c r="D40" s="129"/>
      <c r="M40" s="190"/>
    </row>
    <row r="41" spans="2:13" s="136" customFormat="1" ht="18">
      <c r="B41" s="321" t="s">
        <v>136</v>
      </c>
      <c r="C41" s="321"/>
      <c r="D41" s="321"/>
      <c r="M41" s="190"/>
    </row>
    <row r="42" spans="2:13" s="136" customFormat="1" ht="18">
      <c r="B42" s="321" t="s">
        <v>137</v>
      </c>
      <c r="C42" s="321"/>
      <c r="D42" s="321"/>
      <c r="M42" s="190"/>
    </row>
    <row r="43" spans="2:13" s="136" customFormat="1" ht="18">
      <c r="B43" s="345" t="s">
        <v>37</v>
      </c>
      <c r="C43" s="184"/>
      <c r="D43" s="184"/>
      <c r="M43" s="190"/>
    </row>
    <row r="44" spans="2:13" s="136" customFormat="1" ht="18">
      <c r="B44" s="597" t="str">
        <f>+B9</f>
        <v>Al 31 de enero de 2021</v>
      </c>
      <c r="C44" s="597"/>
      <c r="D44" s="254"/>
      <c r="M44" s="190"/>
    </row>
    <row r="45" spans="2:13" s="65" customFormat="1" ht="9.75" customHeight="1">
      <c r="B45" s="600"/>
      <c r="C45" s="600"/>
      <c r="D45" s="600"/>
      <c r="M45" s="165"/>
    </row>
    <row r="46" spans="2:4" ht="16.5" customHeight="1">
      <c r="B46" s="601" t="s">
        <v>94</v>
      </c>
      <c r="C46" s="595" t="s">
        <v>87</v>
      </c>
      <c r="D46" s="585" t="s">
        <v>164</v>
      </c>
    </row>
    <row r="47" spans="2:13" s="81" customFormat="1" ht="16.5" customHeight="1">
      <c r="B47" s="602"/>
      <c r="C47" s="596"/>
      <c r="D47" s="586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73">
        <f>SUM(C50:C51)</f>
        <v>338789.57208</v>
      </c>
      <c r="D49" s="385">
        <f>SUM(D50:D51)</f>
        <v>1233871.62152</v>
      </c>
      <c r="F49" s="351"/>
      <c r="M49" s="166"/>
    </row>
    <row r="50" spans="2:13" s="81" customFormat="1" ht="16.5">
      <c r="B50" s="80" t="s">
        <v>24</v>
      </c>
      <c r="C50" s="474">
        <v>338789.57208</v>
      </c>
      <c r="D50" s="391">
        <f>ROUND(+C50*$E$9,5)</f>
        <v>1233871.62152</v>
      </c>
      <c r="F50" s="350"/>
      <c r="M50" s="166"/>
    </row>
    <row r="51" spans="2:13" s="81" customFormat="1" ht="21.75" customHeight="1" hidden="1">
      <c r="B51" s="82" t="s">
        <v>65</v>
      </c>
      <c r="C51" s="474">
        <v>0</v>
      </c>
      <c r="D51" s="391">
        <f>+C51*$E$9</f>
        <v>0</v>
      </c>
      <c r="M51" s="166"/>
    </row>
    <row r="52" spans="2:13" s="81" customFormat="1" ht="15" customHeight="1">
      <c r="B52" s="64"/>
      <c r="C52" s="475"/>
      <c r="D52" s="384"/>
      <c r="M52" s="166"/>
    </row>
    <row r="53" spans="2:13" s="81" customFormat="1" ht="16.5">
      <c r="B53" s="163" t="s">
        <v>63</v>
      </c>
      <c r="C53" s="473">
        <f>SUM(C54:C55)</f>
        <v>905736.47589</v>
      </c>
      <c r="D53" s="473">
        <f>SUM(D54:D55)</f>
        <v>3298692.24519</v>
      </c>
      <c r="F53" s="351"/>
      <c r="M53" s="166"/>
    </row>
    <row r="54" spans="2:13" s="81" customFormat="1" ht="16.5">
      <c r="B54" s="80" t="s">
        <v>25</v>
      </c>
      <c r="C54" s="474">
        <f>+C58</f>
        <v>0</v>
      </c>
      <c r="D54" s="391">
        <f>+D58</f>
        <v>0</v>
      </c>
      <c r="F54" s="351"/>
      <c r="M54" s="166"/>
    </row>
    <row r="55" spans="2:13" s="81" customFormat="1" ht="16.5">
      <c r="B55" s="80" t="s">
        <v>24</v>
      </c>
      <c r="C55" s="474">
        <f>+C59</f>
        <v>905736.47589</v>
      </c>
      <c r="D55" s="391">
        <f>+D59</f>
        <v>3298692.24519</v>
      </c>
      <c r="F55" s="350"/>
      <c r="M55" s="166"/>
    </row>
    <row r="56" spans="2:13" s="81" customFormat="1" ht="9.75" customHeight="1">
      <c r="B56" s="82"/>
      <c r="C56" s="474"/>
      <c r="D56" s="391"/>
      <c r="M56" s="166"/>
    </row>
    <row r="57" spans="2:13" s="81" customFormat="1" ht="16.5">
      <c r="B57" s="347" t="s">
        <v>176</v>
      </c>
      <c r="C57" s="476">
        <f>SUM(C58:C59)</f>
        <v>905736.47589</v>
      </c>
      <c r="D57" s="476">
        <f>SUM(D58:D59)</f>
        <v>3298692.24519</v>
      </c>
      <c r="F57" s="351"/>
      <c r="M57" s="166"/>
    </row>
    <row r="58" spans="2:13" s="81" customFormat="1" ht="16.5" customHeight="1">
      <c r="B58" s="348" t="s">
        <v>25</v>
      </c>
      <c r="C58" s="475">
        <v>0</v>
      </c>
      <c r="D58" s="384">
        <f>ROUND(+C58*$E$9,5)</f>
        <v>0</v>
      </c>
      <c r="F58" s="350"/>
      <c r="M58" s="166"/>
    </row>
    <row r="59" spans="2:13" s="81" customFormat="1" ht="16.5" customHeight="1">
      <c r="B59" s="348" t="s">
        <v>24</v>
      </c>
      <c r="C59" s="475">
        <v>905736.47589</v>
      </c>
      <c r="D59" s="384">
        <f>ROUND(+C59*$E$9,5)</f>
        <v>3298692.24519</v>
      </c>
      <c r="F59" s="206"/>
      <c r="M59" s="166"/>
    </row>
    <row r="60" spans="2:13" s="81" customFormat="1" ht="9.75" customHeight="1">
      <c r="B60" s="194"/>
      <c r="C60" s="475"/>
      <c r="D60" s="384"/>
      <c r="M60" s="166"/>
    </row>
    <row r="61" spans="2:13" s="81" customFormat="1" ht="15" customHeight="1">
      <c r="B61" s="598" t="s">
        <v>61</v>
      </c>
      <c r="C61" s="593">
        <f>+C53+C49</f>
        <v>1244526.04797</v>
      </c>
      <c r="D61" s="593">
        <f>+D53+D49</f>
        <v>4532563.86671</v>
      </c>
      <c r="M61" s="166"/>
    </row>
    <row r="62" spans="2:13" s="81" customFormat="1" ht="15" customHeight="1">
      <c r="B62" s="599"/>
      <c r="C62" s="594"/>
      <c r="D62" s="594"/>
      <c r="F62" s="351"/>
      <c r="M62" s="166"/>
    </row>
    <row r="63" ht="12.75">
      <c r="C63" s="523"/>
    </row>
    <row r="64" spans="3:6" ht="12.75">
      <c r="C64" s="193"/>
      <c r="D64" s="131"/>
      <c r="F64" s="352"/>
    </row>
    <row r="65" ht="12.75">
      <c r="C65" s="192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2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21" t="s">
        <v>136</v>
      </c>
      <c r="C6" s="321"/>
      <c r="D6" s="321"/>
      <c r="K6" s="132"/>
    </row>
    <row r="7" spans="2:11" ht="18">
      <c r="B7" s="321" t="s">
        <v>135</v>
      </c>
      <c r="C7" s="321"/>
      <c r="D7" s="321"/>
      <c r="K7" s="132"/>
    </row>
    <row r="8" spans="2:11" ht="16.5">
      <c r="B8" s="345" t="s">
        <v>32</v>
      </c>
      <c r="C8" s="184"/>
      <c r="D8" s="184"/>
      <c r="K8" s="132"/>
    </row>
    <row r="9" spans="2:11" s="136" customFormat="1" ht="18">
      <c r="B9" s="133" t="str">
        <f>+'DEP-C2'!B9</f>
        <v>Al 31 de enero de 2021</v>
      </c>
      <c r="C9" s="133"/>
      <c r="D9" s="267"/>
      <c r="E9" s="320">
        <f>+Portada!H39</f>
        <v>3.642</v>
      </c>
      <c r="K9" s="190"/>
    </row>
    <row r="10" spans="2:11" ht="9.75" customHeight="1">
      <c r="B10" s="603"/>
      <c r="C10" s="603"/>
      <c r="D10" s="603"/>
      <c r="K10" s="132"/>
    </row>
    <row r="11" spans="2:11" ht="16.5" customHeight="1">
      <c r="B11" s="601" t="s">
        <v>95</v>
      </c>
      <c r="C11" s="595" t="s">
        <v>87</v>
      </c>
      <c r="D11" s="585" t="s">
        <v>214</v>
      </c>
      <c r="K11" s="132"/>
    </row>
    <row r="12" spans="2:11" ht="16.5" customHeight="1">
      <c r="B12" s="602"/>
      <c r="C12" s="596"/>
      <c r="D12" s="586"/>
      <c r="F12" s="65"/>
      <c r="G12" s="65"/>
      <c r="H12" s="207"/>
      <c r="I12" s="207"/>
      <c r="K12" s="132"/>
    </row>
    <row r="13" spans="2:11" s="81" customFormat="1" ht="9.75" customHeight="1">
      <c r="B13" s="257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3" t="s">
        <v>89</v>
      </c>
      <c r="C14" s="383">
        <f>+C16+C20</f>
        <v>3951143.90835</v>
      </c>
      <c r="D14" s="383">
        <f>+D16+D20</f>
        <v>14390066.11422</v>
      </c>
      <c r="E14" s="215"/>
      <c r="F14" s="351"/>
      <c r="H14" s="207"/>
      <c r="I14" s="207"/>
      <c r="K14" s="165"/>
    </row>
    <row r="15" spans="2:11" s="65" customFormat="1" ht="9.75" customHeight="1">
      <c r="B15" s="63"/>
      <c r="C15" s="477"/>
      <c r="D15" s="477"/>
      <c r="K15" s="165"/>
    </row>
    <row r="16" spans="2:11" s="65" customFormat="1" ht="16.5" customHeight="1">
      <c r="B16" s="354" t="s">
        <v>33</v>
      </c>
      <c r="C16" s="383">
        <f>SUM(C17:C18)</f>
        <v>3276827.96272</v>
      </c>
      <c r="D16" s="383">
        <f>SUM(D17:D18)</f>
        <v>11934207.44023</v>
      </c>
      <c r="E16" s="519"/>
      <c r="F16" s="468"/>
      <c r="H16" s="208"/>
      <c r="K16" s="165"/>
    </row>
    <row r="17" spans="2:11" s="65" customFormat="1" ht="16.5" customHeight="1">
      <c r="B17" s="346" t="s">
        <v>220</v>
      </c>
      <c r="C17" s="384">
        <v>2000000</v>
      </c>
      <c r="D17" s="384">
        <f>ROUND(+C17*$E$9,5)</f>
        <v>7284000</v>
      </c>
      <c r="F17" s="350"/>
      <c r="H17" s="208"/>
      <c r="K17" s="165"/>
    </row>
    <row r="18" spans="2:11" s="65" customFormat="1" ht="16.5" customHeight="1">
      <c r="B18" s="346" t="s">
        <v>232</v>
      </c>
      <c r="C18" s="384">
        <v>1276827.9627200002</v>
      </c>
      <c r="D18" s="384">
        <f>ROUND(+C18*$E$9,5)</f>
        <v>4650207.44023</v>
      </c>
      <c r="F18" s="350"/>
      <c r="H18" s="208"/>
      <c r="K18" s="165"/>
    </row>
    <row r="19" spans="2:11" s="65" customFormat="1" ht="12" customHeight="1">
      <c r="B19" s="64"/>
      <c r="C19" s="384"/>
      <c r="D19" s="384"/>
      <c r="H19" s="208"/>
      <c r="K19" s="165"/>
    </row>
    <row r="20" spans="2:11" s="65" customFormat="1" ht="16.5" customHeight="1">
      <c r="B20" s="354" t="s">
        <v>34</v>
      </c>
      <c r="C20" s="383">
        <f>SUM(C21:C26)</f>
        <v>674315.94563</v>
      </c>
      <c r="D20" s="383">
        <f>SUM(D21:D26)</f>
        <v>2455858.6739900005</v>
      </c>
      <c r="E20" s="519"/>
      <c r="F20" s="468"/>
      <c r="H20" s="208"/>
      <c r="K20" s="165"/>
    </row>
    <row r="21" spans="2:11" s="65" customFormat="1" ht="16.5" customHeight="1">
      <c r="B21" s="346" t="s">
        <v>221</v>
      </c>
      <c r="C21" s="384">
        <v>394578.17892</v>
      </c>
      <c r="D21" s="384">
        <f aca="true" t="shared" si="0" ref="D21:D26">ROUND(+C21*$E$9,5)</f>
        <v>1437053.72763</v>
      </c>
      <c r="E21" s="451"/>
      <c r="F21" s="350"/>
      <c r="H21" s="208"/>
      <c r="K21" s="165"/>
    </row>
    <row r="22" spans="2:11" s="65" customFormat="1" ht="16.5" customHeight="1">
      <c r="B22" s="346" t="s">
        <v>182</v>
      </c>
      <c r="C22" s="384">
        <v>192805.53578</v>
      </c>
      <c r="D22" s="384">
        <f t="shared" si="0"/>
        <v>702197.76131</v>
      </c>
      <c r="E22" s="451"/>
      <c r="F22" s="350"/>
      <c r="H22" s="208"/>
      <c r="K22" s="165"/>
    </row>
    <row r="23" spans="2:11" s="65" customFormat="1" ht="16.5" customHeight="1">
      <c r="B23" s="346" t="s">
        <v>0</v>
      </c>
      <c r="C23" s="384">
        <v>82349.56213</v>
      </c>
      <c r="D23" s="384">
        <f t="shared" si="0"/>
        <v>299917.10528</v>
      </c>
      <c r="E23" s="451"/>
      <c r="F23" s="350"/>
      <c r="G23" s="290"/>
      <c r="H23" s="208"/>
      <c r="K23" s="165"/>
    </row>
    <row r="24" spans="2:11" s="65" customFormat="1" ht="16.5" customHeight="1">
      <c r="B24" s="346" t="s">
        <v>240</v>
      </c>
      <c r="C24" s="384">
        <v>2745.7441</v>
      </c>
      <c r="D24" s="384">
        <f t="shared" si="0"/>
        <v>10000.00001</v>
      </c>
      <c r="E24" s="451"/>
      <c r="F24" s="350"/>
      <c r="G24" s="290"/>
      <c r="H24" s="208"/>
      <c r="K24" s="165"/>
    </row>
    <row r="25" spans="2:11" s="65" customFormat="1" ht="16.5" customHeight="1">
      <c r="B25" s="346" t="s">
        <v>185</v>
      </c>
      <c r="C25" s="384">
        <v>1799.86966</v>
      </c>
      <c r="D25" s="384">
        <f t="shared" si="0"/>
        <v>6555.1253</v>
      </c>
      <c r="E25" s="451"/>
      <c r="F25" s="350"/>
      <c r="G25" s="207"/>
      <c r="H25" s="207"/>
      <c r="K25" s="165"/>
    </row>
    <row r="26" spans="2:11" s="65" customFormat="1" ht="16.5" customHeight="1">
      <c r="B26" s="346" t="s">
        <v>183</v>
      </c>
      <c r="C26" s="384">
        <v>37.05504</v>
      </c>
      <c r="D26" s="384">
        <f t="shared" si="0"/>
        <v>134.95446</v>
      </c>
      <c r="F26" s="350"/>
      <c r="G26" s="207"/>
      <c r="H26" s="207"/>
      <c r="I26" s="207"/>
      <c r="K26" s="165"/>
    </row>
    <row r="27" spans="2:8" s="65" customFormat="1" ht="15" customHeight="1">
      <c r="B27" s="66"/>
      <c r="C27" s="384"/>
      <c r="D27" s="384"/>
      <c r="G27" s="224"/>
      <c r="H27" s="224"/>
    </row>
    <row r="28" spans="2:8" s="65" customFormat="1" ht="16.5" customHeight="1">
      <c r="B28" s="353" t="s">
        <v>90</v>
      </c>
      <c r="C28" s="383">
        <f>+C30+C38</f>
        <v>4006396.886790001</v>
      </c>
      <c r="D28" s="383">
        <f>+D30+D38</f>
        <v>14591297.46169448</v>
      </c>
      <c r="F28" s="351"/>
      <c r="G28" s="207"/>
      <c r="H28" s="207"/>
    </row>
    <row r="29" spans="2:4" s="65" customFormat="1" ht="9.75" customHeight="1">
      <c r="B29" s="63"/>
      <c r="C29" s="477"/>
      <c r="D29" s="477"/>
    </row>
    <row r="30" spans="2:8" s="65" customFormat="1" ht="16.5" customHeight="1">
      <c r="B30" s="354" t="s">
        <v>33</v>
      </c>
      <c r="C30" s="383">
        <f>SUM(C31:C36)</f>
        <v>2891473.8924800004</v>
      </c>
      <c r="D30" s="383">
        <f>SUM(D31:D36)</f>
        <v>10530747.916410001</v>
      </c>
      <c r="E30" s="519"/>
      <c r="F30" s="468"/>
      <c r="H30" s="208"/>
    </row>
    <row r="31" spans="2:8" s="65" customFormat="1" ht="16.5" customHeight="1">
      <c r="B31" s="346" t="s">
        <v>219</v>
      </c>
      <c r="C31" s="384">
        <v>2409689.6145</v>
      </c>
      <c r="D31" s="384">
        <f aca="true" t="shared" si="1" ref="D31:D36">ROUND(+C31*$E$9,5)</f>
        <v>8776089.57601</v>
      </c>
      <c r="E31" s="382"/>
      <c r="F31" s="447"/>
      <c r="H31" s="208"/>
    </row>
    <row r="32" spans="2:8" s="65" customFormat="1" ht="16.5" customHeight="1">
      <c r="B32" s="346" t="s">
        <v>180</v>
      </c>
      <c r="C32" s="384">
        <v>212664.59215</v>
      </c>
      <c r="D32" s="384">
        <f t="shared" si="1"/>
        <v>774524.44461</v>
      </c>
      <c r="E32" s="382"/>
      <c r="F32" s="447"/>
      <c r="H32" s="208"/>
    </row>
    <row r="33" spans="2:8" s="65" customFormat="1" ht="16.5" customHeight="1">
      <c r="B33" s="346" t="s">
        <v>234</v>
      </c>
      <c r="C33" s="384">
        <v>155278.52277</v>
      </c>
      <c r="D33" s="384">
        <f t="shared" si="1"/>
        <v>565524.37993</v>
      </c>
      <c r="E33" s="382"/>
      <c r="F33" s="447"/>
      <c r="H33" s="208"/>
    </row>
    <row r="34" spans="2:8" s="65" customFormat="1" ht="16.5" customHeight="1">
      <c r="B34" s="346" t="s">
        <v>186</v>
      </c>
      <c r="C34" s="384">
        <v>93904.4481</v>
      </c>
      <c r="D34" s="384">
        <f t="shared" si="1"/>
        <v>341999.99998</v>
      </c>
      <c r="E34" s="382"/>
      <c r="F34" s="447"/>
      <c r="H34" s="208"/>
    </row>
    <row r="35" spans="2:8" s="65" customFormat="1" ht="16.5" customHeight="1">
      <c r="B35" s="346" t="s">
        <v>235</v>
      </c>
      <c r="C35" s="384">
        <v>12500</v>
      </c>
      <c r="D35" s="384">
        <f t="shared" si="1"/>
        <v>45525</v>
      </c>
      <c r="E35" s="382"/>
      <c r="F35" s="447"/>
      <c r="H35" s="208"/>
    </row>
    <row r="36" spans="2:8" s="65" customFormat="1" ht="16.5" customHeight="1">
      <c r="B36" s="346" t="s">
        <v>179</v>
      </c>
      <c r="C36" s="384">
        <v>7436.71496</v>
      </c>
      <c r="D36" s="384">
        <f t="shared" si="1"/>
        <v>27084.51588</v>
      </c>
      <c r="E36" s="382"/>
      <c r="F36" s="447"/>
      <c r="H36" s="208"/>
    </row>
    <row r="37" spans="2:8" s="65" customFormat="1" ht="12" customHeight="1">
      <c r="B37" s="64"/>
      <c r="C37" s="384"/>
      <c r="D37" s="384"/>
      <c r="H37" s="208"/>
    </row>
    <row r="38" spans="2:8" s="65" customFormat="1" ht="16.5" customHeight="1">
      <c r="B38" s="354" t="s">
        <v>34</v>
      </c>
      <c r="C38" s="383">
        <f>SUM(C39:C43)</f>
        <v>1114922.9943100007</v>
      </c>
      <c r="D38" s="383">
        <f>SUM(D39:D43)</f>
        <v>4060549.54528448</v>
      </c>
      <c r="E38" s="519"/>
      <c r="F38" s="520"/>
      <c r="H38" s="208"/>
    </row>
    <row r="39" spans="2:8" s="65" customFormat="1" ht="16.5" customHeight="1">
      <c r="B39" s="346" t="s">
        <v>223</v>
      </c>
      <c r="C39" s="384">
        <v>599686.9852</v>
      </c>
      <c r="D39" s="384">
        <f>ROUND(+C39*$E$9,5)</f>
        <v>2184060.0001</v>
      </c>
      <c r="F39" s="351"/>
      <c r="H39" s="208"/>
    </row>
    <row r="40" spans="2:8" s="65" customFormat="1" ht="16.5" customHeight="1">
      <c r="B40" s="346" t="s">
        <v>181</v>
      </c>
      <c r="C40" s="384">
        <v>456617.2431900005</v>
      </c>
      <c r="D40" s="384">
        <f>ROUND(+C40*$E$9,5)</f>
        <v>1662999.9997</v>
      </c>
      <c r="E40" s="382"/>
      <c r="F40" s="505"/>
      <c r="H40" s="208"/>
    </row>
    <row r="41" spans="2:8" s="65" customFormat="1" ht="16.5" customHeight="1">
      <c r="B41" s="346" t="s">
        <v>221</v>
      </c>
      <c r="C41" s="384">
        <v>34766.21127</v>
      </c>
      <c r="D41" s="384">
        <f>ROUND(+C41*$E$9,5)</f>
        <v>126618.54145</v>
      </c>
      <c r="E41" s="382"/>
      <c r="F41" s="447"/>
      <c r="H41" s="208"/>
    </row>
    <row r="42" spans="2:8" s="65" customFormat="1" ht="16.5" customHeight="1">
      <c r="B42" s="346" t="s">
        <v>211</v>
      </c>
      <c r="C42" s="384">
        <v>22593.551440000003</v>
      </c>
      <c r="D42" s="384">
        <f>ROUND(+C42*$E$9,8)</f>
        <v>82285.71434448</v>
      </c>
      <c r="E42" s="382"/>
      <c r="F42" s="447"/>
      <c r="H42" s="208"/>
    </row>
    <row r="43" spans="2:8" s="65" customFormat="1" ht="16.5" customHeight="1">
      <c r="B43" s="346" t="s">
        <v>184</v>
      </c>
      <c r="C43" s="384">
        <v>1259.0032099999999</v>
      </c>
      <c r="D43" s="384">
        <f>ROUND(+C43*$E$9,5)</f>
        <v>4585.28969</v>
      </c>
      <c r="E43" s="382"/>
      <c r="F43" s="447"/>
      <c r="H43" s="208"/>
    </row>
    <row r="44" spans="2:8" s="65" customFormat="1" ht="9" customHeight="1">
      <c r="B44" s="64"/>
      <c r="C44" s="384"/>
      <c r="D44" s="384"/>
      <c r="H44" s="208"/>
    </row>
    <row r="45" spans="2:8" s="65" customFormat="1" ht="15" customHeight="1">
      <c r="B45" s="598" t="s">
        <v>61</v>
      </c>
      <c r="C45" s="593">
        <f>+C28+C14</f>
        <v>7957540.795140001</v>
      </c>
      <c r="D45" s="593">
        <f>+D28+D14</f>
        <v>28981363.57591448</v>
      </c>
      <c r="F45" s="351"/>
      <c r="H45" s="208"/>
    </row>
    <row r="46" spans="2:8" s="81" customFormat="1" ht="15" customHeight="1">
      <c r="B46" s="599"/>
      <c r="C46" s="594"/>
      <c r="D46" s="594"/>
      <c r="H46" s="208"/>
    </row>
    <row r="47" spans="2:8" s="81" customFormat="1" ht="7.5" customHeight="1">
      <c r="B47" s="105"/>
      <c r="C47" s="106"/>
      <c r="D47" s="106"/>
      <c r="H47" s="208"/>
    </row>
    <row r="48" spans="2:4" ht="12.75">
      <c r="B48" s="86" t="s">
        <v>222</v>
      </c>
      <c r="C48" s="521"/>
      <c r="D48" s="86"/>
    </row>
    <row r="49" spans="2:4" ht="12.75">
      <c r="B49" s="86" t="s">
        <v>224</v>
      </c>
      <c r="C49" s="464"/>
      <c r="D49" s="86"/>
    </row>
    <row r="50" spans="2:5" ht="14.25">
      <c r="B50" s="635" t="s">
        <v>269</v>
      </c>
      <c r="C50" s="86"/>
      <c r="D50" s="169"/>
      <c r="E50" s="192"/>
    </row>
    <row r="51" spans="2:5" ht="13.5" customHeight="1">
      <c r="B51" s="635" t="s">
        <v>270</v>
      </c>
      <c r="C51" s="86"/>
      <c r="D51" s="86"/>
      <c r="E51" s="192"/>
    </row>
    <row r="52" spans="2:5" ht="12.75">
      <c r="B52" s="460"/>
      <c r="C52" s="192"/>
      <c r="D52" s="192"/>
      <c r="E52" s="192"/>
    </row>
    <row r="53" spans="2:5" ht="12.75">
      <c r="B53" s="86"/>
      <c r="C53" s="192"/>
      <c r="D53" s="192"/>
      <c r="E53" s="192"/>
    </row>
    <row r="54" spans="3:5" ht="12.75">
      <c r="C54" s="192"/>
      <c r="D54" s="192"/>
      <c r="E54" s="192"/>
    </row>
    <row r="55" spans="2:4" s="136" customFormat="1" ht="18">
      <c r="B55" s="129" t="s">
        <v>118</v>
      </c>
      <c r="C55" s="129"/>
      <c r="D55" s="129"/>
    </row>
    <row r="56" spans="2:4" ht="18">
      <c r="B56" s="321" t="s">
        <v>136</v>
      </c>
      <c r="C56" s="321"/>
      <c r="D56" s="321"/>
    </row>
    <row r="57" spans="2:4" ht="18">
      <c r="B57" s="321" t="s">
        <v>137</v>
      </c>
      <c r="C57" s="321"/>
      <c r="D57" s="321"/>
    </row>
    <row r="58" spans="2:4" ht="16.5">
      <c r="B58" s="345" t="s">
        <v>32</v>
      </c>
      <c r="C58" s="184"/>
      <c r="D58" s="184"/>
    </row>
    <row r="59" spans="2:4" s="136" customFormat="1" ht="18">
      <c r="B59" s="133" t="str">
        <f>+B9</f>
        <v>Al 31 de enero de 2021</v>
      </c>
      <c r="C59" s="133"/>
      <c r="D59" s="254"/>
    </row>
    <row r="60" spans="2:4" ht="9.75" customHeight="1">
      <c r="B60" s="603"/>
      <c r="C60" s="603"/>
      <c r="D60" s="603"/>
    </row>
    <row r="61" spans="2:4" ht="16.5" customHeight="1">
      <c r="B61" s="601" t="s">
        <v>95</v>
      </c>
      <c r="C61" s="595" t="s">
        <v>87</v>
      </c>
      <c r="D61" s="585" t="s">
        <v>214</v>
      </c>
    </row>
    <row r="62" spans="2:4" ht="16.5" customHeight="1">
      <c r="B62" s="602"/>
      <c r="C62" s="596"/>
      <c r="D62" s="586"/>
    </row>
    <row r="63" spans="2:4" s="81" customFormat="1" ht="9.75" customHeight="1">
      <c r="B63" s="257"/>
      <c r="C63" s="104"/>
      <c r="D63" s="104"/>
    </row>
    <row r="64" spans="2:4" s="81" customFormat="1" ht="16.5" customHeight="1">
      <c r="B64" s="353" t="s">
        <v>239</v>
      </c>
      <c r="C64" s="383">
        <f>+C66+C68</f>
        <v>0</v>
      </c>
      <c r="D64" s="383">
        <f>+D66+D68</f>
        <v>0</v>
      </c>
    </row>
    <row r="65" spans="2:4" s="81" customFormat="1" ht="9.75" customHeight="1" hidden="1">
      <c r="B65" s="508"/>
      <c r="C65" s="104"/>
      <c r="D65" s="104"/>
    </row>
    <row r="66" spans="2:4" s="81" customFormat="1" ht="16.5" hidden="1">
      <c r="B66" s="354" t="s">
        <v>33</v>
      </c>
      <c r="C66" s="383">
        <v>0</v>
      </c>
      <c r="D66" s="383">
        <v>0</v>
      </c>
    </row>
    <row r="67" spans="2:4" s="81" customFormat="1" ht="9.75" customHeight="1" hidden="1">
      <c r="B67" s="508"/>
      <c r="C67" s="104"/>
      <c r="D67" s="104"/>
    </row>
    <row r="68" spans="2:4" s="81" customFormat="1" ht="16.5" hidden="1">
      <c r="B68" s="354" t="s">
        <v>34</v>
      </c>
      <c r="C68" s="383">
        <f>SUM(C69:C69)</f>
        <v>0</v>
      </c>
      <c r="D68" s="383">
        <f>SUM(D69:D69)</f>
        <v>0</v>
      </c>
    </row>
    <row r="69" spans="2:4" s="81" customFormat="1" ht="16.5" hidden="1">
      <c r="B69" s="346"/>
      <c r="C69" s="384">
        <v>0</v>
      </c>
      <c r="D69" s="384">
        <f>ROUND(+C69*$E$9,8)</f>
        <v>0</v>
      </c>
    </row>
    <row r="70" spans="2:4" s="81" customFormat="1" ht="12" customHeight="1">
      <c r="B70" s="508"/>
      <c r="C70" s="104"/>
      <c r="D70" s="104"/>
    </row>
    <row r="71" spans="2:6" s="65" customFormat="1" ht="16.5" customHeight="1">
      <c r="B71" s="353" t="s">
        <v>237</v>
      </c>
      <c r="C71" s="383">
        <f>+C73+C82</f>
        <v>1244526.0479700002</v>
      </c>
      <c r="D71" s="383">
        <f>+D73+D82</f>
        <v>4532563.86670674</v>
      </c>
      <c r="F71" s="351"/>
    </row>
    <row r="72" spans="2:8" s="65" customFormat="1" ht="9.75" customHeight="1">
      <c r="B72" s="64"/>
      <c r="C72" s="384"/>
      <c r="D72" s="384"/>
      <c r="H72" s="208"/>
    </row>
    <row r="73" spans="2:8" s="65" customFormat="1" ht="16.5" customHeight="1">
      <c r="B73" s="354" t="s">
        <v>33</v>
      </c>
      <c r="C73" s="383">
        <f>SUM(C74:C80)</f>
        <v>364000</v>
      </c>
      <c r="D73" s="383">
        <f>SUM(D74:D80)</f>
        <v>1325688</v>
      </c>
      <c r="F73" s="351"/>
      <c r="G73" s="209"/>
      <c r="H73" s="209"/>
    </row>
    <row r="74" spans="2:8" s="65" customFormat="1" ht="16.5" customHeight="1">
      <c r="B74" s="346" t="s">
        <v>252</v>
      </c>
      <c r="C74" s="384">
        <v>93000</v>
      </c>
      <c r="D74" s="384">
        <f>ROUND(+C74*$E$9,8)</f>
        <v>338706</v>
      </c>
      <c r="F74" s="351"/>
      <c r="G74" s="209"/>
      <c r="H74" s="209"/>
    </row>
    <row r="75" spans="2:8" s="65" customFormat="1" ht="16.5" customHeight="1">
      <c r="B75" s="346" t="s">
        <v>257</v>
      </c>
      <c r="C75" s="384">
        <v>75000</v>
      </c>
      <c r="D75" s="384">
        <f aca="true" t="shared" si="2" ref="D75:D80">ROUND(+C75*$E$9,8)</f>
        <v>273150</v>
      </c>
      <c r="F75" s="351"/>
      <c r="G75" s="209"/>
      <c r="H75" s="209"/>
    </row>
    <row r="76" spans="2:8" s="65" customFormat="1" ht="16.5" customHeight="1">
      <c r="B76" s="346" t="s">
        <v>255</v>
      </c>
      <c r="C76" s="384">
        <v>66000</v>
      </c>
      <c r="D76" s="384">
        <f t="shared" si="2"/>
        <v>240372</v>
      </c>
      <c r="F76" s="351"/>
      <c r="G76" s="209"/>
      <c r="H76" s="209"/>
    </row>
    <row r="77" spans="2:8" s="65" customFormat="1" ht="16.5" customHeight="1">
      <c r="B77" s="346" t="s">
        <v>258</v>
      </c>
      <c r="C77" s="384">
        <v>50000</v>
      </c>
      <c r="D77" s="384">
        <f t="shared" si="2"/>
        <v>182100</v>
      </c>
      <c r="F77" s="351"/>
      <c r="G77" s="209"/>
      <c r="H77" s="209"/>
    </row>
    <row r="78" spans="2:8" s="65" customFormat="1" ht="16.5" customHeight="1">
      <c r="B78" s="346" t="s">
        <v>259</v>
      </c>
      <c r="C78" s="384">
        <v>48000</v>
      </c>
      <c r="D78" s="384">
        <f t="shared" si="2"/>
        <v>174816</v>
      </c>
      <c r="F78" s="351"/>
      <c r="G78" s="209"/>
      <c r="H78" s="209"/>
    </row>
    <row r="79" spans="2:8" s="65" customFormat="1" ht="16.5" customHeight="1">
      <c r="B79" s="346" t="s">
        <v>260</v>
      </c>
      <c r="C79" s="384">
        <v>25000</v>
      </c>
      <c r="D79" s="384">
        <f t="shared" si="2"/>
        <v>91050</v>
      </c>
      <c r="F79" s="351"/>
      <c r="G79" s="209"/>
      <c r="H79" s="209"/>
    </row>
    <row r="80" spans="2:8" s="65" customFormat="1" ht="16.5" customHeight="1">
      <c r="B80" s="346" t="s">
        <v>261</v>
      </c>
      <c r="C80" s="384">
        <v>7000</v>
      </c>
      <c r="D80" s="384">
        <f t="shared" si="2"/>
        <v>25494</v>
      </c>
      <c r="F80" s="351"/>
      <c r="G80" s="209"/>
      <c r="H80" s="209"/>
    </row>
    <row r="81" spans="2:4" s="65" customFormat="1" ht="9.75" customHeight="1">
      <c r="B81" s="63"/>
      <c r="C81" s="477"/>
      <c r="D81" s="477"/>
    </row>
    <row r="82" spans="2:8" s="65" customFormat="1" ht="16.5" customHeight="1">
      <c r="B82" s="354" t="s">
        <v>34</v>
      </c>
      <c r="C82" s="383">
        <f>SUM(C83:C89)</f>
        <v>880526.0479700001</v>
      </c>
      <c r="D82" s="383">
        <f>SUM(D83:D89)</f>
        <v>3206875.86670674</v>
      </c>
      <c r="F82" s="351"/>
      <c r="H82" s="208"/>
    </row>
    <row r="83" spans="2:8" s="65" customFormat="1" ht="16.5" customHeight="1">
      <c r="B83" s="346" t="s">
        <v>187</v>
      </c>
      <c r="C83" s="384">
        <v>232241.99140000012</v>
      </c>
      <c r="D83" s="384">
        <f aca="true" t="shared" si="3" ref="D83:D89">ROUND(+C83*$E$9,8)</f>
        <v>845825.3326788</v>
      </c>
      <c r="E83" s="382"/>
      <c r="F83" s="447"/>
      <c r="H83" s="208"/>
    </row>
    <row r="84" spans="2:8" s="65" customFormat="1" ht="16.5" customHeight="1">
      <c r="B84" s="346" t="s">
        <v>157</v>
      </c>
      <c r="C84" s="384">
        <v>200833.20593</v>
      </c>
      <c r="D84" s="384">
        <f t="shared" si="3"/>
        <v>731434.53599706</v>
      </c>
      <c r="E84" s="382"/>
      <c r="F84" s="447"/>
      <c r="H84" s="208"/>
    </row>
    <row r="85" spans="2:8" s="65" customFormat="1" ht="16.5" customHeight="1">
      <c r="B85" s="346" t="s">
        <v>188</v>
      </c>
      <c r="C85" s="384">
        <v>175789.24203999995</v>
      </c>
      <c r="D85" s="384">
        <f t="shared" si="3"/>
        <v>640224.41950968</v>
      </c>
      <c r="E85" s="382"/>
      <c r="F85" s="447"/>
      <c r="H85" s="208"/>
    </row>
    <row r="86" spans="2:8" s="65" customFormat="1" ht="16.5" customHeight="1">
      <c r="B86" s="346" t="s">
        <v>241</v>
      </c>
      <c r="C86" s="384">
        <v>122057.47756999999</v>
      </c>
      <c r="D86" s="384">
        <f t="shared" si="3"/>
        <v>444533.33330994</v>
      </c>
      <c r="E86" s="382"/>
      <c r="F86" s="447"/>
      <c r="H86" s="208"/>
    </row>
    <row r="87" spans="2:8" s="65" customFormat="1" ht="16.5" customHeight="1">
      <c r="B87" s="346" t="s">
        <v>184</v>
      </c>
      <c r="C87" s="384">
        <v>100867.65514</v>
      </c>
      <c r="D87" s="384">
        <f t="shared" si="3"/>
        <v>367360.00001988</v>
      </c>
      <c r="E87" s="382"/>
      <c r="F87" s="447"/>
      <c r="H87" s="208"/>
    </row>
    <row r="88" spans="2:8" s="65" customFormat="1" ht="16.5" customHeight="1">
      <c r="B88" s="346" t="s">
        <v>253</v>
      </c>
      <c r="C88" s="384">
        <v>41000</v>
      </c>
      <c r="D88" s="384">
        <f t="shared" si="3"/>
        <v>149322</v>
      </c>
      <c r="E88" s="382"/>
      <c r="F88" s="447"/>
      <c r="H88" s="208"/>
    </row>
    <row r="89" spans="2:8" s="65" customFormat="1" ht="16.5" customHeight="1">
      <c r="B89" s="346" t="s">
        <v>262</v>
      </c>
      <c r="C89" s="384">
        <v>7736.47589</v>
      </c>
      <c r="D89" s="384">
        <f t="shared" si="3"/>
        <v>28176.24519138</v>
      </c>
      <c r="E89" s="382"/>
      <c r="F89" s="447"/>
      <c r="H89" s="208"/>
    </row>
    <row r="90" spans="2:8" s="65" customFormat="1" ht="9" customHeight="1">
      <c r="B90" s="64"/>
      <c r="C90" s="384"/>
      <c r="D90" s="384"/>
      <c r="H90" s="208"/>
    </row>
    <row r="91" spans="2:8" s="65" customFormat="1" ht="15" customHeight="1">
      <c r="B91" s="636" t="s">
        <v>61</v>
      </c>
      <c r="C91" s="593">
        <f>+C64+C71</f>
        <v>1244526.0479700002</v>
      </c>
      <c r="D91" s="593">
        <f>+D64+D71</f>
        <v>4532563.86670674</v>
      </c>
      <c r="F91" s="351"/>
      <c r="H91" s="208"/>
    </row>
    <row r="92" spans="2:8" s="81" customFormat="1" ht="15" customHeight="1">
      <c r="B92" s="637"/>
      <c r="C92" s="594"/>
      <c r="D92" s="594"/>
      <c r="F92" s="216"/>
      <c r="H92" s="208"/>
    </row>
    <row r="93" ht="12.75">
      <c r="C93" s="192"/>
    </row>
    <row r="94" spans="3:4" ht="12.75">
      <c r="C94" s="102"/>
      <c r="D94" s="289"/>
    </row>
    <row r="95" spans="3:4" ht="12.75">
      <c r="C95" s="291"/>
      <c r="D95" s="291"/>
    </row>
    <row r="96" ht="12.75">
      <c r="C96" s="438"/>
    </row>
    <row r="97" ht="12.75">
      <c r="C97" s="438"/>
    </row>
    <row r="98" ht="12.75">
      <c r="C98" s="438"/>
    </row>
    <row r="99" ht="12.75">
      <c r="C99" s="438"/>
    </row>
    <row r="100" ht="12.75">
      <c r="C100" s="438"/>
    </row>
    <row r="101" ht="12.75">
      <c r="C101" s="438"/>
    </row>
    <row r="102" ht="12.75">
      <c r="C102" s="438"/>
    </row>
  </sheetData>
  <sheetProtection/>
  <mergeCells count="14">
    <mergeCell ref="D11:D12"/>
    <mergeCell ref="C45:C46"/>
    <mergeCell ref="B45:B46"/>
    <mergeCell ref="C61:C62"/>
    <mergeCell ref="D61:D62"/>
    <mergeCell ref="B11:B12"/>
    <mergeCell ref="D45:D46"/>
    <mergeCell ref="C11:C12"/>
    <mergeCell ref="B10:D10"/>
    <mergeCell ref="B91:B92"/>
    <mergeCell ref="C91:C92"/>
    <mergeCell ref="D91:D92"/>
    <mergeCell ref="B60:D60"/>
    <mergeCell ref="B61:B62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ignoredErrors>
    <ignoredError sqref="D4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91</v>
      </c>
      <c r="C5" s="129"/>
      <c r="D5" s="129"/>
      <c r="I5" s="279"/>
    </row>
    <row r="6" spans="2:9" ht="18">
      <c r="B6" s="321" t="s">
        <v>136</v>
      </c>
      <c r="C6" s="321"/>
      <c r="D6" s="321"/>
      <c r="I6" s="289"/>
    </row>
    <row r="7" spans="2:4" ht="18">
      <c r="B7" s="321" t="s">
        <v>135</v>
      </c>
      <c r="C7" s="321"/>
      <c r="D7" s="321"/>
    </row>
    <row r="8" spans="2:4" ht="16.5">
      <c r="B8" s="345" t="s">
        <v>1</v>
      </c>
      <c r="C8" s="184"/>
      <c r="D8" s="184"/>
    </row>
    <row r="9" spans="2:5" ht="15.75">
      <c r="B9" s="133" t="str">
        <f>+'DEP-C2'!B9</f>
        <v>Al 31 de enero de 2021</v>
      </c>
      <c r="C9" s="133"/>
      <c r="D9" s="267"/>
      <c r="E9" s="320">
        <f>+Portada!H39</f>
        <v>3.642</v>
      </c>
    </row>
    <row r="10" spans="2:4" ht="9.75" customHeight="1">
      <c r="B10" s="603"/>
      <c r="C10" s="603"/>
      <c r="D10" s="603"/>
    </row>
    <row r="11" spans="2:4" ht="16.5" customHeight="1">
      <c r="B11" s="589" t="s">
        <v>150</v>
      </c>
      <c r="C11" s="585" t="s">
        <v>87</v>
      </c>
      <c r="D11" s="606" t="s">
        <v>164</v>
      </c>
    </row>
    <row r="12" spans="2:8" s="81" customFormat="1" ht="16.5" customHeight="1">
      <c r="B12" s="590"/>
      <c r="C12" s="586"/>
      <c r="D12" s="607"/>
      <c r="H12" s="206"/>
    </row>
    <row r="13" spans="2:8" s="81" customFormat="1" ht="9.75" customHeight="1">
      <c r="B13" s="255"/>
      <c r="C13" s="514"/>
      <c r="D13" s="138"/>
      <c r="H13" s="206"/>
    </row>
    <row r="14" spans="2:9" s="65" customFormat="1" ht="16.5" customHeight="1">
      <c r="B14" s="364" t="s">
        <v>0</v>
      </c>
      <c r="C14" s="515">
        <f>SUM(C15:C16)</f>
        <v>4612094.59015</v>
      </c>
      <c r="D14" s="476">
        <f>SUM(D15:D16)</f>
        <v>16797248.497326322</v>
      </c>
      <c r="E14" s="219"/>
      <c r="F14" s="351"/>
      <c r="G14" s="292"/>
      <c r="H14" s="292"/>
      <c r="I14" s="292"/>
    </row>
    <row r="15" spans="2:8" s="65" customFormat="1" ht="16.5" customHeight="1">
      <c r="B15" s="69" t="s">
        <v>24</v>
      </c>
      <c r="C15" s="516">
        <v>605697.70336</v>
      </c>
      <c r="D15" s="475">
        <f>ROUND(+C15*$E$9,8)</f>
        <v>2205951.03563712</v>
      </c>
      <c r="E15" s="462"/>
      <c r="F15" s="350"/>
      <c r="G15" s="355"/>
      <c r="H15" s="292"/>
    </row>
    <row r="16" spans="2:8" s="65" customFormat="1" ht="16.5" customHeight="1">
      <c r="B16" s="69" t="s">
        <v>25</v>
      </c>
      <c r="C16" s="516">
        <v>4006396.88679</v>
      </c>
      <c r="D16" s="475">
        <f>ROUND(+C16*$E$9,8)</f>
        <v>14591297.4616892</v>
      </c>
      <c r="E16" s="462"/>
      <c r="F16" s="350"/>
      <c r="G16" s="292"/>
      <c r="H16" s="292"/>
    </row>
    <row r="17" spans="2:8" s="65" customFormat="1" ht="12" customHeight="1">
      <c r="B17" s="69"/>
      <c r="C17" s="516"/>
      <c r="D17" s="475"/>
      <c r="E17" s="461"/>
      <c r="H17" s="210"/>
    </row>
    <row r="18" spans="2:8" s="65" customFormat="1" ht="16.5" customHeight="1">
      <c r="B18" s="364" t="s">
        <v>189</v>
      </c>
      <c r="C18" s="515">
        <f>SUM(C19:C19)</f>
        <v>68618.24227</v>
      </c>
      <c r="D18" s="476">
        <f>SUM(D19:D19)</f>
        <v>249907.63834734</v>
      </c>
      <c r="E18" s="461"/>
      <c r="F18" s="351"/>
      <c r="G18" s="293"/>
      <c r="H18" s="293"/>
    </row>
    <row r="19" spans="2:8" s="65" customFormat="1" ht="16.5" customHeight="1">
      <c r="B19" s="69" t="s">
        <v>24</v>
      </c>
      <c r="C19" s="516">
        <v>68618.24227</v>
      </c>
      <c r="D19" s="475">
        <f>ROUND(+C19*$E$9,8)</f>
        <v>249907.63834734</v>
      </c>
      <c r="E19" s="462"/>
      <c r="F19" s="350"/>
      <c r="H19" s="210"/>
    </row>
    <row r="20" spans="2:8" s="65" customFormat="1" ht="11.25" customHeight="1">
      <c r="B20" s="69"/>
      <c r="C20" s="516"/>
      <c r="D20" s="475"/>
      <c r="E20" s="461"/>
      <c r="H20" s="210"/>
    </row>
    <row r="21" spans="2:8" s="65" customFormat="1" ht="16.5" customHeight="1">
      <c r="B21" s="364" t="s">
        <v>190</v>
      </c>
      <c r="C21" s="515">
        <f>+C22</f>
        <v>3276827.96272</v>
      </c>
      <c r="D21" s="476">
        <f>+D22</f>
        <v>11934207.4402262</v>
      </c>
      <c r="E21" s="461"/>
      <c r="F21" s="351"/>
      <c r="H21" s="210"/>
    </row>
    <row r="22" spans="2:8" s="65" customFormat="1" ht="16.5" customHeight="1">
      <c r="B22" s="69" t="s">
        <v>24</v>
      </c>
      <c r="C22" s="516">
        <v>3276827.96272</v>
      </c>
      <c r="D22" s="475">
        <f>ROUND(+C22*$E$9,8)</f>
        <v>11934207.4402262</v>
      </c>
      <c r="E22" s="462"/>
      <c r="F22" s="350"/>
      <c r="H22" s="210"/>
    </row>
    <row r="23" spans="2:8" s="65" customFormat="1" ht="9.75" customHeight="1">
      <c r="B23" s="68"/>
      <c r="C23" s="517"/>
      <c r="D23" s="474"/>
      <c r="F23" s="350"/>
      <c r="H23" s="210"/>
    </row>
    <row r="24" spans="2:8" s="65" customFormat="1" ht="15" customHeight="1">
      <c r="B24" s="598" t="s">
        <v>61</v>
      </c>
      <c r="C24" s="604">
        <f>+C18+C14+C21</f>
        <v>7957540.79514</v>
      </c>
      <c r="D24" s="608">
        <f>+D18+D14+D21</f>
        <v>28981363.57589986</v>
      </c>
      <c r="F24" s="351"/>
      <c r="H24" s="210"/>
    </row>
    <row r="25" spans="2:8" s="81" customFormat="1" ht="15" customHeight="1">
      <c r="B25" s="599"/>
      <c r="C25" s="605"/>
      <c r="D25" s="609"/>
      <c r="H25" s="206"/>
    </row>
    <row r="26" spans="2:8" s="81" customFormat="1" ht="7.5" customHeight="1">
      <c r="B26" s="252"/>
      <c r="C26" s="139"/>
      <c r="D26" s="139"/>
      <c r="H26" s="206"/>
    </row>
    <row r="27" spans="2:8" s="65" customFormat="1" ht="17.25" customHeight="1">
      <c r="B27" s="457" t="s">
        <v>191</v>
      </c>
      <c r="C27" s="524"/>
      <c r="D27" s="457"/>
      <c r="H27" s="210"/>
    </row>
    <row r="28" spans="2:8" s="65" customFormat="1" ht="17.25" customHeight="1">
      <c r="B28" s="457" t="s">
        <v>192</v>
      </c>
      <c r="C28" s="458"/>
      <c r="D28" s="457"/>
      <c r="H28" s="210"/>
    </row>
    <row r="29" spans="3:4" ht="12.75">
      <c r="C29" s="245"/>
      <c r="D29" s="245"/>
    </row>
    <row r="30" ht="12.75">
      <c r="C30" s="294"/>
    </row>
    <row r="32" spans="3:4" ht="12.75">
      <c r="C32" s="131"/>
      <c r="D32" s="131"/>
    </row>
    <row r="33" spans="2:8" s="136" customFormat="1" ht="18">
      <c r="B33" s="129" t="s">
        <v>119</v>
      </c>
      <c r="C33" s="129"/>
      <c r="D33" s="129"/>
      <c r="H33" s="220"/>
    </row>
    <row r="34" spans="2:8" s="136" customFormat="1" ht="18">
      <c r="B34" s="321" t="s">
        <v>136</v>
      </c>
      <c r="C34" s="321"/>
      <c r="D34" s="321"/>
      <c r="H34" s="220"/>
    </row>
    <row r="35" spans="2:8" s="136" customFormat="1" ht="18">
      <c r="B35" s="321" t="s">
        <v>137</v>
      </c>
      <c r="C35" s="321"/>
      <c r="D35" s="321"/>
      <c r="H35" s="220"/>
    </row>
    <row r="36" spans="2:8" s="136" customFormat="1" ht="18">
      <c r="B36" s="345" t="s">
        <v>1</v>
      </c>
      <c r="C36" s="184"/>
      <c r="D36" s="184"/>
      <c r="H36" s="220"/>
    </row>
    <row r="37" spans="2:8" s="136" customFormat="1" ht="18">
      <c r="B37" s="133" t="str">
        <f>+B9</f>
        <v>Al 31 de enero de 2021</v>
      </c>
      <c r="C37" s="133"/>
      <c r="D37" s="254"/>
      <c r="H37" s="220"/>
    </row>
    <row r="38" spans="2:4" ht="9.75" customHeight="1">
      <c r="B38" s="603"/>
      <c r="C38" s="603"/>
      <c r="D38" s="603"/>
    </row>
    <row r="39" spans="2:4" ht="16.5" customHeight="1">
      <c r="B39" s="589" t="s">
        <v>150</v>
      </c>
      <c r="C39" s="585" t="s">
        <v>87</v>
      </c>
      <c r="D39" s="585" t="s">
        <v>164</v>
      </c>
    </row>
    <row r="40" spans="2:8" s="81" customFormat="1" ht="16.5" customHeight="1">
      <c r="B40" s="590"/>
      <c r="C40" s="586"/>
      <c r="D40" s="586"/>
      <c r="H40" s="206"/>
    </row>
    <row r="41" spans="2:8" s="81" customFormat="1" ht="9.75" customHeight="1">
      <c r="B41" s="255"/>
      <c r="C41" s="261"/>
      <c r="D41" s="140"/>
      <c r="H41" s="206"/>
    </row>
    <row r="42" spans="2:8" s="65" customFormat="1" ht="16.5" customHeight="1">
      <c r="B42" s="364" t="s">
        <v>0</v>
      </c>
      <c r="C42" s="383">
        <f>SUM(C43:C44)</f>
        <v>286620.43424</v>
      </c>
      <c r="D42" s="476">
        <f>SUM(D43:D44)</f>
        <v>1043871.62150208</v>
      </c>
      <c r="E42" s="219"/>
      <c r="H42" s="210"/>
    </row>
    <row r="43" spans="2:8" s="65" customFormat="1" ht="16.5" customHeight="1">
      <c r="B43" s="69" t="s">
        <v>24</v>
      </c>
      <c r="C43" s="384">
        <v>286620.43424</v>
      </c>
      <c r="D43" s="475">
        <f>ROUND(+C43*$E$9,8)</f>
        <v>1043871.62150208</v>
      </c>
      <c r="E43" s="219"/>
      <c r="F43" s="363"/>
      <c r="H43" s="210"/>
    </row>
    <row r="44" spans="2:8" s="65" customFormat="1" ht="16.5" customHeight="1" hidden="1">
      <c r="B44" s="69" t="s">
        <v>25</v>
      </c>
      <c r="C44" s="384">
        <v>0</v>
      </c>
      <c r="D44" s="475">
        <f>ROUND(+C44*$E$9,8)</f>
        <v>0</v>
      </c>
      <c r="E44" s="219"/>
      <c r="F44" s="363"/>
      <c r="H44" s="210"/>
    </row>
    <row r="45" spans="2:8" s="65" customFormat="1" ht="12" customHeight="1">
      <c r="B45" s="69"/>
      <c r="C45" s="384"/>
      <c r="D45" s="475"/>
      <c r="E45" s="219"/>
      <c r="H45" s="210"/>
    </row>
    <row r="46" spans="2:8" s="65" customFormat="1" ht="16.5" customHeight="1">
      <c r="B46" s="364" t="s">
        <v>159</v>
      </c>
      <c r="C46" s="383">
        <f>+C47</f>
        <v>957905.61373</v>
      </c>
      <c r="D46" s="476">
        <f>+D47</f>
        <v>3488692.24520466</v>
      </c>
      <c r="E46" s="221"/>
      <c r="F46" s="109"/>
      <c r="H46" s="210"/>
    </row>
    <row r="47" spans="2:8" s="65" customFormat="1" ht="16.5" customHeight="1">
      <c r="B47" s="69" t="s">
        <v>24</v>
      </c>
      <c r="C47" s="384">
        <v>957905.61373</v>
      </c>
      <c r="D47" s="475">
        <f>ROUND(+C47*$E$9,8)</f>
        <v>3488692.24520466</v>
      </c>
      <c r="E47" s="221"/>
      <c r="F47" s="355"/>
      <c r="H47" s="210"/>
    </row>
    <row r="48" spans="2:8" s="65" customFormat="1" ht="9.75" customHeight="1">
      <c r="B48" s="68"/>
      <c r="C48" s="391"/>
      <c r="D48" s="474"/>
      <c r="H48" s="210"/>
    </row>
    <row r="49" spans="2:8" s="65" customFormat="1" ht="15" customHeight="1">
      <c r="B49" s="598" t="s">
        <v>61</v>
      </c>
      <c r="C49" s="593">
        <f>+C42+C46</f>
        <v>1244526.04797</v>
      </c>
      <c r="D49" s="608">
        <f>+D42+D46</f>
        <v>4532563.86670674</v>
      </c>
      <c r="H49" s="210"/>
    </row>
    <row r="50" spans="2:8" s="81" customFormat="1" ht="15" customHeight="1">
      <c r="B50" s="599"/>
      <c r="C50" s="594"/>
      <c r="D50" s="609"/>
      <c r="H50" s="206"/>
    </row>
    <row r="51" ht="4.5" customHeight="1"/>
    <row r="52" spans="3:4" ht="12.75">
      <c r="C52" s="438"/>
      <c r="D52" s="245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2021-03-11T22:39:58Z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