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'DEP-C1'!$A$1:$AJ$49</definedName>
    <definedName name="_xlnm.Print_Area" localSheetId="5">'DEP-C2'!$B$1:$D$47</definedName>
    <definedName name="_xlnm.Print_Area" localSheetId="6">'DEP-C3'!$B$5:$D$62</definedName>
    <definedName name="_xlnm.Print_Area" localSheetId="7">'DEP-C4'!$B$1:$D$94</definedName>
    <definedName name="_xlnm.Print_Area" localSheetId="8">'DEP-C5'!$B$1:$D$51</definedName>
    <definedName name="_xlnm.Print_Area" localSheetId="9">'DEP-C6'!$B$1:$E$77</definedName>
    <definedName name="_xlnm.Print_Area" localSheetId="10">'DEP-C7'!$B$1:$E$94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<sst xmlns="http://schemas.openxmlformats.org/spreadsheetml/2006/main" count="626" uniqueCount="271">
  <si>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</si>
  <si>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</si>
  <si>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</si>
  <si>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</si>
  <si>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</si>
  <si>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</si>
  <si>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</si>
  <si>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</si>
  <si>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</si>
  <si>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</si>
  <si>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</si>
  <si>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</si>
  <si>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</si>
  <si>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</si>
  <si>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</si>
  <si>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</si>
  <si>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</si>
  <si>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</si>
  <si>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</si>
  <si>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</si>
  <si>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</si>
  <si>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</si>
  <si>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</si>
  <si>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</si>
  <si>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</si>
  <si>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</si>
  <si>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</si>
  <si>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</si>
  <si>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</si>
  <si>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</si>
  <si>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</si>
  <si>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</si>
  <si>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</si>
  <si>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</si>
  <si>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</si>
  <si>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</si>
  <si>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</si>
  <si>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</si>
  <si>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</si>
  <si>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</si>
  <si>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</si>
  <si>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</si>
  <si>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</si>
  <si>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</si>
  <si>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</si>
  <si>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</si>
  <si>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</si>
  <si>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</si>
  <si>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</si>
  <si>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</si>
  <si>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</si>
  <si>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</si>
  <si>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</si>
  <si>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</si>
  <si>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</si>
  <si>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</si>
  <si>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</si>
  <si>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</si>
  <si>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</si>
  <si>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</si>
  <si>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</si>
  <si>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</si>
  <si>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</si>
  <si>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</si>
  <si>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</si>
  <si>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</si>
  <si>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</si>
  <si>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</si>
  <si>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</si>
  <si>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</si>
  <si>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</si>
  <si>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</si>
  <si>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</si>
  <si>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</si>
  <si>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</si>
  <si>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</si>
  <si>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</si>
  <si>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</si>
  <si>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</si>
  <si>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</si>
  <si>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</si>
  <si>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</si>
  <si>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</si>
  <si>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</si>
  <si>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</si>
  <si>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</si>
  <si>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</si>
  <si>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</si>
  <si>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</si>
  <si>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</si>
  <si>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</si>
  <si>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</si>
  <si>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</si>
  <si>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</si>
  <si>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</si>
  <si>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</si>
  <si>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</si>
  <si>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</si>
  <si>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</si>
  <si>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</si>
  <si>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</si>
  <si>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</si>
  <si>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</si>
  <si>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</si>
  <si>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</si>
  <si>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</si>
  <si>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</si>
  <si>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</si>
  <si>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</si>
  <si>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</si>
  <si>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</si>
  <si>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</si>
  <si>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</si>
  <si>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</si>
  <si>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</si>
  <si>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</si>
  <si>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</si>
  <si>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</si>
  <si>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</si>
  <si>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</si>
  <si>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</si>
  <si>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</si>
  <si>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</si>
  <si>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</si>
  <si>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</si>
  <si>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</si>
  <si>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</si>
  <si>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</si>
  <si>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</si>
  <si>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</si>
  <si>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</si>
  <si>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</si>
  <si>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</si>
  <si>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</si>
  <si>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</si>
  <si>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</si>
  <si>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</si>
  <si>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</si>
  <si>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</si>
  <si>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</si>
  <si>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</si>
  <si>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</si>
  <si>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</si>
  <si>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</si>
  <si>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</si>
  <si>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</si>
  <si>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</si>
  <si>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</si>
  <si>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</si>
  <si>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</si>
  <si>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</si>
  <si>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</si>
  <si>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</si>
  <si>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</si>
  <si>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</si>
  <si>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</si>
  <si>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</si>
  <si>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</si>
  <si>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</si>
  <si>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</si>
  <si>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</si>
  <si>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</si>
  <si>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</si>
  <si>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</si>
  <si>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</si>
  <si>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</si>
  <si>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</si>
  <si>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</si>
  <si>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</si>
  <si>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</si>
  <si>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</si>
  <si>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</si>
  <si>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</si>
  <si>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</si>
  <si>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</si>
  <si>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</si>
  <si>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</si>
  <si>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</si>
  <si>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</si>
  <si>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</si>
  <si>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</si>
  <si>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</si>
  <si>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</si>
  <si>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</si>
  <si>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</si>
  <si>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</si>
  <si>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</si>
  <si>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</si>
  <si>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</si>
  <si>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</si>
  <si>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</si>
  <si>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</si>
  <si>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</si>
  <si>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</si>
  <si>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</si>
  <si>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</si>
  <si>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</si>
  <si>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</si>
  <si>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</si>
  <si>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</si>
  <si>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</si>
  <si>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</si>
  <si>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</si>
  <si>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</si>
  <si>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</si>
  <si>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</si>
  <si>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</si>
  <si>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</si>
  <si>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</si>
  <si>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</si>
  <si>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</si>
  <si>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</si>
  <si>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</si>
  <si>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</si>
  <si>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</si>
  <si>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</si>
  <si>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</si>
  <si>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</si>
  <si>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</si>
  <si>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</si>
  <si>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</si>
  <si>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</si>
  <si>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</si>
  <si>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</si>
  <si>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</si>
  <si>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</si>
  <si>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</si>
  <si>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</si>
  <si>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</si>
  <si>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</si>
  <si>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</si>
  <si>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</si>
  <si>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</si>
  <si>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</si>
  <si>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</si>
  <si>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</si>
  <si>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</si>
  <si>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</si>
  <si>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</si>
  <si>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</si>
  <si>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</si>
  <si>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Banco de La Nacion</t>
  </si>
  <si>
    <t>Empresa de Servicio Público de Electricidad del Sur</t>
  </si>
  <si>
    <t>Servicios Postales del Peru</t>
  </si>
  <si>
    <t>Empresa de Servicio Público de Electricidad Electro Norte Medio S.A.</t>
  </si>
  <si>
    <t>Empresa Regional de Servicio Público de Electricidad Electronoroeste S.A.</t>
  </si>
  <si>
    <t>Petroleos del Peru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</si>
  <si>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</si>
  <si>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</si>
  <si>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</si>
  <si>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</si>
  <si>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</si>
  <si>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Sumitomo Mitsui Banking Corporation</t>
  </si>
  <si>
    <t>Banco Interamericano de Finanzas</t>
  </si>
  <si>
    <t>Sep</t>
  </si>
  <si>
    <t>Banco Latinoamericno de Comercio Exterior</t>
  </si>
  <si>
    <t>Banco Latinoamericano de Comercio Exterior S.A.</t>
  </si>
  <si>
    <t>AL 31 DE DICIEMBRE 2020</t>
  </si>
  <si>
    <t>Al 31 de diciembre de 2020</t>
  </si>
  <si>
    <t>Período: De 2009 al 2020</t>
  </si>
  <si>
    <t xml:space="preserve"> 3/  Incluye: Bonos COFIDE por US$ 1 347,8 millones y Bonos Fondo MIVIVIENDA por US$ 1 063,9 millones.</t>
  </si>
  <si>
    <t xml:space="preserve"> 4/  Incluye: Bonos COFIDE por US$ 342,2 millones y Bonos Fondo MIVIVIENDA por US$ 220,8 millones.</t>
  </si>
  <si>
    <t>Banco de Sabadell</t>
  </si>
  <si>
    <t>Natixis</t>
  </si>
  <si>
    <t>DZ Bank AG, New York Branch</t>
  </si>
  <si>
    <t>Paribas</t>
  </si>
  <si>
    <t>Itaú Corpbanca New York Branch</t>
  </si>
  <si>
    <t>Citibank</t>
  </si>
  <si>
    <t>NATIXIS</t>
  </si>
  <si>
    <t>PARIBAS</t>
  </si>
  <si>
    <t>Itau Corpbanca New York Branch</t>
  </si>
</sst>
</file>

<file path=xl/styles.xml><?xml version="1.0" encoding="utf-8"?>
<styleSheet xmlns="http://schemas.openxmlformats.org/spreadsheetml/2006/main">
  <numFmts count="6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_);\(#,##0\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3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5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3" xfId="331" applyNumberFormat="1" applyFont="1" applyFill="1" applyBorder="1" applyAlignment="1">
      <alignment horizontal="right" vertical="center" indent="2"/>
      <protection/>
    </xf>
    <xf numFmtId="173" fontId="0" fillId="48" borderId="43" xfId="350" applyNumberFormat="1" applyFont="1" applyFill="1" applyBorder="1" applyAlignment="1">
      <alignment horizontal="right" vertical="center" indent="1"/>
    </xf>
    <xf numFmtId="173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3" xfId="350" applyNumberFormat="1" applyFont="1" applyFill="1" applyBorder="1" applyAlignment="1">
      <alignment horizontal="left" vertical="center" indent="2"/>
    </xf>
    <xf numFmtId="173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7" fontId="33" fillId="47" borderId="43" xfId="300" applyNumberFormat="1" applyFont="1" applyFill="1" applyBorder="1" applyAlignment="1">
      <alignment horizontal="right" vertical="center" wrapText="1" inden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8" xfId="0" applyFont="1" applyFill="1" applyBorder="1" applyAlignment="1">
      <alignment horizontal="center" vertical="center" wrapText="1"/>
    </xf>
    <xf numFmtId="3" fontId="11" fillId="48" borderId="58" xfId="300" applyNumberFormat="1" applyFont="1" applyFill="1" applyBorder="1" applyAlignment="1">
      <alignment horizontal="right" vertical="center" indent="1"/>
    </xf>
    <xf numFmtId="3" fontId="8" fillId="48" borderId="58" xfId="300" applyNumberFormat="1" applyFont="1" applyFill="1" applyBorder="1" applyAlignment="1">
      <alignment horizontal="right" vertical="center" indent="1"/>
    </xf>
    <xf numFmtId="3" fontId="33" fillId="48" borderId="58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22" fontId="0" fillId="48" borderId="0" xfId="30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204" fontId="0" fillId="48" borderId="0" xfId="0" applyNumberFormat="1" applyFont="1" applyFill="1" applyBorder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3" fontId="6" fillId="48" borderId="71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0" fontId="11" fillId="48" borderId="73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5"/>
          <c:w val="0.4935"/>
          <c:h val="0.79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6614.97187366</c:v>
                </c:pt>
                <c:pt idx="1">
                  <c:v>2847.266591940001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85"/>
          <c:y val="0.097"/>
          <c:w val="0.496"/>
          <c:h val="0.79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4031.893419520001</c:v>
                </c:pt>
                <c:pt idx="1">
                  <c:v>5430.34504608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425"/>
          <c:y val="0.1005"/>
          <c:w val="0.5045"/>
          <c:h val="0.7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8000.725928450001</c:v>
                </c:pt>
                <c:pt idx="1">
                  <c:v>1461.5125371500003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75"/>
          <c:y val="0.09725"/>
          <c:w val="0.4992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4487.53132655</c:v>
                </c:pt>
                <c:pt idx="1">
                  <c:v>4974.70713905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4974.70713905</c:v>
                </c:pt>
                <c:pt idx="1">
                  <c:v>2661.3866664600005</c:v>
                </c:pt>
                <c:pt idx="2">
                  <c:v>639.6377860100001</c:v>
                </c:pt>
                <c:pt idx="3">
                  <c:v>621.6993541599995</c:v>
                </c:pt>
                <c:pt idx="4">
                  <c:v>564.80751992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6793.598674729999</c:v>
                </c:pt>
                <c:pt idx="1">
                  <c:v>2119.489049000001</c:v>
                </c:pt>
                <c:pt idx="2">
                  <c:v>248.4890929</c:v>
                </c:pt>
                <c:pt idx="3">
                  <c:v>300.66164897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13025"/>
          <c:w val="0.7887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'DEP-C1'!$C$15:$AJ$15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'DEP-C1'!$C$16:$AJ$16</c:f>
              <c:numCache/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37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489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122020.xls#Indice!B6" /><Relationship Id="rId9" Type="http://schemas.openxmlformats.org/officeDocument/2006/relationships/hyperlink" Target="#Reporte_Deuda_Empresas_SG_31122020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22020.xls#Indice!B6" /><Relationship Id="rId4" Type="http://schemas.openxmlformats.org/officeDocument/2006/relationships/hyperlink" Target="#Reporte_Deuda_Empresas_SG_31122020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0.xls#Indice!B6" /><Relationship Id="rId3" Type="http://schemas.openxmlformats.org/officeDocument/2006/relationships/hyperlink" Target="#Reporte_Deuda_Empresas_SG_31122020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0</xdr:row>
      <xdr:rowOff>152400</xdr:rowOff>
    </xdr:from>
    <xdr:to>
      <xdr:col>1</xdr:col>
      <xdr:colOff>6638925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123825</xdr:rowOff>
    </xdr:from>
    <xdr:to>
      <xdr:col>3</xdr:col>
      <xdr:colOff>1076325</xdr:colOff>
      <xdr:row>1</xdr:row>
      <xdr:rowOff>209550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5553075</xdr:colOff>
      <xdr:row>0</xdr:row>
      <xdr:rowOff>123825</xdr:rowOff>
    </xdr:from>
    <xdr:to>
      <xdr:col>1</xdr:col>
      <xdr:colOff>5905500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23825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123825</xdr:rowOff>
    </xdr:from>
    <xdr:to>
      <xdr:col>6</xdr:col>
      <xdr:colOff>390525</xdr:colOff>
      <xdr:row>2</xdr:row>
      <xdr:rowOff>114300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66675</xdr:rowOff>
    </xdr:from>
    <xdr:to>
      <xdr:col>6</xdr:col>
      <xdr:colOff>419100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1171575</xdr:colOff>
      <xdr:row>0</xdr:row>
      <xdr:rowOff>142875</xdr:rowOff>
    </xdr:from>
    <xdr:to>
      <xdr:col>6</xdr:col>
      <xdr:colOff>152400</xdr:colOff>
      <xdr:row>2</xdr:row>
      <xdr:rowOff>104775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4287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3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26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715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590550</xdr:colOff>
      <xdr:row>0</xdr:row>
      <xdr:rowOff>85725</xdr:rowOff>
    </xdr:from>
    <xdr:to>
      <xdr:col>18</xdr:col>
      <xdr:colOff>161925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57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152400</xdr:rowOff>
    </xdr:from>
    <xdr:to>
      <xdr:col>3</xdr:col>
      <xdr:colOff>1104900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104775</xdr:rowOff>
    </xdr:from>
    <xdr:to>
      <xdr:col>2</xdr:col>
      <xdr:colOff>1143000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114300</xdr:rowOff>
    </xdr:from>
    <xdr:to>
      <xdr:col>3</xdr:col>
      <xdr:colOff>1000125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7" t="str">
        <f>+Portada!$B$6</f>
        <v>DEUDA DE LAS EMPRESAS PÚBLICAS</v>
      </c>
      <c r="C6" s="527"/>
      <c r="D6" s="527"/>
      <c r="E6" s="527"/>
      <c r="F6" s="527"/>
      <c r="G6" s="527"/>
    </row>
    <row r="7" spans="2:7" s="4" customFormat="1" ht="24.75" customHeight="1">
      <c r="B7" s="528" t="s">
        <v>257</v>
      </c>
      <c r="C7" s="528"/>
      <c r="D7" s="528"/>
      <c r="E7" s="528"/>
      <c r="F7" s="528"/>
      <c r="G7" s="528"/>
    </row>
    <row r="8" spans="2:5" s="4" customFormat="1" ht="15.75" customHeight="1">
      <c r="B8" s="250"/>
      <c r="C8" s="250"/>
      <c r="D8" s="510"/>
      <c r="E8" s="130"/>
    </row>
    <row r="9" spans="2:5" ht="19.5" customHeight="1">
      <c r="B9" s="86"/>
      <c r="C9" s="86"/>
      <c r="D9" s="410" t="s">
        <v>67</v>
      </c>
      <c r="E9" s="86"/>
    </row>
    <row r="10" spans="2:5" s="7" customFormat="1" ht="19.5" customHeight="1">
      <c r="B10" s="183"/>
      <c r="C10" s="183"/>
      <c r="D10" s="410" t="s">
        <v>174</v>
      </c>
      <c r="E10" s="71"/>
    </row>
    <row r="11" spans="2:5" s="7" customFormat="1" ht="19.5" customHeight="1">
      <c r="B11" s="184"/>
      <c r="C11" s="183"/>
      <c r="D11" s="410" t="s">
        <v>175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26" t="s">
        <v>216</v>
      </c>
      <c r="E13" s="526"/>
      <c r="F13" s="526"/>
      <c r="G13" s="526"/>
      <c r="H13" s="526"/>
    </row>
    <row r="14" spans="2:6" s="7" customFormat="1" ht="19.5" customHeight="1">
      <c r="B14" s="183" t="s">
        <v>12</v>
      </c>
      <c r="C14" s="183" t="s">
        <v>8</v>
      </c>
      <c r="D14" s="526" t="s">
        <v>153</v>
      </c>
      <c r="E14" s="526"/>
      <c r="F14" s="526"/>
    </row>
    <row r="15" spans="2:6" s="7" customFormat="1" ht="19.5" customHeight="1">
      <c r="B15" s="183" t="s">
        <v>13</v>
      </c>
      <c r="C15" s="183" t="s">
        <v>8</v>
      </c>
      <c r="D15" s="529" t="s">
        <v>37</v>
      </c>
      <c r="E15" s="529"/>
      <c r="F15" s="529"/>
    </row>
    <row r="16" spans="2:6" s="7" customFormat="1" ht="19.5" customHeight="1">
      <c r="B16" s="183" t="s">
        <v>14</v>
      </c>
      <c r="C16" s="183" t="s">
        <v>8</v>
      </c>
      <c r="D16" s="529" t="s">
        <v>32</v>
      </c>
      <c r="E16" s="529"/>
      <c r="F16" s="529"/>
    </row>
    <row r="17" spans="2:6" s="7" customFormat="1" ht="19.5" customHeight="1">
      <c r="B17" s="183" t="s">
        <v>91</v>
      </c>
      <c r="C17" s="183" t="s">
        <v>8</v>
      </c>
      <c r="D17" s="529" t="s">
        <v>1</v>
      </c>
      <c r="E17" s="529"/>
      <c r="F17" s="529"/>
    </row>
    <row r="18" spans="2:6" s="7" customFormat="1" ht="19.5" customHeight="1">
      <c r="B18" s="183" t="s">
        <v>60</v>
      </c>
      <c r="C18" s="183" t="s">
        <v>8</v>
      </c>
      <c r="D18" s="529" t="s">
        <v>58</v>
      </c>
      <c r="E18" s="529"/>
      <c r="F18" s="529"/>
    </row>
    <row r="19" spans="2:6" s="7" customFormat="1" ht="19.5" customHeight="1">
      <c r="B19" s="183" t="s">
        <v>15</v>
      </c>
      <c r="C19" s="183" t="s">
        <v>8</v>
      </c>
      <c r="D19" s="529" t="s">
        <v>105</v>
      </c>
      <c r="E19" s="529"/>
      <c r="F19" s="529"/>
    </row>
    <row r="20" spans="2:6" s="7" customFormat="1" ht="19.5" customHeight="1">
      <c r="B20" s="183" t="s">
        <v>16</v>
      </c>
      <c r="C20" s="183" t="s">
        <v>8</v>
      </c>
      <c r="D20" s="529" t="s">
        <v>59</v>
      </c>
      <c r="E20" s="529"/>
      <c r="F20" s="529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22020.xls#Resumen!B5" display="CUADROS RESUMEN"/>
    <hyperlink ref="D11" location="Reporte_Deuda_Empresas_SG_31122020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22020.xls#Portada!B6" display="PORTADA"/>
    <hyperlink ref="D19" location="'Grupo Acreedor'!A1" display="POR GRUPO DEL ACREEDOR"/>
    <hyperlink ref="D14:F14" location="Reporte_Deuda_Empresas_SG_31122020.xls#'DEP-C2'!B5" display="POR TIPO DE DEUDA Y TIPO DE EMPRESA"/>
    <hyperlink ref="D16:F16" location="'DEP-C4'!B5" display="POR TIPO DE EMPRESA Y ACREEDOR"/>
    <hyperlink ref="D15:F15" location="Reporte_Deuda_Empresas_SG_31122020.xls#'DEP-C3'!B5" display="POR TIPO DE MONEDA"/>
    <hyperlink ref="D17:F17" location="Reporte_Deuda_Empresas_SG_31122020.xls#'DEP-C5'!B5" display="POR GRUPO EMPRESARIAL DEL DEUDOR"/>
    <hyperlink ref="D18:F18" location="Reporte_Deuda_Empresas_SG_31122020.xls#'DEP-C6'!B5" display="POR GRUPO EMPRESARIAL Y ENTIDAD DEUDORA"/>
    <hyperlink ref="D20:F20" location="Reporte_Deuda_Empresas_SG_31122020.xls#'DEP-C8'!B5" display="POR TIPO DE CONCERTACIÓN Y TIPO DE EMPRESA"/>
    <hyperlink ref="D19:F19" location="Reporte_Deuda_Empresas_SG_31122020.xls#'DEP-C7'!B5" display="POR TIPO DE EMPRESA Y GRUPO DEL ACREEDOR "/>
    <hyperlink ref="D13:F13" r:id="rId1" display="EVOLUCIÓN DE LA DEUDA DE LAS EMPRESAS PÚBLICAS"/>
    <hyperlink ref="D13:H13" location="Reporte_Deuda_Empresas_SG_31122020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136</v>
      </c>
      <c r="C6" s="321"/>
      <c r="D6" s="321"/>
      <c r="E6" s="321"/>
      <c r="F6" s="88"/>
    </row>
    <row r="7" spans="2:6" s="89" customFormat="1" ht="18.75">
      <c r="B7" s="321" t="s">
        <v>135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31 de diciembre de 2020</v>
      </c>
      <c r="C9" s="366"/>
      <c r="D9" s="270"/>
      <c r="E9" s="270"/>
      <c r="F9" s="320">
        <f>+Portada!H39</f>
        <v>3.624</v>
      </c>
    </row>
    <row r="10" spans="2:5" ht="9.75" customHeight="1">
      <c r="B10" s="603"/>
      <c r="C10" s="603"/>
      <c r="D10" s="603"/>
      <c r="E10" s="603"/>
    </row>
    <row r="11" spans="2:5" ht="18" customHeight="1">
      <c r="B11" s="601" t="s">
        <v>96</v>
      </c>
      <c r="C11" s="601" t="s">
        <v>26</v>
      </c>
      <c r="D11" s="610" t="s">
        <v>87</v>
      </c>
      <c r="E11" s="611" t="s">
        <v>164</v>
      </c>
    </row>
    <row r="12" spans="2:6" s="81" customFormat="1" ht="18" customHeight="1">
      <c r="B12" s="602"/>
      <c r="C12" s="602"/>
      <c r="D12" s="596"/>
      <c r="E12" s="612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217</v>
      </c>
      <c r="C14" s="372"/>
      <c r="D14" s="479">
        <f>SUM(D15:D26)</f>
        <v>4653715.554720005</v>
      </c>
      <c r="E14" s="383">
        <f>SUM(E15:E26)</f>
        <v>16865065.1703053</v>
      </c>
      <c r="F14" s="71"/>
    </row>
    <row r="15" spans="2:6" s="65" customFormat="1" ht="16.5" customHeight="1">
      <c r="B15" s="93" t="s">
        <v>211</v>
      </c>
      <c r="C15" s="83" t="s">
        <v>92</v>
      </c>
      <c r="D15" s="480">
        <v>2434919.1912100054</v>
      </c>
      <c r="E15" s="384">
        <f aca="true" t="shared" si="0" ref="E15:E26">ROUND(D15*$F$9,8)</f>
        <v>8824147.14894506</v>
      </c>
      <c r="F15" s="71"/>
    </row>
    <row r="16" spans="2:6" s="65" customFormat="1" ht="16.5" customHeight="1">
      <c r="B16" s="93" t="s">
        <v>170</v>
      </c>
      <c r="C16" s="83" t="s">
        <v>92</v>
      </c>
      <c r="D16" s="480">
        <v>1574268.4572499993</v>
      </c>
      <c r="E16" s="384">
        <f t="shared" si="0"/>
        <v>5705148.889074</v>
      </c>
      <c r="F16" s="71"/>
    </row>
    <row r="17" spans="2:6" s="65" customFormat="1" ht="16.5" customHeight="1">
      <c r="B17" s="93" t="s">
        <v>209</v>
      </c>
      <c r="C17" s="83" t="s">
        <v>93</v>
      </c>
      <c r="D17" s="480">
        <v>532849.95725</v>
      </c>
      <c r="E17" s="384">
        <f t="shared" si="0"/>
        <v>1931048.245074</v>
      </c>
      <c r="F17" s="71"/>
    </row>
    <row r="18" spans="2:6" s="65" customFormat="1" ht="16.5" customHeight="1">
      <c r="B18" s="93" t="s">
        <v>195</v>
      </c>
      <c r="C18" s="83" t="s">
        <v>93</v>
      </c>
      <c r="D18" s="480">
        <v>23975.097370000003</v>
      </c>
      <c r="E18" s="384">
        <f t="shared" si="0"/>
        <v>86885.75286888</v>
      </c>
      <c r="F18" s="71"/>
    </row>
    <row r="19" spans="2:6" s="65" customFormat="1" ht="16.5" customHeight="1">
      <c r="B19" s="93" t="s">
        <v>124</v>
      </c>
      <c r="C19" s="83" t="s">
        <v>92</v>
      </c>
      <c r="D19" s="480">
        <v>22705.77106</v>
      </c>
      <c r="E19" s="384">
        <f t="shared" si="0"/>
        <v>82285.71432144</v>
      </c>
      <c r="F19" s="71"/>
    </row>
    <row r="20" spans="2:6" s="65" customFormat="1" ht="16.5" customHeight="1">
      <c r="B20" s="93" t="s">
        <v>169</v>
      </c>
      <c r="C20" s="83" t="s">
        <v>93</v>
      </c>
      <c r="D20" s="480">
        <v>22111.23836</v>
      </c>
      <c r="E20" s="384">
        <f t="shared" si="0"/>
        <v>80131.12781664</v>
      </c>
      <c r="F20" s="71"/>
    </row>
    <row r="21" spans="2:6" s="65" customFormat="1" ht="16.5" customHeight="1">
      <c r="B21" s="93" t="s">
        <v>168</v>
      </c>
      <c r="C21" s="83" t="s">
        <v>93</v>
      </c>
      <c r="D21" s="480">
        <v>16586.76264</v>
      </c>
      <c r="E21" s="384">
        <f t="shared" si="0"/>
        <v>60110.42780736</v>
      </c>
      <c r="F21" s="71"/>
    </row>
    <row r="22" spans="2:6" s="65" customFormat="1" ht="16.5" customHeight="1">
      <c r="B22" s="93" t="s">
        <v>194</v>
      </c>
      <c r="C22" s="83" t="s">
        <v>93</v>
      </c>
      <c r="D22" s="480">
        <v>9999.114239999999</v>
      </c>
      <c r="E22" s="384">
        <f t="shared" si="0"/>
        <v>36236.79000576</v>
      </c>
      <c r="F22" s="71"/>
    </row>
    <row r="23" spans="2:6" s="65" customFormat="1" ht="16.5" customHeight="1">
      <c r="B23" s="93" t="s">
        <v>193</v>
      </c>
      <c r="C23" s="83" t="s">
        <v>93</v>
      </c>
      <c r="D23" s="480">
        <v>8264.75573</v>
      </c>
      <c r="E23" s="384">
        <f t="shared" si="0"/>
        <v>29951.47476552</v>
      </c>
      <c r="F23" s="71"/>
    </row>
    <row r="24" spans="2:6" s="65" customFormat="1" ht="16.5" customHeight="1">
      <c r="B24" s="66" t="s">
        <v>196</v>
      </c>
      <c r="C24" s="83" t="s">
        <v>93</v>
      </c>
      <c r="D24" s="480">
        <v>4912.44276</v>
      </c>
      <c r="E24" s="384">
        <f t="shared" si="0"/>
        <v>17802.69256224</v>
      </c>
      <c r="F24" s="71"/>
    </row>
    <row r="25" spans="2:6" s="65" customFormat="1" ht="16.5" customHeight="1">
      <c r="B25" s="66" t="s">
        <v>158</v>
      </c>
      <c r="C25" s="83" t="s">
        <v>93</v>
      </c>
      <c r="D25" s="480">
        <v>2254.34621</v>
      </c>
      <c r="E25" s="384">
        <f t="shared" si="0"/>
        <v>8169.75066504</v>
      </c>
      <c r="F25" s="71"/>
    </row>
    <row r="26" spans="2:6" s="65" customFormat="1" ht="16.5" customHeight="1">
      <c r="B26" s="93" t="s">
        <v>238</v>
      </c>
      <c r="C26" s="83" t="s">
        <v>93</v>
      </c>
      <c r="D26" s="480">
        <v>868.42064</v>
      </c>
      <c r="E26" s="384">
        <f t="shared" si="0"/>
        <v>3147.15639936</v>
      </c>
      <c r="F26" s="71"/>
    </row>
    <row r="27" spans="2:6" s="65" customFormat="1" ht="12" customHeight="1">
      <c r="B27" s="93"/>
      <c r="C27" s="83"/>
      <c r="D27" s="480"/>
      <c r="E27" s="384"/>
      <c r="F27" s="71"/>
    </row>
    <row r="28" spans="2:7" s="65" customFormat="1" ht="16.5" customHeight="1">
      <c r="B28" s="371" t="s">
        <v>115</v>
      </c>
      <c r="C28" s="372"/>
      <c r="D28" s="479">
        <f>SUM(D29:D42)</f>
        <v>70182.41100999998</v>
      </c>
      <c r="E28" s="383">
        <f>SUM(E29:E42)</f>
        <v>254341.05750024007</v>
      </c>
      <c r="F28" s="91"/>
      <c r="G28" s="91"/>
    </row>
    <row r="29" spans="2:9" s="92" customFormat="1" ht="16.5" customHeight="1">
      <c r="B29" s="93" t="s">
        <v>199</v>
      </c>
      <c r="C29" s="83" t="s">
        <v>93</v>
      </c>
      <c r="D29" s="480">
        <v>37785.74247</v>
      </c>
      <c r="E29" s="384">
        <f aca="true" t="shared" si="1" ref="E29:E42">ROUND(D29*$F$9,8)</f>
        <v>136935.53071128</v>
      </c>
      <c r="F29" s="91"/>
      <c r="G29" s="91"/>
      <c r="H29" s="65"/>
      <c r="I29" s="65"/>
    </row>
    <row r="30" spans="2:9" s="92" customFormat="1" ht="16.5" customHeight="1">
      <c r="B30" s="93" t="s">
        <v>208</v>
      </c>
      <c r="C30" s="83" t="s">
        <v>93</v>
      </c>
      <c r="D30" s="480">
        <v>5322.15986</v>
      </c>
      <c r="E30" s="384">
        <f t="shared" si="1"/>
        <v>19287.50733264</v>
      </c>
      <c r="F30" s="91"/>
      <c r="G30" s="91"/>
      <c r="H30" s="65"/>
      <c r="I30" s="65"/>
    </row>
    <row r="31" spans="2:9" s="92" customFormat="1" ht="16.5" customHeight="1">
      <c r="B31" s="66" t="s">
        <v>206</v>
      </c>
      <c r="C31" s="83" t="s">
        <v>93</v>
      </c>
      <c r="D31" s="480">
        <v>5044.49669</v>
      </c>
      <c r="E31" s="384">
        <f t="shared" si="1"/>
        <v>18281.25600456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80">
        <v>5001.8642</v>
      </c>
      <c r="E32" s="384">
        <f t="shared" si="1"/>
        <v>18126.7558608</v>
      </c>
      <c r="F32" s="91"/>
      <c r="G32" s="91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80">
        <v>4083.4942199999996</v>
      </c>
      <c r="E33" s="384">
        <f t="shared" si="1"/>
        <v>14798.58305328</v>
      </c>
      <c r="F33" s="91"/>
      <c r="G33" s="91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80">
        <v>3222.58629</v>
      </c>
      <c r="E34" s="384">
        <f t="shared" si="1"/>
        <v>11678.65271496</v>
      </c>
      <c r="F34" s="91"/>
      <c r="G34" s="91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80">
        <v>2720.17371</v>
      </c>
      <c r="E35" s="384">
        <f t="shared" si="1"/>
        <v>9857.90952504</v>
      </c>
      <c r="F35" s="91"/>
      <c r="G35" s="91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80">
        <v>2072.8798899999997</v>
      </c>
      <c r="E36" s="384">
        <f t="shared" si="1"/>
        <v>7512.11672136</v>
      </c>
      <c r="F36" s="91"/>
      <c r="G36" s="91"/>
      <c r="H36" s="65"/>
      <c r="I36" s="65"/>
    </row>
    <row r="37" spans="2:9" s="92" customFormat="1" ht="16.5" customHeight="1">
      <c r="B37" s="66" t="s">
        <v>42</v>
      </c>
      <c r="C37" s="83" t="s">
        <v>93</v>
      </c>
      <c r="D37" s="480">
        <v>1650.62588</v>
      </c>
      <c r="E37" s="384">
        <f t="shared" si="1"/>
        <v>5981.86818912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80">
        <v>1624.3942</v>
      </c>
      <c r="E38" s="384">
        <f t="shared" si="1"/>
        <v>5886.8045808</v>
      </c>
      <c r="F38" s="91"/>
      <c r="G38" s="91"/>
      <c r="H38" s="65"/>
      <c r="I38" s="65"/>
    </row>
    <row r="39" spans="2:9" s="92" customFormat="1" ht="16.5" customHeight="1">
      <c r="B39" s="66" t="s">
        <v>233</v>
      </c>
      <c r="C39" s="83" t="s">
        <v>93</v>
      </c>
      <c r="D39" s="480">
        <v>667.0596899999999</v>
      </c>
      <c r="E39" s="384">
        <f>ROUND(D39*$F$9,8)</f>
        <v>2417.42431656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80">
        <v>610.65595</v>
      </c>
      <c r="E40" s="384">
        <f t="shared" si="1"/>
        <v>2213.0171628</v>
      </c>
      <c r="F40" s="91"/>
      <c r="G40" s="91"/>
      <c r="H40" s="65"/>
      <c r="I40" s="65"/>
    </row>
    <row r="41" spans="2:9" s="92" customFormat="1" ht="16.5" customHeight="1">
      <c r="B41" s="66" t="s">
        <v>229</v>
      </c>
      <c r="C41" s="83" t="s">
        <v>93</v>
      </c>
      <c r="D41" s="480">
        <v>336.96934000000005</v>
      </c>
      <c r="E41" s="384">
        <f t="shared" si="1"/>
        <v>1221.17688816</v>
      </c>
      <c r="F41" s="91"/>
      <c r="G41" s="91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80">
        <v>39.308620000000005</v>
      </c>
      <c r="E42" s="384">
        <f t="shared" si="1"/>
        <v>142.45443888</v>
      </c>
      <c r="F42" s="91"/>
      <c r="G42" s="91"/>
      <c r="H42" s="65"/>
      <c r="I42" s="65"/>
    </row>
    <row r="43" spans="2:7" s="65" customFormat="1" ht="12" customHeight="1">
      <c r="B43" s="93"/>
      <c r="C43" s="83"/>
      <c r="D43" s="480"/>
      <c r="E43" s="384"/>
      <c r="F43" s="91"/>
      <c r="G43" s="91"/>
    </row>
    <row r="44" spans="2:9" s="92" customFormat="1" ht="16.5" customHeight="1">
      <c r="B44" s="371" t="s">
        <v>86</v>
      </c>
      <c r="C44" s="372"/>
      <c r="D44" s="479">
        <f>+D45</f>
        <v>3276827.9627199997</v>
      </c>
      <c r="E44" s="482">
        <f>+E45</f>
        <v>11875224.5368973</v>
      </c>
      <c r="F44" s="91"/>
      <c r="G44" s="91"/>
      <c r="H44" s="65"/>
      <c r="I44" s="65"/>
    </row>
    <row r="45" spans="2:9" s="92" customFormat="1" ht="16.5" customHeight="1">
      <c r="B45" s="93" t="s">
        <v>201</v>
      </c>
      <c r="C45" s="83" t="s">
        <v>93</v>
      </c>
      <c r="D45" s="480">
        <v>3276827.9627199997</v>
      </c>
      <c r="E45" s="384">
        <f>ROUND(D45*$F$9,8)</f>
        <v>11875224.5368973</v>
      </c>
      <c r="F45" s="91"/>
      <c r="G45" s="91"/>
      <c r="H45" s="65"/>
      <c r="I45" s="65"/>
    </row>
    <row r="46" spans="2:7" s="65" customFormat="1" ht="9.75" customHeight="1">
      <c r="B46" s="84"/>
      <c r="C46" s="85"/>
      <c r="D46" s="481"/>
      <c r="E46" s="478"/>
      <c r="F46" s="91"/>
      <c r="G46" s="448"/>
    </row>
    <row r="47" spans="2:9" s="81" customFormat="1" ht="15" customHeight="1">
      <c r="B47" s="598" t="s">
        <v>61</v>
      </c>
      <c r="C47" s="613"/>
      <c r="D47" s="615">
        <f>+D28+D14+D44</f>
        <v>8000725.928450005</v>
      </c>
      <c r="E47" s="593">
        <f>+E28+E14+E44</f>
        <v>28994630.76470284</v>
      </c>
      <c r="F47" s="91"/>
      <c r="G47" s="448"/>
      <c r="H47" s="65"/>
      <c r="I47" s="65"/>
    </row>
    <row r="48" spans="2:9" s="81" customFormat="1" ht="15" customHeight="1">
      <c r="B48" s="599"/>
      <c r="C48" s="614"/>
      <c r="D48" s="616"/>
      <c r="E48" s="594"/>
      <c r="F48" s="91"/>
      <c r="G48" s="448"/>
      <c r="H48" s="65"/>
      <c r="I48" s="65"/>
    </row>
    <row r="49" spans="2:9" ht="15">
      <c r="B49" s="141"/>
      <c r="C49" s="141"/>
      <c r="D49" s="525"/>
      <c r="E49" s="141"/>
      <c r="F49" s="91"/>
      <c r="G49" s="448"/>
      <c r="H49" s="65"/>
      <c r="I49" s="65"/>
    </row>
    <row r="50" spans="2:9" ht="15">
      <c r="B50" s="141"/>
      <c r="C50" s="141"/>
      <c r="D50" s="459"/>
      <c r="E50" s="425"/>
      <c r="F50" s="91"/>
      <c r="G50" s="448"/>
      <c r="H50" s="65"/>
      <c r="I50" s="65"/>
    </row>
    <row r="51" spans="2:9" ht="15">
      <c r="B51" s="141"/>
      <c r="C51" s="141"/>
      <c r="D51" s="426"/>
      <c r="E51" s="427"/>
      <c r="F51" s="91"/>
      <c r="G51" s="448"/>
      <c r="H51" s="65"/>
      <c r="I51" s="65"/>
    </row>
    <row r="52" spans="2:9" ht="15">
      <c r="B52" s="141"/>
      <c r="C52" s="427"/>
      <c r="D52" s="426"/>
      <c r="E52" s="427"/>
      <c r="F52" s="91"/>
      <c r="G52" s="448"/>
      <c r="H52" s="65"/>
      <c r="I52" s="65"/>
    </row>
    <row r="53" spans="2:9" ht="15">
      <c r="B53" s="141"/>
      <c r="C53" s="141"/>
      <c r="D53" s="428"/>
      <c r="E53" s="428"/>
      <c r="F53" s="91"/>
      <c r="G53" s="65"/>
      <c r="H53" s="65"/>
      <c r="I53" s="65"/>
    </row>
    <row r="54" spans="2:7" ht="18">
      <c r="B54" s="367" t="s">
        <v>120</v>
      </c>
      <c r="C54" s="367"/>
      <c r="D54" s="367"/>
      <c r="E54" s="367"/>
      <c r="F54" s="424"/>
      <c r="G54" s="448"/>
    </row>
    <row r="55" spans="2:7" s="89" customFormat="1" ht="18.75">
      <c r="B55" s="368" t="s">
        <v>136</v>
      </c>
      <c r="C55" s="368"/>
      <c r="D55" s="368"/>
      <c r="E55" s="368"/>
      <c r="F55" s="424"/>
      <c r="G55" s="448"/>
    </row>
    <row r="56" spans="2:7" s="89" customFormat="1" ht="18.75">
      <c r="B56" s="368" t="s">
        <v>137</v>
      </c>
      <c r="C56" s="368"/>
      <c r="D56" s="368"/>
      <c r="E56" s="259"/>
      <c r="F56" s="424"/>
      <c r="G56" s="65"/>
    </row>
    <row r="57" spans="2:7" s="89" customFormat="1" ht="18.75">
      <c r="B57" s="370" t="s">
        <v>58</v>
      </c>
      <c r="C57" s="369"/>
      <c r="D57" s="369"/>
      <c r="E57" s="369"/>
      <c r="F57" s="424"/>
      <c r="G57" s="65"/>
    </row>
    <row r="58" spans="2:7" s="89" customFormat="1" ht="18.75">
      <c r="B58" s="133" t="str">
        <f>+B9</f>
        <v>Al 31 de diciembre de 2020</v>
      </c>
      <c r="C58" s="366"/>
      <c r="D58" s="258"/>
      <c r="E58" s="258"/>
      <c r="F58" s="424"/>
      <c r="G58" s="65"/>
    </row>
    <row r="59" spans="2:7" ht="6" customHeight="1">
      <c r="B59" s="617"/>
      <c r="C59" s="617"/>
      <c r="D59" s="617"/>
      <c r="E59" s="617"/>
      <c r="F59" s="424"/>
      <c r="G59" s="65"/>
    </row>
    <row r="60" spans="2:5" ht="18" customHeight="1">
      <c r="B60" s="601" t="s">
        <v>96</v>
      </c>
      <c r="C60" s="601" t="s">
        <v>26</v>
      </c>
      <c r="D60" s="610" t="s">
        <v>87</v>
      </c>
      <c r="E60" s="611" t="s">
        <v>164</v>
      </c>
    </row>
    <row r="61" spans="2:6" s="81" customFormat="1" ht="18" customHeight="1">
      <c r="B61" s="602"/>
      <c r="C61" s="602"/>
      <c r="D61" s="596"/>
      <c r="E61" s="612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1" t="s">
        <v>85</v>
      </c>
      <c r="C63" s="372"/>
      <c r="D63" s="479">
        <f>SUM(D64:D71)</f>
        <v>274753.98620999994</v>
      </c>
      <c r="E63" s="383">
        <f>SUM(E64:E71)</f>
        <v>995708.44602504</v>
      </c>
      <c r="F63" s="71"/>
      <c r="G63" s="71"/>
    </row>
    <row r="64" spans="2:7" s="65" customFormat="1" ht="16.5" customHeight="1">
      <c r="B64" s="93" t="s">
        <v>195</v>
      </c>
      <c r="C64" s="83" t="s">
        <v>93</v>
      </c>
      <c r="D64" s="480">
        <v>61298.0377</v>
      </c>
      <c r="E64" s="384">
        <f aca="true" t="shared" si="2" ref="E64:E71">ROUND(D64*$F$9,8)</f>
        <v>222144.0886248</v>
      </c>
      <c r="F64" s="71"/>
      <c r="G64" s="71"/>
    </row>
    <row r="65" spans="2:7" s="65" customFormat="1" ht="16.5" customHeight="1">
      <c r="B65" s="93" t="s">
        <v>171</v>
      </c>
      <c r="C65" s="83" t="s">
        <v>93</v>
      </c>
      <c r="D65" s="480">
        <v>61027.95972</v>
      </c>
      <c r="E65" s="384">
        <f t="shared" si="2"/>
        <v>221165.32602528</v>
      </c>
      <c r="F65" s="71"/>
      <c r="G65" s="71"/>
    </row>
    <row r="66" spans="2:7" s="65" customFormat="1" ht="16.5" customHeight="1">
      <c r="B66" s="93" t="s">
        <v>218</v>
      </c>
      <c r="C66" s="83" t="s">
        <v>93</v>
      </c>
      <c r="D66" s="480">
        <v>60430.46352999999</v>
      </c>
      <c r="E66" s="384">
        <f t="shared" si="2"/>
        <v>218999.99983272</v>
      </c>
      <c r="F66" s="71"/>
      <c r="G66" s="71"/>
    </row>
    <row r="67" spans="2:7" s="65" customFormat="1" ht="16.5" customHeight="1">
      <c r="B67" s="93" t="s">
        <v>168</v>
      </c>
      <c r="C67" s="83" t="s">
        <v>93</v>
      </c>
      <c r="D67" s="480">
        <v>32707.87344</v>
      </c>
      <c r="E67" s="384">
        <f t="shared" si="2"/>
        <v>118533.33334656</v>
      </c>
      <c r="F67" s="71"/>
      <c r="G67" s="71"/>
    </row>
    <row r="68" spans="2:7" s="65" customFormat="1" ht="16.5" customHeight="1">
      <c r="B68" s="93" t="s">
        <v>231</v>
      </c>
      <c r="C68" s="83" t="s">
        <v>93</v>
      </c>
      <c r="D68" s="480">
        <v>24466.519489999995</v>
      </c>
      <c r="E68" s="384">
        <f t="shared" si="2"/>
        <v>88666.66663176</v>
      </c>
      <c r="F68" s="71"/>
      <c r="G68" s="71"/>
    </row>
    <row r="69" spans="2:7" s="65" customFormat="1" ht="16.5" customHeight="1">
      <c r="B69" s="93" t="s">
        <v>193</v>
      </c>
      <c r="C69" s="83" t="s">
        <v>93</v>
      </c>
      <c r="D69" s="480">
        <v>20819.269200000002</v>
      </c>
      <c r="E69" s="384">
        <f t="shared" si="2"/>
        <v>75449.0315808</v>
      </c>
      <c r="F69" s="71"/>
      <c r="G69" s="71"/>
    </row>
    <row r="70" spans="2:7" s="65" customFormat="1" ht="16.5" customHeight="1">
      <c r="B70" s="93" t="s">
        <v>242</v>
      </c>
      <c r="C70" s="83" t="s">
        <v>93</v>
      </c>
      <c r="D70" s="480">
        <v>10623.620309999998</v>
      </c>
      <c r="E70" s="384">
        <f t="shared" si="2"/>
        <v>38500.00000344</v>
      </c>
      <c r="F70" s="71"/>
      <c r="G70" s="71"/>
    </row>
    <row r="71" spans="2:7" s="65" customFormat="1" ht="16.5" customHeight="1">
      <c r="B71" s="93" t="s">
        <v>243</v>
      </c>
      <c r="C71" s="83" t="s">
        <v>93</v>
      </c>
      <c r="D71" s="480">
        <v>3380.2428200000004</v>
      </c>
      <c r="E71" s="384">
        <f t="shared" si="2"/>
        <v>12249.99997968</v>
      </c>
      <c r="F71" s="71"/>
      <c r="G71" s="71"/>
    </row>
    <row r="72" spans="2:7" s="65" customFormat="1" ht="12" customHeight="1">
      <c r="B72" s="70"/>
      <c r="C72" s="72"/>
      <c r="D72" s="483"/>
      <c r="E72" s="391"/>
      <c r="F72" s="71"/>
      <c r="G72" s="71"/>
    </row>
    <row r="73" spans="2:7" s="92" customFormat="1" ht="16.5" customHeight="1">
      <c r="B73" s="371" t="s">
        <v>159</v>
      </c>
      <c r="C73" s="72"/>
      <c r="D73" s="479">
        <f>+D74</f>
        <v>1186758.55094</v>
      </c>
      <c r="E73" s="383">
        <f>+E74</f>
        <v>4300812.98860656</v>
      </c>
      <c r="F73" s="71"/>
      <c r="G73" s="448"/>
    </row>
    <row r="74" spans="2:7" s="92" customFormat="1" ht="16.5" customHeight="1">
      <c r="B74" s="93" t="s">
        <v>201</v>
      </c>
      <c r="C74" s="83" t="s">
        <v>93</v>
      </c>
      <c r="D74" s="480">
        <v>1186758.55094</v>
      </c>
      <c r="E74" s="384">
        <f>ROUND(D74*$F$9,8)</f>
        <v>4300812.98860656</v>
      </c>
      <c r="F74" s="71"/>
      <c r="G74" s="448"/>
    </row>
    <row r="75" spans="2:7" s="65" customFormat="1" ht="9.75" customHeight="1">
      <c r="B75" s="84"/>
      <c r="C75" s="85"/>
      <c r="D75" s="481"/>
      <c r="E75" s="478"/>
      <c r="F75" s="71"/>
      <c r="G75" s="448"/>
    </row>
    <row r="76" spans="2:7" s="81" customFormat="1" ht="15" customHeight="1">
      <c r="B76" s="598" t="s">
        <v>61</v>
      </c>
      <c r="C76" s="613"/>
      <c r="D76" s="615">
        <f>+D63+D73</f>
        <v>1461512.53715</v>
      </c>
      <c r="E76" s="593">
        <f>+E63+E73</f>
        <v>5296521.4346316</v>
      </c>
      <c r="F76" s="71"/>
      <c r="G76" s="448"/>
    </row>
    <row r="77" spans="2:6" s="81" customFormat="1" ht="15" customHeight="1">
      <c r="B77" s="599"/>
      <c r="C77" s="614"/>
      <c r="D77" s="616"/>
      <c r="E77" s="594"/>
      <c r="F77" s="90"/>
    </row>
    <row r="78" ht="12.75">
      <c r="D78" s="193"/>
    </row>
    <row r="79" spans="2:5" ht="15">
      <c r="B79" s="134"/>
      <c r="D79" s="373"/>
      <c r="E79" s="295"/>
    </row>
    <row r="80" spans="2:5" ht="15">
      <c r="B80" s="134"/>
      <c r="D80" s="373"/>
      <c r="E80" s="295"/>
    </row>
    <row r="81" spans="4:5" ht="12.75">
      <c r="D81" s="296"/>
      <c r="E81" s="296"/>
    </row>
    <row r="82" spans="4:5" ht="12.75">
      <c r="D82" s="245"/>
      <c r="E82" s="245"/>
    </row>
  </sheetData>
  <sheetProtection/>
  <mergeCells count="18"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4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4"/>
      <c r="C1" s="624"/>
      <c r="D1" s="624"/>
      <c r="E1" s="624"/>
    </row>
    <row r="2" spans="2:5" s="136" customFormat="1" ht="18.75" customHeight="1">
      <c r="B2" s="624"/>
      <c r="C2" s="624"/>
      <c r="D2" s="624"/>
      <c r="E2" s="624"/>
    </row>
    <row r="3" spans="2:5" s="136" customFormat="1" ht="11.25" customHeight="1">
      <c r="B3" s="624"/>
      <c r="C3" s="624"/>
      <c r="D3" s="624"/>
      <c r="E3" s="624"/>
    </row>
    <row r="4" spans="2:11" s="136" customFormat="1" ht="15" customHeight="1">
      <c r="B4" s="624"/>
      <c r="C4" s="624"/>
      <c r="D4" s="624"/>
      <c r="E4" s="624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136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135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diciembre de 2020</v>
      </c>
      <c r="C9" s="133"/>
      <c r="D9" s="133"/>
      <c r="E9" s="267"/>
      <c r="F9" s="374">
        <f>+Portada!H39</f>
        <v>3.624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7" t="s">
        <v>212</v>
      </c>
      <c r="C11" s="618" t="s">
        <v>101</v>
      </c>
      <c r="D11" s="620" t="s">
        <v>87</v>
      </c>
      <c r="E11" s="585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6" t="s">
        <v>213</v>
      </c>
      <c r="C12" s="619"/>
      <c r="D12" s="621"/>
      <c r="E12" s="586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89</v>
      </c>
      <c r="C14" s="364"/>
      <c r="D14" s="383">
        <f>+D15+D18+D20+D22+D25</f>
        <v>3968832.50893</v>
      </c>
      <c r="E14" s="383">
        <f>+E15+E18+E20+E22+E25</f>
        <v>14383049.01236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7">
        <f>SUM(D16:D17)</f>
        <v>1279587.34462</v>
      </c>
      <c r="E15" s="477">
        <f>SUM(E16:E17)</f>
        <v>4637224.536909999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232</v>
      </c>
      <c r="C16" s="74" t="s">
        <v>103</v>
      </c>
      <c r="D16" s="386">
        <v>1276827.9627200002</v>
      </c>
      <c r="E16" s="386">
        <f>ROUND(+D16*$F$9,5)</f>
        <v>4627224.5369</v>
      </c>
      <c r="G16" s="165"/>
      <c r="H16" s="165"/>
      <c r="I16" s="165"/>
      <c r="J16" s="165"/>
      <c r="K16" s="165"/>
    </row>
    <row r="17" spans="2:11" s="65" customFormat="1" ht="16.5" customHeight="1">
      <c r="B17" s="390" t="s">
        <v>188</v>
      </c>
      <c r="C17" s="74" t="s">
        <v>102</v>
      </c>
      <c r="D17" s="386">
        <v>2759.3819</v>
      </c>
      <c r="E17" s="386">
        <f>ROUND(+D17*$F$9,5)</f>
        <v>10000.00001</v>
      </c>
      <c r="G17" s="165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7">
        <f>+D19</f>
        <v>1808.8094099999998</v>
      </c>
      <c r="E18" s="477">
        <f>+E19</f>
        <v>6555.1253</v>
      </c>
      <c r="G18" s="165"/>
      <c r="H18" s="165"/>
      <c r="I18" s="165"/>
      <c r="J18" s="165"/>
      <c r="K18" s="165"/>
    </row>
    <row r="19" spans="2:11" s="65" customFormat="1" ht="16.5" customHeight="1">
      <c r="B19" s="390" t="s">
        <v>185</v>
      </c>
      <c r="C19" s="74" t="s">
        <v>102</v>
      </c>
      <c r="D19" s="386">
        <v>1808.8094099999998</v>
      </c>
      <c r="E19" s="386">
        <f aca="true" t="shared" si="0" ref="E19:E24">ROUND(+D19*$F$9,5)</f>
        <v>6555.1253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7">
        <f>+D21</f>
        <v>2000000</v>
      </c>
      <c r="E20" s="477">
        <f>+E21</f>
        <v>7248000</v>
      </c>
      <c r="G20" s="165"/>
      <c r="H20" s="165"/>
      <c r="I20" s="165"/>
      <c r="J20" s="165"/>
      <c r="K20" s="165"/>
    </row>
    <row r="21" spans="2:11" s="65" customFormat="1" ht="16.5" customHeight="1">
      <c r="B21" s="395" t="s">
        <v>225</v>
      </c>
      <c r="C21" s="74" t="s">
        <v>103</v>
      </c>
      <c r="D21" s="386">
        <v>2000000</v>
      </c>
      <c r="E21" s="386">
        <f>ROUND(+D21*$F$9,5)</f>
        <v>7248000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7">
        <f>SUM(D23:D24)</f>
        <v>603438.5964400001</v>
      </c>
      <c r="E22" s="477">
        <f>SUM(E23:E24)</f>
        <v>2186861.47349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226</v>
      </c>
      <c r="C23" s="74" t="s">
        <v>102</v>
      </c>
      <c r="D23" s="386">
        <v>409659.16225000005</v>
      </c>
      <c r="E23" s="386">
        <f t="shared" si="0"/>
        <v>1484604.80399</v>
      </c>
      <c r="G23" s="165"/>
      <c r="H23" s="165"/>
      <c r="I23" s="165"/>
      <c r="J23" s="165"/>
      <c r="K23" s="165"/>
    </row>
    <row r="24" spans="2:11" s="65" customFormat="1" ht="16.5" customHeight="1">
      <c r="B24" s="390" t="s">
        <v>182</v>
      </c>
      <c r="C24" s="74" t="s">
        <v>102</v>
      </c>
      <c r="D24" s="386">
        <v>193779.43419000003</v>
      </c>
      <c r="E24" s="386">
        <f t="shared" si="0"/>
        <v>702256.6695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7">
        <f>SUM(D26:D27)</f>
        <v>83997.75846</v>
      </c>
      <c r="E25" s="477">
        <f>SUM(E26:E27)</f>
        <v>304407.87666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0</v>
      </c>
      <c r="C26" s="74" t="s">
        <v>102</v>
      </c>
      <c r="D26" s="386">
        <v>83958.44984</v>
      </c>
      <c r="E26" s="386">
        <f>ROUND(+D26*$F$9,5)</f>
        <v>304265.42222</v>
      </c>
      <c r="G26" s="165"/>
      <c r="H26" s="165"/>
      <c r="I26" s="165"/>
      <c r="J26" s="165"/>
      <c r="K26" s="165"/>
    </row>
    <row r="27" spans="2:11" s="65" customFormat="1" ht="16.5" customHeight="1">
      <c r="B27" s="390" t="s">
        <v>183</v>
      </c>
      <c r="C27" s="74" t="s">
        <v>102</v>
      </c>
      <c r="D27" s="386">
        <v>39.308620000000005</v>
      </c>
      <c r="E27" s="386">
        <f>ROUND(+D27*$F$9,5)</f>
        <v>142.45444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4"/>
      <c r="E28" s="384"/>
      <c r="G28" s="165"/>
      <c r="H28" s="165"/>
      <c r="I28" s="165"/>
      <c r="J28" s="165"/>
      <c r="K28" s="165"/>
    </row>
    <row r="29" spans="2:11" s="65" customFormat="1" ht="21.75" customHeight="1">
      <c r="B29" s="364" t="s">
        <v>90</v>
      </c>
      <c r="C29" s="68"/>
      <c r="D29" s="383">
        <f>+D30+D34+D36+D39+D41</f>
        <v>4031893.4195199995</v>
      </c>
      <c r="E29" s="383">
        <f>+E30+E34+E36+E39+E41</f>
        <v>14611581.752350003</v>
      </c>
      <c r="F29" s="217"/>
      <c r="G29" s="423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7">
        <f>SUM(D31:D33)</f>
        <v>110596.75525999999</v>
      </c>
      <c r="E30" s="477">
        <f>SUM(E31:E33)</f>
        <v>400802.64106</v>
      </c>
      <c r="F30" s="262"/>
    </row>
    <row r="31" spans="2:6" s="65" customFormat="1" ht="16.5" customHeight="1">
      <c r="B31" s="390" t="s">
        <v>186</v>
      </c>
      <c r="C31" s="74" t="s">
        <v>103</v>
      </c>
      <c r="D31" s="386">
        <v>104304.63577</v>
      </c>
      <c r="E31" s="386">
        <f>ROUND(+D31*$F$9,5)</f>
        <v>378000.00003</v>
      </c>
      <c r="F31" s="390"/>
    </row>
    <row r="32" spans="2:6" s="65" customFormat="1" ht="16.5" customHeight="1">
      <c r="B32" s="390" t="s">
        <v>188</v>
      </c>
      <c r="C32" s="74" t="s">
        <v>102</v>
      </c>
      <c r="D32" s="386">
        <v>4966.88742</v>
      </c>
      <c r="E32" s="386">
        <f>ROUND(+D32*$F$9,5)</f>
        <v>18000.00001</v>
      </c>
      <c r="F32" s="390"/>
    </row>
    <row r="33" spans="2:6" s="65" customFormat="1" ht="16.5" customHeight="1">
      <c r="B33" s="390" t="s">
        <v>184</v>
      </c>
      <c r="C33" s="74" t="s">
        <v>102</v>
      </c>
      <c r="D33" s="386">
        <v>1325.23207</v>
      </c>
      <c r="E33" s="386">
        <f>ROUND(+D33*$F$9,5)</f>
        <v>4802.64102</v>
      </c>
      <c r="F33" s="390"/>
    </row>
    <row r="34" spans="2:6" s="65" customFormat="1" ht="16.5" customHeight="1">
      <c r="B34" s="73" t="s">
        <v>125</v>
      </c>
      <c r="C34" s="74"/>
      <c r="D34" s="477">
        <f>+D35</f>
        <v>479580.57417999953</v>
      </c>
      <c r="E34" s="477">
        <f>+E35</f>
        <v>1738000.00083</v>
      </c>
      <c r="F34" s="262"/>
    </row>
    <row r="35" spans="2:7" s="65" customFormat="1" ht="16.5" customHeight="1">
      <c r="B35" s="390" t="s">
        <v>185</v>
      </c>
      <c r="C35" s="74" t="s">
        <v>102</v>
      </c>
      <c r="D35" s="386">
        <v>479580.57417999953</v>
      </c>
      <c r="E35" s="386">
        <f>ROUND(+D35*$F$9,5)</f>
        <v>1738000.00083</v>
      </c>
      <c r="G35" s="355"/>
    </row>
    <row r="36" spans="2:5" s="65" customFormat="1" ht="16.5" customHeight="1">
      <c r="B36" s="73" t="s">
        <v>75</v>
      </c>
      <c r="C36" s="74"/>
      <c r="D36" s="477">
        <f>SUM(D37:D38)</f>
        <v>2974707.13905</v>
      </c>
      <c r="E36" s="477">
        <f>SUM(E37:E38)</f>
        <v>10780338.671920002</v>
      </c>
    </row>
    <row r="37" spans="2:5" s="65" customFormat="1" ht="16.5" customHeight="1">
      <c r="B37" s="395" t="s">
        <v>227</v>
      </c>
      <c r="C37" s="74" t="s">
        <v>103</v>
      </c>
      <c r="D37" s="386">
        <v>2411735.28477</v>
      </c>
      <c r="E37" s="386">
        <f>ROUND(+D37*$F$9,5)</f>
        <v>8740128.67201</v>
      </c>
    </row>
    <row r="38" spans="2:5" s="65" customFormat="1" ht="16.5" customHeight="1">
      <c r="B38" s="395" t="s">
        <v>228</v>
      </c>
      <c r="C38" s="74" t="s">
        <v>102</v>
      </c>
      <c r="D38" s="386">
        <v>562971.8542800001</v>
      </c>
      <c r="E38" s="386">
        <f>ROUND(+D38*$F$9,5)</f>
        <v>2040209.99991</v>
      </c>
    </row>
    <row r="39" spans="2:5" s="65" customFormat="1" ht="16.5" customHeight="1">
      <c r="B39" s="73" t="s">
        <v>88</v>
      </c>
      <c r="C39" s="73"/>
      <c r="D39" s="477">
        <f>+D40</f>
        <v>36199.18957</v>
      </c>
      <c r="E39" s="477">
        <f>+E40</f>
        <v>131185.863</v>
      </c>
    </row>
    <row r="40" spans="2:5" s="65" customFormat="1" ht="16.5" customHeight="1">
      <c r="B40" s="390" t="s">
        <v>226</v>
      </c>
      <c r="C40" s="74" t="s">
        <v>102</v>
      </c>
      <c r="D40" s="386">
        <v>36199.18957</v>
      </c>
      <c r="E40" s="386">
        <f>ROUND(+D40*$F$9,5)</f>
        <v>131185.863</v>
      </c>
    </row>
    <row r="41" spans="2:5" s="65" customFormat="1" ht="16.5" customHeight="1">
      <c r="B41" s="73" t="s">
        <v>36</v>
      </c>
      <c r="C41" s="74"/>
      <c r="D41" s="477">
        <f>SUM(D42:D46)</f>
        <v>430809.76146</v>
      </c>
      <c r="E41" s="477">
        <f>SUM(E42:E46)</f>
        <v>1561254.5755399999</v>
      </c>
    </row>
    <row r="42" spans="2:5" s="65" customFormat="1" ht="16.5" customHeight="1">
      <c r="B42" s="390" t="s">
        <v>166</v>
      </c>
      <c r="C42" s="74" t="s">
        <v>103</v>
      </c>
      <c r="D42" s="386">
        <v>228633.79942</v>
      </c>
      <c r="E42" s="386">
        <f>ROUND(+D42*$F$9,5)</f>
        <v>828568.8891</v>
      </c>
    </row>
    <row r="43" spans="2:7" s="65" customFormat="1" ht="16.5" customHeight="1">
      <c r="B43" s="390" t="s">
        <v>234</v>
      </c>
      <c r="C43" s="74" t="s">
        <v>103</v>
      </c>
      <c r="D43" s="386">
        <v>159533.47602</v>
      </c>
      <c r="E43" s="386">
        <f>ROUND(+D43*$F$9,5)</f>
        <v>578149.3171</v>
      </c>
      <c r="G43" s="507"/>
    </row>
    <row r="44" spans="2:7" s="65" customFormat="1" ht="16.5" customHeight="1">
      <c r="B44" s="390" t="s">
        <v>210</v>
      </c>
      <c r="C44" s="74" t="s">
        <v>102</v>
      </c>
      <c r="D44" s="386">
        <v>22705.77106</v>
      </c>
      <c r="E44" s="386">
        <f>ROUND(+D44*$F$9,5)</f>
        <v>82285.71432</v>
      </c>
      <c r="G44" s="507"/>
    </row>
    <row r="45" spans="2:7" s="65" customFormat="1" ht="16.5" customHeight="1">
      <c r="B45" s="390" t="s">
        <v>235</v>
      </c>
      <c r="C45" s="74" t="s">
        <v>103</v>
      </c>
      <c r="D45" s="386">
        <v>12500</v>
      </c>
      <c r="E45" s="386">
        <f>ROUND(+D45*$F$9,5)</f>
        <v>45300</v>
      </c>
      <c r="G45" s="507"/>
    </row>
    <row r="46" spans="2:8" s="65" customFormat="1" ht="16.5" customHeight="1">
      <c r="B46" s="390" t="s">
        <v>167</v>
      </c>
      <c r="C46" s="74" t="s">
        <v>103</v>
      </c>
      <c r="D46" s="386">
        <v>7436.71496</v>
      </c>
      <c r="E46" s="386">
        <f>ROUND(+D46*$F$9,5)</f>
        <v>26950.65502</v>
      </c>
      <c r="H46" s="363"/>
    </row>
    <row r="47" spans="2:5" s="65" customFormat="1" ht="9.75" customHeight="1">
      <c r="B47" s="143"/>
      <c r="C47" s="144"/>
      <c r="D47" s="478"/>
      <c r="E47" s="478"/>
    </row>
    <row r="48" spans="2:5" s="81" customFormat="1" ht="15" customHeight="1">
      <c r="B48" s="623" t="s">
        <v>100</v>
      </c>
      <c r="C48" s="145"/>
      <c r="D48" s="628">
        <f>+D29+D14</f>
        <v>8000725.92845</v>
      </c>
      <c r="E48" s="593">
        <f>+E29+E14</f>
        <v>28994630.76471</v>
      </c>
    </row>
    <row r="49" spans="2:5" s="81" customFormat="1" ht="15" customHeight="1">
      <c r="B49" s="599"/>
      <c r="C49" s="146"/>
      <c r="D49" s="594"/>
      <c r="E49" s="594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222</v>
      </c>
      <c r="C51" s="86"/>
      <c r="D51" s="522"/>
      <c r="E51" s="65"/>
    </row>
    <row r="52" spans="2:5" ht="14.25" customHeight="1">
      <c r="B52" s="86" t="s">
        <v>224</v>
      </c>
      <c r="C52" s="86"/>
      <c r="D52" s="86"/>
      <c r="E52" s="65"/>
    </row>
    <row r="53" spans="2:5" ht="14.25" customHeight="1">
      <c r="B53" s="86" t="s">
        <v>260</v>
      </c>
      <c r="C53" s="86"/>
      <c r="D53" s="169"/>
      <c r="E53" s="65"/>
    </row>
    <row r="54" spans="2:5" ht="14.25" customHeight="1">
      <c r="B54" s="86" t="s">
        <v>261</v>
      </c>
      <c r="C54" s="86"/>
      <c r="D54" s="86"/>
      <c r="E54" s="211"/>
    </row>
    <row r="55" spans="2:5" ht="12.75">
      <c r="B55" s="460"/>
      <c r="C55" s="86"/>
      <c r="D55" s="86"/>
      <c r="E55" s="211"/>
    </row>
    <row r="56" spans="4:6" ht="15">
      <c r="D56" s="393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22" t="s">
        <v>136</v>
      </c>
      <c r="C61" s="622"/>
      <c r="D61" s="622"/>
      <c r="E61" s="622"/>
      <c r="F61" s="135"/>
    </row>
    <row r="62" spans="2:6" s="136" customFormat="1" ht="18">
      <c r="B62" s="622" t="s">
        <v>137</v>
      </c>
      <c r="C62" s="622"/>
      <c r="D62" s="622"/>
      <c r="E62" s="622"/>
      <c r="F62" s="135"/>
    </row>
    <row r="63" spans="2:5" ht="16.5">
      <c r="B63" s="627" t="s">
        <v>105</v>
      </c>
      <c r="C63" s="627"/>
      <c r="D63" s="627"/>
      <c r="E63" s="627"/>
    </row>
    <row r="64" spans="2:5" ht="15.75">
      <c r="B64" s="597" t="str">
        <f>+B9</f>
        <v>Al 31 de diciembre de 2020</v>
      </c>
      <c r="C64" s="597"/>
      <c r="D64" s="597"/>
      <c r="E64" s="254"/>
    </row>
    <row r="65" spans="2:5" ht="9.75" customHeight="1">
      <c r="B65" s="184"/>
      <c r="C65" s="184"/>
      <c r="D65" s="184"/>
      <c r="E65" s="184"/>
    </row>
    <row r="66" spans="2:5" ht="16.5" customHeight="1">
      <c r="B66" s="397" t="s">
        <v>212</v>
      </c>
      <c r="C66" s="618" t="s">
        <v>101</v>
      </c>
      <c r="D66" s="620" t="s">
        <v>87</v>
      </c>
      <c r="E66" s="585" t="s">
        <v>164</v>
      </c>
    </row>
    <row r="67" spans="2:5" s="81" customFormat="1" ht="16.5" customHeight="1">
      <c r="B67" s="396" t="s">
        <v>213</v>
      </c>
      <c r="C67" s="619"/>
      <c r="D67" s="621"/>
      <c r="E67" s="586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4" t="s">
        <v>239</v>
      </c>
      <c r="C69" s="364"/>
      <c r="D69" s="398">
        <f>+D70</f>
        <v>0</v>
      </c>
      <c r="E69" s="398">
        <f>+E70</f>
        <v>0</v>
      </c>
    </row>
    <row r="70" spans="2:5" s="81" customFormat="1" ht="16.5" hidden="1">
      <c r="B70" s="73" t="s">
        <v>35</v>
      </c>
      <c r="C70" s="73"/>
      <c r="D70" s="399">
        <f>SUM(D71:D71)</f>
        <v>0</v>
      </c>
      <c r="E70" s="399">
        <f>SUM(E71:E71)</f>
        <v>0</v>
      </c>
    </row>
    <row r="71" spans="2:5" s="81" customFormat="1" ht="16.5" hidden="1">
      <c r="B71" s="390"/>
      <c r="C71" s="74"/>
      <c r="D71" s="429">
        <v>0</v>
      </c>
      <c r="E71" s="394">
        <f>ROUND(+D71*$F$9,5)</f>
        <v>0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4" t="s">
        <v>237</v>
      </c>
      <c r="C73" s="364"/>
      <c r="D73" s="398">
        <f>+D74+D88+D90</f>
        <v>1461512.5371500002</v>
      </c>
      <c r="E73" s="398">
        <f>+E74+E88+E90</f>
        <v>5296521.43464</v>
      </c>
    </row>
    <row r="74" spans="2:5" s="65" customFormat="1" ht="16.5" customHeight="1">
      <c r="B74" s="73" t="s">
        <v>35</v>
      </c>
      <c r="C74" s="73"/>
      <c r="D74" s="399">
        <f>SUM(D75:D87)</f>
        <v>1271202.5665800003</v>
      </c>
      <c r="E74" s="399">
        <f>SUM(E75:E87)</f>
        <v>4606838.10129</v>
      </c>
    </row>
    <row r="75" spans="2:5" s="65" customFormat="1" ht="16.5" customHeight="1">
      <c r="B75" s="390" t="s">
        <v>187</v>
      </c>
      <c r="C75" s="74" t="s">
        <v>102</v>
      </c>
      <c r="D75" s="429">
        <v>270547.0932800002</v>
      </c>
      <c r="E75" s="394">
        <f aca="true" t="shared" si="1" ref="E75:E87">ROUND(+D75*$F$9,5)</f>
        <v>980462.66605</v>
      </c>
    </row>
    <row r="76" spans="2:5" s="65" customFormat="1" ht="16.5" customHeight="1">
      <c r="B76" s="390" t="s">
        <v>157</v>
      </c>
      <c r="C76" s="74" t="s">
        <v>102</v>
      </c>
      <c r="D76" s="429">
        <v>262932.0945400001</v>
      </c>
      <c r="E76" s="394">
        <f t="shared" si="1"/>
        <v>952865.91061</v>
      </c>
    </row>
    <row r="77" spans="2:5" s="65" customFormat="1" ht="16.5" customHeight="1">
      <c r="B77" s="390" t="s">
        <v>188</v>
      </c>
      <c r="C77" s="74" t="s">
        <v>102</v>
      </c>
      <c r="D77" s="429">
        <v>224015.60044</v>
      </c>
      <c r="E77" s="394">
        <f t="shared" si="1"/>
        <v>811832.53599</v>
      </c>
    </row>
    <row r="78" spans="2:5" s="65" customFormat="1" ht="16.5" customHeight="1">
      <c r="B78" s="390" t="s">
        <v>184</v>
      </c>
      <c r="C78" s="74" t="s">
        <v>102</v>
      </c>
      <c r="D78" s="429">
        <v>100971.30243</v>
      </c>
      <c r="E78" s="394">
        <f t="shared" si="1"/>
        <v>365920.00001</v>
      </c>
    </row>
    <row r="79" spans="2:5" s="65" customFormat="1" ht="16.5" customHeight="1">
      <c r="B79" s="390" t="s">
        <v>252</v>
      </c>
      <c r="C79" s="74" t="s">
        <v>103</v>
      </c>
      <c r="D79" s="429">
        <v>93000</v>
      </c>
      <c r="E79" s="394">
        <f t="shared" si="1"/>
        <v>337032</v>
      </c>
    </row>
    <row r="80" spans="2:5" s="65" customFormat="1" ht="16.5" customHeight="1">
      <c r="B80" s="390" t="s">
        <v>262</v>
      </c>
      <c r="C80" s="74" t="s">
        <v>103</v>
      </c>
      <c r="D80" s="429">
        <v>75000</v>
      </c>
      <c r="E80" s="394">
        <f t="shared" si="1"/>
        <v>271800</v>
      </c>
    </row>
    <row r="81" spans="2:5" s="65" customFormat="1" ht="16.5" customHeight="1">
      <c r="B81" s="390" t="s">
        <v>256</v>
      </c>
      <c r="C81" s="74" t="s">
        <v>103</v>
      </c>
      <c r="D81" s="429">
        <v>66000</v>
      </c>
      <c r="E81" s="394">
        <f t="shared" si="1"/>
        <v>239184</v>
      </c>
    </row>
    <row r="82" spans="2:5" s="65" customFormat="1" ht="16.5" customHeight="1">
      <c r="B82" s="390" t="s">
        <v>268</v>
      </c>
      <c r="C82" s="74" t="s">
        <v>103</v>
      </c>
      <c r="D82" s="429">
        <v>50000</v>
      </c>
      <c r="E82" s="394">
        <f t="shared" si="1"/>
        <v>181200</v>
      </c>
    </row>
    <row r="83" spans="2:5" s="65" customFormat="1" ht="16.5" customHeight="1">
      <c r="B83" s="390" t="s">
        <v>264</v>
      </c>
      <c r="C83" s="74" t="s">
        <v>103</v>
      </c>
      <c r="D83" s="429">
        <v>48000</v>
      </c>
      <c r="E83" s="394">
        <f t="shared" si="1"/>
        <v>173952</v>
      </c>
    </row>
    <row r="84" spans="2:5" s="65" customFormat="1" ht="16.5" customHeight="1">
      <c r="B84" s="390" t="s">
        <v>253</v>
      </c>
      <c r="C84" s="74" t="s">
        <v>102</v>
      </c>
      <c r="D84" s="429">
        <v>41000</v>
      </c>
      <c r="E84" s="394">
        <f t="shared" si="1"/>
        <v>148584</v>
      </c>
    </row>
    <row r="85" spans="2:5" s="65" customFormat="1" ht="16.5" customHeight="1">
      <c r="B85" s="390" t="s">
        <v>269</v>
      </c>
      <c r="C85" s="74" t="s">
        <v>103</v>
      </c>
      <c r="D85" s="429">
        <v>25000</v>
      </c>
      <c r="E85" s="394">
        <f t="shared" si="1"/>
        <v>90600</v>
      </c>
    </row>
    <row r="86" spans="2:5" s="65" customFormat="1" ht="16.5" customHeight="1">
      <c r="B86" s="390" t="s">
        <v>267</v>
      </c>
      <c r="C86" s="74" t="s">
        <v>102</v>
      </c>
      <c r="D86" s="429">
        <v>7736.47589</v>
      </c>
      <c r="E86" s="394">
        <f t="shared" si="1"/>
        <v>28036.98863</v>
      </c>
    </row>
    <row r="87" spans="2:5" s="65" customFormat="1" ht="16.5" customHeight="1">
      <c r="B87" s="390" t="s">
        <v>270</v>
      </c>
      <c r="C87" s="74" t="s">
        <v>103</v>
      </c>
      <c r="D87" s="429">
        <v>7000</v>
      </c>
      <c r="E87" s="394">
        <f t="shared" si="1"/>
        <v>25368</v>
      </c>
    </row>
    <row r="88" spans="2:5" s="65" customFormat="1" ht="16.5" customHeight="1">
      <c r="B88" s="73" t="s">
        <v>125</v>
      </c>
      <c r="C88" s="75"/>
      <c r="D88" s="399">
        <f>+D89</f>
        <v>140309.97057</v>
      </c>
      <c r="E88" s="399">
        <f>+E89</f>
        <v>508483.33335</v>
      </c>
    </row>
    <row r="89" spans="2:5" s="65" customFormat="1" ht="16.5" customHeight="1">
      <c r="B89" s="390" t="s">
        <v>185</v>
      </c>
      <c r="C89" s="74" t="s">
        <v>102</v>
      </c>
      <c r="D89" s="429">
        <v>140309.97057</v>
      </c>
      <c r="E89" s="394">
        <f>ROUND(+D89*$F$9,5)</f>
        <v>508483.33335</v>
      </c>
    </row>
    <row r="90" spans="2:5" s="65" customFormat="1" ht="16.5" customHeight="1">
      <c r="B90" s="73" t="s">
        <v>36</v>
      </c>
      <c r="C90" s="74"/>
      <c r="D90" s="399">
        <f>SUM(D91:D91)</f>
        <v>50000</v>
      </c>
      <c r="E90" s="399">
        <f>SUM(E91:E91)</f>
        <v>181200</v>
      </c>
    </row>
    <row r="91" spans="2:5" s="65" customFormat="1" ht="16.5" customHeight="1">
      <c r="B91" s="390" t="s">
        <v>179</v>
      </c>
      <c r="C91" s="74" t="s">
        <v>103</v>
      </c>
      <c r="D91" s="429">
        <v>50000</v>
      </c>
      <c r="E91" s="394">
        <f>ROUND(+D91*$F$9,5)</f>
        <v>181200</v>
      </c>
    </row>
    <row r="92" spans="2:9" s="65" customFormat="1" ht="9.75" customHeight="1">
      <c r="B92" s="143"/>
      <c r="C92" s="143"/>
      <c r="D92" s="400"/>
      <c r="E92" s="400"/>
      <c r="G92" s="448"/>
      <c r="H92" s="448"/>
      <c r="I92" s="448"/>
    </row>
    <row r="93" spans="2:7" s="81" customFormat="1" ht="15" customHeight="1">
      <c r="B93" s="623" t="s">
        <v>100</v>
      </c>
      <c r="C93" s="145"/>
      <c r="D93" s="625">
        <f>+D69+D73</f>
        <v>1461512.5371500002</v>
      </c>
      <c r="E93" s="625">
        <f>+E69+E73</f>
        <v>5296521.43464</v>
      </c>
      <c r="G93" s="65"/>
    </row>
    <row r="94" spans="2:7" s="81" customFormat="1" ht="15" customHeight="1">
      <c r="B94" s="599"/>
      <c r="C94" s="146"/>
      <c r="D94" s="626"/>
      <c r="E94" s="626"/>
      <c r="G94" s="65"/>
    </row>
    <row r="95" spans="2:7" ht="7.5" customHeight="1">
      <c r="B95" s="147"/>
      <c r="C95" s="147"/>
      <c r="D95" s="97"/>
      <c r="E95" s="97"/>
      <c r="G95" s="65"/>
    </row>
    <row r="96" spans="4:7" ht="14.25">
      <c r="D96" s="439"/>
      <c r="E96" s="247"/>
      <c r="G96" s="65"/>
    </row>
    <row r="97" spans="4:7" ht="14.25">
      <c r="D97" s="248"/>
      <c r="G97" s="65"/>
    </row>
    <row r="98" spans="4:7" ht="14.25">
      <c r="D98" s="98"/>
      <c r="E98" s="98"/>
      <c r="G98" s="65"/>
    </row>
    <row r="99" ht="14.25">
      <c r="G99" s="65"/>
    </row>
    <row r="100" ht="14.25">
      <c r="G100" s="65"/>
    </row>
    <row r="101" ht="14.25">
      <c r="G101" s="65"/>
    </row>
    <row r="102" ht="14.25">
      <c r="G102" s="65"/>
    </row>
    <row r="103" ht="14.25">
      <c r="G103" s="65"/>
    </row>
    <row r="104" ht="14.25">
      <c r="G104" s="65"/>
    </row>
  </sheetData>
  <sheetProtection/>
  <mergeCells count="20">
    <mergeCell ref="B1:E1"/>
    <mergeCell ref="B2:E2"/>
    <mergeCell ref="B3:E3"/>
    <mergeCell ref="B4:E4"/>
    <mergeCell ref="E11:E12"/>
    <mergeCell ref="B93:B94"/>
    <mergeCell ref="D93:D94"/>
    <mergeCell ref="E93:E94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8 E9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136</v>
      </c>
      <c r="C6" s="376"/>
      <c r="D6" s="376"/>
      <c r="P6" s="196"/>
    </row>
    <row r="7" spans="2:16" ht="18">
      <c r="B7" s="376" t="s">
        <v>135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31 de diciembre de 2020</v>
      </c>
      <c r="C9" s="378"/>
      <c r="D9" s="298"/>
      <c r="E9" s="379">
        <f>+Portada!H39</f>
        <v>3.624</v>
      </c>
      <c r="P9" s="196"/>
    </row>
    <row r="10" spans="2:16" s="77" customFormat="1" ht="9.75" customHeight="1">
      <c r="B10" s="536"/>
      <c r="C10" s="536"/>
      <c r="D10" s="536"/>
      <c r="E10" s="212"/>
      <c r="P10" s="197"/>
    </row>
    <row r="11" spans="2:16" ht="16.5" customHeight="1">
      <c r="B11" s="552" t="s">
        <v>97</v>
      </c>
      <c r="C11" s="629" t="s">
        <v>87</v>
      </c>
      <c r="D11" s="631" t="s">
        <v>164</v>
      </c>
      <c r="P11" s="196"/>
    </row>
    <row r="12" spans="2:16" s="111" customFormat="1" ht="16.5" customHeight="1">
      <c r="B12" s="553"/>
      <c r="C12" s="630"/>
      <c r="D12" s="632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13">
        <f>+C16+C34</f>
        <v>7554867.5766300075</v>
      </c>
      <c r="D14" s="513">
        <f>+D16+D34</f>
        <v>27378840.097710006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513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SUM(C17:C32)</f>
        <v>3559173.3466799995</v>
      </c>
      <c r="D16" s="383">
        <f>SUM(D17:D32)</f>
        <v>12898444.208380004</v>
      </c>
      <c r="E16" s="463"/>
      <c r="F16" s="463"/>
      <c r="P16" s="197"/>
    </row>
    <row r="17" spans="2:16" s="77" customFormat="1" ht="16.5" customHeight="1">
      <c r="B17" s="381" t="s">
        <v>201</v>
      </c>
      <c r="C17" s="497">
        <v>3276827.9627199997</v>
      </c>
      <c r="D17" s="384">
        <f aca="true" t="shared" si="0" ref="D17:D32">ROUND(+C17*$E$9,5)</f>
        <v>11875224.5369</v>
      </c>
      <c r="E17" s="463"/>
      <c r="F17" s="463"/>
      <c r="P17" s="197"/>
    </row>
    <row r="18" spans="2:16" s="77" customFormat="1" ht="16.5" customHeight="1">
      <c r="B18" s="381" t="s">
        <v>209</v>
      </c>
      <c r="C18" s="497">
        <v>141598.61328</v>
      </c>
      <c r="D18" s="384">
        <f t="shared" si="0"/>
        <v>513153.37453</v>
      </c>
      <c r="E18" s="463"/>
      <c r="F18" s="463"/>
      <c r="P18" s="197"/>
    </row>
    <row r="19" spans="2:16" s="77" customFormat="1" ht="16.5" customHeight="1">
      <c r="B19" s="381" t="s">
        <v>199</v>
      </c>
      <c r="C19" s="497">
        <v>37785.74247</v>
      </c>
      <c r="D19" s="384">
        <f t="shared" si="0"/>
        <v>136935.53071</v>
      </c>
      <c r="E19" s="463"/>
      <c r="F19" s="463"/>
      <c r="P19" s="197"/>
    </row>
    <row r="20" spans="2:16" s="77" customFormat="1" ht="16.5" customHeight="1">
      <c r="B20" s="381" t="s">
        <v>195</v>
      </c>
      <c r="C20" s="497">
        <v>23975.09737</v>
      </c>
      <c r="D20" s="384">
        <f t="shared" si="0"/>
        <v>86885.75287</v>
      </c>
      <c r="E20" s="463"/>
      <c r="F20" s="463"/>
      <c r="P20" s="197"/>
    </row>
    <row r="21" spans="2:16" s="77" customFormat="1" ht="16.5" customHeight="1">
      <c r="B21" s="381" t="s">
        <v>169</v>
      </c>
      <c r="C21" s="497">
        <v>22111.23836</v>
      </c>
      <c r="D21" s="384">
        <f t="shared" si="0"/>
        <v>80131.12782</v>
      </c>
      <c r="E21" s="463"/>
      <c r="F21" s="463"/>
      <c r="P21" s="197"/>
    </row>
    <row r="22" spans="2:16" s="77" customFormat="1" ht="16.5" customHeight="1">
      <c r="B22" s="381" t="s">
        <v>168</v>
      </c>
      <c r="C22" s="497">
        <v>16586.76264</v>
      </c>
      <c r="D22" s="384">
        <f t="shared" si="0"/>
        <v>60110.42781</v>
      </c>
      <c r="E22" s="463"/>
      <c r="F22" s="463"/>
      <c r="P22" s="197"/>
    </row>
    <row r="23" spans="2:16" s="77" customFormat="1" ht="16.5" customHeight="1">
      <c r="B23" s="381" t="s">
        <v>194</v>
      </c>
      <c r="C23" s="497">
        <v>9999.114239999999</v>
      </c>
      <c r="D23" s="384">
        <f t="shared" si="0"/>
        <v>36236.79001</v>
      </c>
      <c r="E23" s="463"/>
      <c r="F23" s="463"/>
      <c r="P23" s="197"/>
    </row>
    <row r="24" spans="2:16" s="77" customFormat="1" ht="16.5" customHeight="1">
      <c r="B24" s="381" t="s">
        <v>200</v>
      </c>
      <c r="C24" s="497">
        <v>8264.75573</v>
      </c>
      <c r="D24" s="384">
        <f t="shared" si="0"/>
        <v>29951.47477</v>
      </c>
      <c r="E24" s="463"/>
      <c r="F24" s="463"/>
      <c r="P24" s="197"/>
    </row>
    <row r="25" spans="2:16" s="77" customFormat="1" ht="16.5" customHeight="1">
      <c r="B25" s="381" t="s">
        <v>208</v>
      </c>
      <c r="C25" s="497">
        <v>5239.497780000001</v>
      </c>
      <c r="D25" s="384">
        <f t="shared" si="0"/>
        <v>18987.93995</v>
      </c>
      <c r="E25" s="463"/>
      <c r="F25" s="463"/>
      <c r="P25" s="197"/>
    </row>
    <row r="26" spans="2:16" s="77" customFormat="1" ht="16.5" customHeight="1">
      <c r="B26" s="381" t="s">
        <v>197</v>
      </c>
      <c r="C26" s="497">
        <v>5001.8642</v>
      </c>
      <c r="D26" s="384">
        <f t="shared" si="0"/>
        <v>18126.75586</v>
      </c>
      <c r="E26" s="463"/>
      <c r="F26" s="463"/>
      <c r="P26" s="197"/>
    </row>
    <row r="27" spans="2:16" s="77" customFormat="1" ht="16.5" customHeight="1">
      <c r="B27" s="381" t="s">
        <v>196</v>
      </c>
      <c r="C27" s="497">
        <v>4912.44276</v>
      </c>
      <c r="D27" s="384">
        <f t="shared" si="0"/>
        <v>17802.69256</v>
      </c>
      <c r="E27" s="463"/>
      <c r="F27" s="463"/>
      <c r="P27" s="197"/>
    </row>
    <row r="28" spans="2:16" s="77" customFormat="1" ht="16.5" customHeight="1">
      <c r="B28" s="381" t="s">
        <v>198</v>
      </c>
      <c r="C28" s="497">
        <v>3222.58629</v>
      </c>
      <c r="D28" s="384">
        <f t="shared" si="0"/>
        <v>11678.65271</v>
      </c>
      <c r="E28" s="463"/>
      <c r="F28" s="463"/>
      <c r="P28" s="197"/>
    </row>
    <row r="29" spans="2:16" s="77" customFormat="1" ht="16.5" customHeight="1">
      <c r="B29" s="381" t="s">
        <v>49</v>
      </c>
      <c r="C29" s="497">
        <v>2072.8798899999997</v>
      </c>
      <c r="D29" s="384">
        <f t="shared" si="0"/>
        <v>7512.11672</v>
      </c>
      <c r="E29" s="463"/>
      <c r="F29" s="463"/>
      <c r="P29" s="197"/>
    </row>
    <row r="30" spans="2:16" s="77" customFormat="1" ht="16.5" customHeight="1">
      <c r="B30" s="381" t="s">
        <v>238</v>
      </c>
      <c r="C30" s="497">
        <v>868.42064</v>
      </c>
      <c r="D30" s="384">
        <f t="shared" si="0"/>
        <v>3147.1564</v>
      </c>
      <c r="E30" s="463"/>
      <c r="F30" s="463"/>
      <c r="P30" s="197"/>
    </row>
    <row r="31" spans="2:16" s="77" customFormat="1" ht="16.5" customHeight="1">
      <c r="B31" s="381" t="s">
        <v>233</v>
      </c>
      <c r="C31" s="497">
        <v>667.0596899999999</v>
      </c>
      <c r="D31" s="384">
        <f t="shared" si="0"/>
        <v>2417.42432</v>
      </c>
      <c r="E31" s="463"/>
      <c r="F31" s="463"/>
      <c r="P31" s="197"/>
    </row>
    <row r="32" spans="2:16" s="77" customFormat="1" ht="16.5" customHeight="1">
      <c r="B32" s="381" t="s">
        <v>43</v>
      </c>
      <c r="C32" s="497">
        <v>39.308620000000005</v>
      </c>
      <c r="D32" s="384">
        <f t="shared" si="0"/>
        <v>142.45444</v>
      </c>
      <c r="E32" s="463"/>
      <c r="F32" s="463"/>
      <c r="P32" s="197"/>
    </row>
    <row r="33" spans="2:16" s="77" customFormat="1" ht="12" customHeight="1">
      <c r="B33" s="301"/>
      <c r="C33" s="386"/>
      <c r="D33" s="386"/>
      <c r="E33" s="463"/>
      <c r="F33" s="463"/>
      <c r="P33" s="197"/>
    </row>
    <row r="34" spans="2:16" s="77" customFormat="1" ht="16.5" customHeight="1">
      <c r="B34" s="78" t="s">
        <v>25</v>
      </c>
      <c r="C34" s="383">
        <f>SUM(C35:C37)</f>
        <v>3995694.229950008</v>
      </c>
      <c r="D34" s="383">
        <f>+SUM(D35:D37)</f>
        <v>14480395.88933</v>
      </c>
      <c r="E34" s="463"/>
      <c r="F34" s="463"/>
      <c r="P34" s="197"/>
    </row>
    <row r="35" spans="2:16" s="77" customFormat="1" ht="16.5" customHeight="1">
      <c r="B35" s="381" t="s">
        <v>210</v>
      </c>
      <c r="C35" s="497">
        <v>2398720.0016400083</v>
      </c>
      <c r="D35" s="384">
        <f>ROUND(+C35*$E$9,5)</f>
        <v>8692961.28594</v>
      </c>
      <c r="E35" s="463"/>
      <c r="F35" s="463"/>
      <c r="P35" s="197"/>
    </row>
    <row r="36" spans="2:16" s="77" customFormat="1" ht="16.5" customHeight="1">
      <c r="B36" s="382" t="s">
        <v>170</v>
      </c>
      <c r="C36" s="497">
        <v>1574268.4572499993</v>
      </c>
      <c r="D36" s="384">
        <f>ROUND(+C36*$E$9,5)</f>
        <v>5705148.88907</v>
      </c>
      <c r="E36" s="249"/>
      <c r="F36" s="389"/>
      <c r="P36" s="197"/>
    </row>
    <row r="37" spans="2:16" s="77" customFormat="1" ht="16.5" customHeight="1">
      <c r="B37" s="381" t="s">
        <v>124</v>
      </c>
      <c r="C37" s="497">
        <v>22705.77106</v>
      </c>
      <c r="D37" s="384">
        <f>ROUND(+C37*$E$9,5)</f>
        <v>82285.71432</v>
      </c>
      <c r="E37" s="249"/>
      <c r="F37" s="389"/>
      <c r="P37" s="197"/>
    </row>
    <row r="38" spans="2:16" s="77" customFormat="1" ht="15" customHeight="1">
      <c r="B38" s="301"/>
      <c r="C38" s="484"/>
      <c r="D38" s="484"/>
      <c r="E38" s="249"/>
      <c r="F38" s="389"/>
      <c r="P38" s="197"/>
    </row>
    <row r="39" spans="2:16" s="77" customFormat="1" ht="19.5" customHeight="1">
      <c r="B39" s="79" t="s">
        <v>203</v>
      </c>
      <c r="C39" s="513">
        <f>+C41+C53</f>
        <v>445858.3518199999</v>
      </c>
      <c r="D39" s="513">
        <f>+D41+D53</f>
        <v>1615790.6670000004</v>
      </c>
      <c r="E39" s="249"/>
      <c r="F39" s="389"/>
      <c r="P39" s="197"/>
    </row>
    <row r="40" spans="2:16" s="77" customFormat="1" ht="9.75" customHeight="1">
      <c r="B40" s="79"/>
      <c r="C40" s="513"/>
      <c r="D40" s="513"/>
      <c r="E40" s="249"/>
      <c r="F40" s="389"/>
      <c r="P40" s="197"/>
    </row>
    <row r="41" spans="2:16" s="77" customFormat="1" ht="16.5" customHeight="1">
      <c r="B41" s="78" t="s">
        <v>24</v>
      </c>
      <c r="C41" s="383">
        <f>SUM(C42:C51)</f>
        <v>409659.16224999994</v>
      </c>
      <c r="D41" s="383">
        <f>SUM(D42:D51)</f>
        <v>1484604.8040000002</v>
      </c>
      <c r="E41" s="249"/>
      <c r="F41" s="249"/>
      <c r="P41" s="197"/>
    </row>
    <row r="42" spans="2:16" s="77" customFormat="1" ht="16.5" customHeight="1">
      <c r="B42" s="381" t="s">
        <v>209</v>
      </c>
      <c r="C42" s="497">
        <v>391251.34397</v>
      </c>
      <c r="D42" s="384">
        <f aca="true" t="shared" si="1" ref="D42:D51">ROUND(+C42*$E$9,5)</f>
        <v>1417894.87055</v>
      </c>
      <c r="E42" s="249"/>
      <c r="F42" s="249"/>
      <c r="P42" s="197"/>
    </row>
    <row r="43" spans="2:16" s="77" customFormat="1" ht="16.5" customHeight="1">
      <c r="B43" s="346" t="s">
        <v>206</v>
      </c>
      <c r="C43" s="497">
        <v>5044.49669</v>
      </c>
      <c r="D43" s="384">
        <f t="shared" si="1"/>
        <v>18281.256</v>
      </c>
      <c r="E43" s="249"/>
      <c r="F43" s="249"/>
      <c r="P43" s="197"/>
    </row>
    <row r="44" spans="2:16" s="77" customFormat="1" ht="16.5" customHeight="1">
      <c r="B44" s="346" t="s">
        <v>69</v>
      </c>
      <c r="C44" s="497">
        <v>4083.4942199999996</v>
      </c>
      <c r="D44" s="384">
        <f t="shared" si="1"/>
        <v>14798.58305</v>
      </c>
      <c r="E44" s="249"/>
      <c r="F44" s="249"/>
      <c r="P44" s="197"/>
    </row>
    <row r="45" spans="2:16" s="77" customFormat="1" ht="16.5" customHeight="1">
      <c r="B45" s="346" t="s">
        <v>44</v>
      </c>
      <c r="C45" s="497">
        <v>2720.17371</v>
      </c>
      <c r="D45" s="384">
        <f t="shared" si="1"/>
        <v>9857.90953</v>
      </c>
      <c r="E45" s="249"/>
      <c r="F45" s="249"/>
      <c r="P45" s="197"/>
    </row>
    <row r="46" spans="2:16" s="77" customFormat="1" ht="16.5" customHeight="1">
      <c r="B46" s="346" t="s">
        <v>158</v>
      </c>
      <c r="C46" s="497">
        <v>2254.34621</v>
      </c>
      <c r="D46" s="384">
        <f t="shared" si="1"/>
        <v>8169.75067</v>
      </c>
      <c r="E46" s="249"/>
      <c r="F46" s="249"/>
      <c r="P46" s="197"/>
    </row>
    <row r="47" spans="2:16" s="77" customFormat="1" ht="16.5" customHeight="1">
      <c r="B47" s="346" t="s">
        <v>42</v>
      </c>
      <c r="C47" s="497">
        <v>1650.62588</v>
      </c>
      <c r="D47" s="384">
        <f t="shared" si="1"/>
        <v>5981.86819</v>
      </c>
      <c r="E47" s="249"/>
      <c r="F47" s="249"/>
      <c r="P47" s="197"/>
    </row>
    <row r="48" spans="2:16" s="77" customFormat="1" ht="16.5" customHeight="1">
      <c r="B48" s="346" t="s">
        <v>51</v>
      </c>
      <c r="C48" s="497">
        <v>1624.3942</v>
      </c>
      <c r="D48" s="384">
        <f t="shared" si="1"/>
        <v>5886.80458</v>
      </c>
      <c r="E48" s="249"/>
      <c r="F48" s="249"/>
      <c r="P48" s="197"/>
    </row>
    <row r="49" spans="2:16" s="77" customFormat="1" ht="16.5" customHeight="1">
      <c r="B49" s="346" t="s">
        <v>207</v>
      </c>
      <c r="C49" s="497">
        <v>610.65595</v>
      </c>
      <c r="D49" s="384">
        <f t="shared" si="1"/>
        <v>2213.01716</v>
      </c>
      <c r="E49" s="249"/>
      <c r="F49" s="249"/>
      <c r="P49" s="197"/>
    </row>
    <row r="50" spans="2:16" s="77" customFormat="1" ht="16.5" customHeight="1">
      <c r="B50" s="346" t="s">
        <v>229</v>
      </c>
      <c r="C50" s="497">
        <v>336.96934000000005</v>
      </c>
      <c r="D50" s="384">
        <f t="shared" si="1"/>
        <v>1221.17689</v>
      </c>
      <c r="E50" s="249"/>
      <c r="F50" s="249"/>
      <c r="P50" s="197"/>
    </row>
    <row r="51" spans="2:16" s="77" customFormat="1" ht="16.5" customHeight="1">
      <c r="B51" s="346" t="s">
        <v>208</v>
      </c>
      <c r="C51" s="497">
        <v>82.66208</v>
      </c>
      <c r="D51" s="384">
        <f t="shared" si="1"/>
        <v>299.56738</v>
      </c>
      <c r="E51" s="249"/>
      <c r="F51" s="249"/>
      <c r="P51" s="197"/>
    </row>
    <row r="52" spans="2:16" s="77" customFormat="1" ht="12" customHeight="1">
      <c r="B52" s="390"/>
      <c r="C52" s="386"/>
      <c r="D52" s="386"/>
      <c r="E52" s="249"/>
      <c r="F52" s="249"/>
      <c r="G52" s="450"/>
      <c r="P52" s="197"/>
    </row>
    <row r="53" spans="2:16" s="77" customFormat="1" ht="16.5" customHeight="1">
      <c r="B53" s="78" t="s">
        <v>25</v>
      </c>
      <c r="C53" s="383">
        <f>+C54</f>
        <v>36199.18957</v>
      </c>
      <c r="D53" s="383">
        <f>+D54</f>
        <v>131185.863</v>
      </c>
      <c r="E53" s="249"/>
      <c r="F53" s="449"/>
      <c r="P53" s="197"/>
    </row>
    <row r="54" spans="2:16" s="77" customFormat="1" ht="16.5" customHeight="1">
      <c r="B54" s="346" t="s">
        <v>210</v>
      </c>
      <c r="C54" s="497">
        <v>36199.18957</v>
      </c>
      <c r="D54" s="384">
        <f>ROUND(+C54*$E$9,5)</f>
        <v>131185.863</v>
      </c>
      <c r="E54" s="249"/>
      <c r="F54" s="389"/>
      <c r="P54" s="197"/>
    </row>
    <row r="55" spans="2:16" s="77" customFormat="1" ht="9.75" customHeight="1">
      <c r="B55" s="76"/>
      <c r="C55" s="391"/>
      <c r="D55" s="391"/>
      <c r="E55" s="249"/>
      <c r="F55" s="389"/>
      <c r="P55" s="197"/>
    </row>
    <row r="56" spans="2:16" s="77" customFormat="1" ht="18" customHeight="1" hidden="1">
      <c r="B56" s="150"/>
      <c r="C56" s="384"/>
      <c r="D56" s="384"/>
      <c r="E56" s="249"/>
      <c r="F56" s="389"/>
      <c r="P56" s="197"/>
    </row>
    <row r="57" spans="2:16" s="77" customFormat="1" ht="21.75" customHeight="1" hidden="1">
      <c r="B57" s="79" t="s">
        <v>112</v>
      </c>
      <c r="C57" s="513">
        <f>+C58</f>
        <v>0</v>
      </c>
      <c r="D57" s="513">
        <f>+D58</f>
        <v>0</v>
      </c>
      <c r="E57" s="249"/>
      <c r="F57" s="389"/>
      <c r="H57" s="302"/>
      <c r="P57" s="197"/>
    </row>
    <row r="58" spans="2:16" s="77" customFormat="1" ht="21.75" customHeight="1" hidden="1">
      <c r="B58" s="76" t="s">
        <v>66</v>
      </c>
      <c r="C58" s="391">
        <f>+C59</f>
        <v>0</v>
      </c>
      <c r="D58" s="391">
        <f>+D59</f>
        <v>0</v>
      </c>
      <c r="E58" s="249"/>
      <c r="F58" s="389"/>
      <c r="H58" s="302"/>
      <c r="P58" s="197"/>
    </row>
    <row r="59" spans="2:16" s="77" customFormat="1" ht="21.75" customHeight="1" hidden="1">
      <c r="B59" s="300" t="s">
        <v>109</v>
      </c>
      <c r="C59" s="386">
        <v>0</v>
      </c>
      <c r="D59" s="386">
        <f>+C59*$E$9</f>
        <v>0</v>
      </c>
      <c r="E59" s="249"/>
      <c r="F59" s="389"/>
      <c r="H59" s="302"/>
      <c r="P59" s="197"/>
    </row>
    <row r="60" spans="2:16" s="77" customFormat="1" ht="19.5" customHeight="1" hidden="1">
      <c r="B60" s="150"/>
      <c r="C60" s="384"/>
      <c r="D60" s="384"/>
      <c r="E60" s="249"/>
      <c r="F60" s="389"/>
      <c r="P60" s="197"/>
    </row>
    <row r="61" spans="2:16" s="77" customFormat="1" ht="21.75" customHeight="1" hidden="1">
      <c r="B61" s="79" t="s">
        <v>138</v>
      </c>
      <c r="C61" s="513">
        <f>+C62+C86</f>
        <v>0</v>
      </c>
      <c r="D61" s="513">
        <f>+D62+D86</f>
        <v>0</v>
      </c>
      <c r="E61" s="249"/>
      <c r="F61" s="389"/>
      <c r="P61" s="197"/>
    </row>
    <row r="62" spans="2:16" s="77" customFormat="1" ht="21.75" customHeight="1" hidden="1">
      <c r="B62" s="78" t="s">
        <v>24</v>
      </c>
      <c r="C62" s="383">
        <f>SUM(C63:C84)</f>
        <v>0</v>
      </c>
      <c r="D62" s="383">
        <f>SUM(D63:D84)</f>
        <v>0</v>
      </c>
      <c r="E62" s="249"/>
      <c r="F62" s="389"/>
      <c r="P62" s="197"/>
    </row>
    <row r="63" spans="2:16" s="77" customFormat="1" ht="21.75" customHeight="1" hidden="1">
      <c r="B63" s="300" t="s">
        <v>108</v>
      </c>
      <c r="C63" s="386"/>
      <c r="D63" s="386">
        <f aca="true" t="shared" si="2" ref="D63:D84">+C63*$E$9</f>
        <v>0</v>
      </c>
      <c r="E63" s="249"/>
      <c r="F63" s="389"/>
      <c r="P63" s="197"/>
    </row>
    <row r="64" spans="2:16" s="77" customFormat="1" ht="21.75" customHeight="1" hidden="1">
      <c r="B64" s="300" t="s">
        <v>38</v>
      </c>
      <c r="C64" s="386"/>
      <c r="D64" s="386">
        <f t="shared" si="2"/>
        <v>0</v>
      </c>
      <c r="E64" s="249"/>
      <c r="F64" s="389"/>
      <c r="P64" s="197"/>
    </row>
    <row r="65" spans="2:16" s="77" customFormat="1" ht="21.75" customHeight="1" hidden="1">
      <c r="B65" s="300" t="s">
        <v>39</v>
      </c>
      <c r="C65" s="386"/>
      <c r="D65" s="386">
        <f t="shared" si="2"/>
        <v>0</v>
      </c>
      <c r="E65" s="249"/>
      <c r="F65" s="389"/>
      <c r="P65" s="197"/>
    </row>
    <row r="66" spans="2:16" s="77" customFormat="1" ht="21.75" customHeight="1" hidden="1">
      <c r="B66" s="300" t="s">
        <v>41</v>
      </c>
      <c r="C66" s="386"/>
      <c r="D66" s="386">
        <f t="shared" si="2"/>
        <v>0</v>
      </c>
      <c r="E66" s="249"/>
      <c r="F66" s="389"/>
      <c r="P66" s="197"/>
    </row>
    <row r="67" spans="2:16" s="77" customFormat="1" ht="21.75" customHeight="1" hidden="1">
      <c r="B67" s="300" t="s">
        <v>145</v>
      </c>
      <c r="C67" s="386"/>
      <c r="D67" s="386">
        <f t="shared" si="2"/>
        <v>0</v>
      </c>
      <c r="E67" s="249"/>
      <c r="F67" s="389"/>
      <c r="P67" s="197"/>
    </row>
    <row r="68" spans="2:16" s="77" customFormat="1" ht="21.75" customHeight="1" hidden="1">
      <c r="B68" s="300" t="s">
        <v>40</v>
      </c>
      <c r="C68" s="386"/>
      <c r="D68" s="386">
        <f t="shared" si="2"/>
        <v>0</v>
      </c>
      <c r="E68" s="249"/>
      <c r="F68" s="389"/>
      <c r="P68" s="197"/>
    </row>
    <row r="69" spans="2:16" s="77" customFormat="1" ht="21.75" customHeight="1" hidden="1">
      <c r="B69" s="300" t="s">
        <v>45</v>
      </c>
      <c r="C69" s="386"/>
      <c r="D69" s="386">
        <f t="shared" si="2"/>
        <v>0</v>
      </c>
      <c r="E69" s="249"/>
      <c r="F69" s="389"/>
      <c r="P69" s="197"/>
    </row>
    <row r="70" spans="2:16" s="77" customFormat="1" ht="21.75" customHeight="1" hidden="1">
      <c r="B70" s="300" t="s">
        <v>69</v>
      </c>
      <c r="C70" s="386"/>
      <c r="D70" s="386">
        <f t="shared" si="2"/>
        <v>0</v>
      </c>
      <c r="E70" s="249"/>
      <c r="F70" s="389"/>
      <c r="P70" s="197"/>
    </row>
    <row r="71" spans="2:16" s="77" customFormat="1" ht="21.75" customHeight="1" hidden="1">
      <c r="B71" s="300" t="s">
        <v>47</v>
      </c>
      <c r="C71" s="386"/>
      <c r="D71" s="386">
        <f t="shared" si="2"/>
        <v>0</v>
      </c>
      <c r="E71" s="249"/>
      <c r="F71" s="389"/>
      <c r="P71" s="197"/>
    </row>
    <row r="72" spans="2:16" s="77" customFormat="1" ht="21.75" customHeight="1" hidden="1">
      <c r="B72" s="300" t="s">
        <v>42</v>
      </c>
      <c r="C72" s="386"/>
      <c r="D72" s="386">
        <f t="shared" si="2"/>
        <v>0</v>
      </c>
      <c r="E72" s="249"/>
      <c r="F72" s="389"/>
      <c r="P72" s="197"/>
    </row>
    <row r="73" spans="2:16" s="77" customFormat="1" ht="21.75" customHeight="1" hidden="1">
      <c r="B73" s="300" t="s">
        <v>44</v>
      </c>
      <c r="C73" s="386"/>
      <c r="D73" s="386">
        <f t="shared" si="2"/>
        <v>0</v>
      </c>
      <c r="E73" s="249"/>
      <c r="F73" s="389"/>
      <c r="P73" s="197"/>
    </row>
    <row r="74" spans="2:16" s="77" customFormat="1" ht="21.75" customHeight="1" hidden="1">
      <c r="B74" s="300" t="s">
        <v>48</v>
      </c>
      <c r="C74" s="386"/>
      <c r="D74" s="386">
        <f t="shared" si="2"/>
        <v>0</v>
      </c>
      <c r="E74" s="249"/>
      <c r="F74" s="389"/>
      <c r="P74" s="197"/>
    </row>
    <row r="75" spans="2:16" s="77" customFormat="1" ht="21.75" customHeight="1" hidden="1">
      <c r="B75" s="300" t="s">
        <v>51</v>
      </c>
      <c r="C75" s="386"/>
      <c r="D75" s="386">
        <f t="shared" si="2"/>
        <v>0</v>
      </c>
      <c r="E75" s="249"/>
      <c r="F75" s="389"/>
      <c r="P75" s="197"/>
    </row>
    <row r="76" spans="2:16" s="77" customFormat="1" ht="21.75" customHeight="1" hidden="1">
      <c r="B76" s="300" t="s">
        <v>158</v>
      </c>
      <c r="C76" s="386"/>
      <c r="D76" s="386">
        <f t="shared" si="2"/>
        <v>0</v>
      </c>
      <c r="E76" s="249"/>
      <c r="F76" s="389"/>
      <c r="P76" s="197"/>
    </row>
    <row r="77" spans="2:16" s="77" customFormat="1" ht="21.75" customHeight="1" hidden="1">
      <c r="B77" s="300" t="s">
        <v>53</v>
      </c>
      <c r="C77" s="386"/>
      <c r="D77" s="386">
        <f t="shared" si="2"/>
        <v>0</v>
      </c>
      <c r="E77" s="249"/>
      <c r="F77" s="389"/>
      <c r="P77" s="197"/>
    </row>
    <row r="78" spans="2:16" s="77" customFormat="1" ht="21.75" customHeight="1" hidden="1">
      <c r="B78" s="300" t="s">
        <v>55</v>
      </c>
      <c r="C78" s="386"/>
      <c r="D78" s="386">
        <f t="shared" si="2"/>
        <v>0</v>
      </c>
      <c r="E78" s="249"/>
      <c r="F78" s="389"/>
      <c r="P78" s="197"/>
    </row>
    <row r="79" spans="2:16" s="77" customFormat="1" ht="21.75" customHeight="1" hidden="1">
      <c r="B79" s="300" t="s">
        <v>46</v>
      </c>
      <c r="C79" s="386"/>
      <c r="D79" s="386">
        <f t="shared" si="2"/>
        <v>0</v>
      </c>
      <c r="E79" s="249"/>
      <c r="F79" s="389"/>
      <c r="P79" s="197"/>
    </row>
    <row r="80" spans="2:16" s="77" customFormat="1" ht="21.75" customHeight="1" hidden="1">
      <c r="B80" s="300" t="s">
        <v>50</v>
      </c>
      <c r="C80" s="386"/>
      <c r="D80" s="386">
        <f t="shared" si="2"/>
        <v>0</v>
      </c>
      <c r="E80" s="249"/>
      <c r="F80" s="389"/>
      <c r="P80" s="197"/>
    </row>
    <row r="81" spans="2:16" s="77" customFormat="1" ht="21.75" customHeight="1" hidden="1">
      <c r="B81" s="300" t="s">
        <v>57</v>
      </c>
      <c r="C81" s="386"/>
      <c r="D81" s="386">
        <f t="shared" si="2"/>
        <v>0</v>
      </c>
      <c r="E81" s="249"/>
      <c r="F81" s="389"/>
      <c r="P81" s="197"/>
    </row>
    <row r="82" spans="2:16" s="77" customFormat="1" ht="21.75" customHeight="1" hidden="1">
      <c r="B82" s="300" t="s">
        <v>52</v>
      </c>
      <c r="C82" s="386"/>
      <c r="D82" s="386">
        <f t="shared" si="2"/>
        <v>0</v>
      </c>
      <c r="E82" s="249"/>
      <c r="F82" s="389"/>
      <c r="P82" s="197"/>
    </row>
    <row r="83" spans="2:16" s="77" customFormat="1" ht="21.75" customHeight="1" hidden="1">
      <c r="B83" s="300" t="s">
        <v>54</v>
      </c>
      <c r="C83" s="386"/>
      <c r="D83" s="386">
        <f t="shared" si="2"/>
        <v>0</v>
      </c>
      <c r="E83" s="249"/>
      <c r="F83" s="389"/>
      <c r="P83" s="197"/>
    </row>
    <row r="84" spans="2:16" s="77" customFormat="1" ht="21.75" customHeight="1" hidden="1">
      <c r="B84" s="300" t="s">
        <v>56</v>
      </c>
      <c r="C84" s="386"/>
      <c r="D84" s="386">
        <f t="shared" si="2"/>
        <v>0</v>
      </c>
      <c r="E84" s="249"/>
      <c r="F84" s="389"/>
      <c r="P84" s="197"/>
    </row>
    <row r="85" spans="2:16" s="77" customFormat="1" ht="9.75" customHeight="1" hidden="1">
      <c r="B85" s="76"/>
      <c r="C85" s="391"/>
      <c r="D85" s="391"/>
      <c r="E85" s="249"/>
      <c r="F85" s="389"/>
      <c r="P85" s="197"/>
    </row>
    <row r="86" spans="2:16" s="77" customFormat="1" ht="21.75" customHeight="1" hidden="1">
      <c r="B86" s="78" t="s">
        <v>25</v>
      </c>
      <c r="C86" s="383">
        <f>+C87</f>
        <v>0</v>
      </c>
      <c r="D86" s="383">
        <f>+D87</f>
        <v>0</v>
      </c>
      <c r="E86" s="249"/>
      <c r="F86" s="389"/>
      <c r="P86" s="197"/>
    </row>
    <row r="87" spans="2:16" s="77" customFormat="1" ht="21.75" customHeight="1" hidden="1">
      <c r="B87" s="300" t="s">
        <v>107</v>
      </c>
      <c r="C87" s="386"/>
      <c r="D87" s="386">
        <f>+C87*$E$9</f>
        <v>0</v>
      </c>
      <c r="E87" s="249"/>
      <c r="F87" s="389"/>
      <c r="P87" s="197"/>
    </row>
    <row r="88" spans="2:16" s="77" customFormat="1" ht="4.5" customHeight="1">
      <c r="B88" s="150"/>
      <c r="C88" s="384"/>
      <c r="D88" s="384"/>
      <c r="E88" s="249"/>
      <c r="F88" s="389"/>
      <c r="P88" s="197"/>
    </row>
    <row r="89" spans="2:16" s="77" customFormat="1" ht="15" customHeight="1">
      <c r="B89" s="633" t="s">
        <v>28</v>
      </c>
      <c r="C89" s="593">
        <f>C14+C39</f>
        <v>8000725.928450007</v>
      </c>
      <c r="D89" s="593">
        <f>+D14+D39</f>
        <v>28994630.764710005</v>
      </c>
      <c r="E89" s="249"/>
      <c r="F89" s="389"/>
      <c r="P89" s="197"/>
    </row>
    <row r="90" spans="2:16" s="111" customFormat="1" ht="15" customHeight="1">
      <c r="B90" s="634"/>
      <c r="C90" s="594"/>
      <c r="D90" s="594"/>
      <c r="E90" s="249"/>
      <c r="F90" s="389"/>
      <c r="G90" s="77"/>
      <c r="P90" s="198"/>
    </row>
    <row r="91" spans="2:16" s="77" customFormat="1" ht="7.5" customHeight="1">
      <c r="B91" s="151"/>
      <c r="C91" s="101"/>
      <c r="D91" s="101"/>
      <c r="E91" s="249"/>
      <c r="F91" s="389"/>
      <c r="P91" s="197"/>
    </row>
    <row r="92" spans="1:16" ht="14.25" customHeight="1">
      <c r="A92" s="303"/>
      <c r="B92" s="304" t="s">
        <v>204</v>
      </c>
      <c r="C92" s="316"/>
      <c r="D92" s="305"/>
      <c r="E92" s="249"/>
      <c r="F92" s="389"/>
      <c r="G92" s="77"/>
      <c r="P92" s="196"/>
    </row>
    <row r="93" spans="1:16" ht="14.25" customHeight="1">
      <c r="A93" s="303"/>
      <c r="B93" s="304" t="s">
        <v>205</v>
      </c>
      <c r="C93" s="306"/>
      <c r="D93" s="307"/>
      <c r="E93" s="249"/>
      <c r="F93" s="389"/>
      <c r="G93" s="77"/>
      <c r="P93" s="196"/>
    </row>
    <row r="94" spans="3:16" ht="14.25">
      <c r="C94" s="308"/>
      <c r="D94" s="309"/>
      <c r="E94" s="249"/>
      <c r="F94" s="389"/>
      <c r="G94" s="77"/>
      <c r="P94" s="196"/>
    </row>
    <row r="95" spans="3:16" ht="14.25">
      <c r="C95" s="311"/>
      <c r="D95" s="311"/>
      <c r="E95" s="249"/>
      <c r="F95" s="389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5" t="s">
        <v>122</v>
      </c>
      <c r="C98" s="375"/>
      <c r="D98" s="375"/>
      <c r="H98" s="310"/>
      <c r="P98" s="196"/>
    </row>
    <row r="99" spans="2:16" ht="18">
      <c r="B99" s="376" t="s">
        <v>136</v>
      </c>
      <c r="C99" s="376"/>
      <c r="D99" s="376"/>
      <c r="G99" s="312"/>
      <c r="P99" s="196"/>
    </row>
    <row r="100" spans="2:16" ht="18">
      <c r="B100" s="376" t="s">
        <v>137</v>
      </c>
      <c r="C100" s="376"/>
      <c r="D100" s="376"/>
      <c r="P100" s="196"/>
    </row>
    <row r="101" spans="2:16" ht="16.5">
      <c r="B101" s="380" t="s">
        <v>59</v>
      </c>
      <c r="C101" s="377"/>
      <c r="D101" s="377"/>
      <c r="P101" s="196"/>
    </row>
    <row r="102" spans="2:16" ht="15.75">
      <c r="B102" s="378" t="str">
        <f>+B9</f>
        <v>Al 31 de diciembre de 2020</v>
      </c>
      <c r="C102" s="378"/>
      <c r="D102" s="298"/>
      <c r="P102" s="196"/>
    </row>
    <row r="103" spans="2:16" s="77" customFormat="1" ht="6.75" customHeight="1">
      <c r="B103" s="536"/>
      <c r="C103" s="536"/>
      <c r="D103" s="536"/>
      <c r="E103" s="212"/>
      <c r="P103" s="197"/>
    </row>
    <row r="104" spans="2:16" ht="16.5" customHeight="1">
      <c r="B104" s="552" t="s">
        <v>97</v>
      </c>
      <c r="C104" s="629" t="s">
        <v>87</v>
      </c>
      <c r="D104" s="631" t="s">
        <v>164</v>
      </c>
      <c r="P104" s="196"/>
    </row>
    <row r="105" spans="2:16" s="111" customFormat="1" ht="16.5" customHeight="1">
      <c r="B105" s="553"/>
      <c r="C105" s="630"/>
      <c r="D105" s="632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202</v>
      </c>
      <c r="C107" s="513">
        <f>+C109+C112</f>
        <v>1461512.53715</v>
      </c>
      <c r="D107" s="513">
        <f>+D109+D112</f>
        <v>5296521.43463</v>
      </c>
      <c r="E107" s="212"/>
      <c r="G107" s="302"/>
      <c r="H107" s="302"/>
      <c r="P107" s="197"/>
    </row>
    <row r="108" spans="2:16" s="77" customFormat="1" ht="9.75" customHeight="1">
      <c r="B108" s="79"/>
      <c r="C108" s="513"/>
      <c r="D108" s="513"/>
      <c r="E108" s="212"/>
      <c r="G108" s="302"/>
      <c r="H108" s="302"/>
      <c r="P108" s="197"/>
    </row>
    <row r="109" spans="2:16" s="77" customFormat="1" ht="16.5" customHeight="1">
      <c r="B109" s="78" t="s">
        <v>25</v>
      </c>
      <c r="C109" s="383">
        <f>SUM(C110:C110)</f>
        <v>0</v>
      </c>
      <c r="D109" s="383">
        <f>SUM(D110:D110)</f>
        <v>0</v>
      </c>
      <c r="E109" s="212"/>
      <c r="G109" s="302"/>
      <c r="H109" s="302"/>
      <c r="P109" s="197"/>
    </row>
    <row r="110" spans="2:16" s="77" customFormat="1" ht="16.5" customHeight="1" hidden="1">
      <c r="B110" s="435"/>
      <c r="C110" s="497">
        <v>0</v>
      </c>
      <c r="D110" s="384">
        <f>ROUND(+C110*$E$9,5)</f>
        <v>0</v>
      </c>
      <c r="E110" s="212"/>
      <c r="G110" s="302"/>
      <c r="H110" s="302"/>
      <c r="P110" s="197"/>
    </row>
    <row r="111" spans="2:16" s="77" customFormat="1" ht="12" customHeight="1">
      <c r="B111" s="79"/>
      <c r="C111" s="513"/>
      <c r="D111" s="513"/>
      <c r="E111" s="212"/>
      <c r="G111" s="302"/>
      <c r="H111" s="302"/>
      <c r="P111" s="197"/>
    </row>
    <row r="112" spans="2:16" s="77" customFormat="1" ht="16.5" customHeight="1">
      <c r="B112" s="78" t="s">
        <v>24</v>
      </c>
      <c r="C112" s="383">
        <f>SUM(C113:C121)</f>
        <v>1461512.53715</v>
      </c>
      <c r="D112" s="383">
        <f>SUM(D113:D121)</f>
        <v>5296521.43463</v>
      </c>
      <c r="E112" s="212"/>
      <c r="F112" s="212"/>
      <c r="G112" s="318"/>
      <c r="H112" s="318"/>
      <c r="P112" s="197"/>
    </row>
    <row r="113" spans="2:16" s="77" customFormat="1" ht="16.5" customHeight="1">
      <c r="B113" s="518" t="s">
        <v>246</v>
      </c>
      <c r="C113" s="497">
        <v>1186758.55094</v>
      </c>
      <c r="D113" s="384">
        <f aca="true" t="shared" si="3" ref="D113:D121">ROUND(+C113*$E$9,5)</f>
        <v>4300812.98861</v>
      </c>
      <c r="E113" s="212"/>
      <c r="F113" s="212"/>
      <c r="G113" s="318"/>
      <c r="H113" s="318"/>
      <c r="P113" s="197"/>
    </row>
    <row r="114" spans="2:16" s="77" customFormat="1" ht="16.5" customHeight="1">
      <c r="B114" s="518" t="s">
        <v>245</v>
      </c>
      <c r="C114" s="497">
        <v>61298.037699999986</v>
      </c>
      <c r="D114" s="384">
        <f t="shared" si="3"/>
        <v>222144.08862</v>
      </c>
      <c r="E114" s="212"/>
      <c r="F114" s="212"/>
      <c r="G114" s="318"/>
      <c r="P114" s="197"/>
    </row>
    <row r="115" spans="2:16" s="77" customFormat="1" ht="16.5" customHeight="1">
      <c r="B115" s="518" t="s">
        <v>244</v>
      </c>
      <c r="C115" s="497">
        <v>61027.95972</v>
      </c>
      <c r="D115" s="384">
        <f t="shared" si="3"/>
        <v>221165.32603</v>
      </c>
      <c r="E115" s="212"/>
      <c r="F115" s="212"/>
      <c r="G115" s="318"/>
      <c r="P115" s="197"/>
    </row>
    <row r="116" spans="2:16" s="77" customFormat="1" ht="16.5" customHeight="1">
      <c r="B116" s="518" t="s">
        <v>247</v>
      </c>
      <c r="C116" s="497">
        <v>60430.46352999999</v>
      </c>
      <c r="D116" s="384">
        <f t="shared" si="3"/>
        <v>218999.99983</v>
      </c>
      <c r="E116" s="212"/>
      <c r="F116" s="212"/>
      <c r="G116" s="318"/>
      <c r="P116" s="197"/>
    </row>
    <row r="117" spans="2:16" s="77" customFormat="1" ht="16.5" customHeight="1">
      <c r="B117" s="381" t="s">
        <v>168</v>
      </c>
      <c r="C117" s="497">
        <v>32707.873439999996</v>
      </c>
      <c r="D117" s="384">
        <f t="shared" si="3"/>
        <v>118533.33335</v>
      </c>
      <c r="E117" s="212"/>
      <c r="F117" s="212"/>
      <c r="G117" s="318"/>
      <c r="P117" s="197"/>
    </row>
    <row r="118" spans="2:16" s="77" customFormat="1" ht="16.5" customHeight="1">
      <c r="B118" s="518" t="s">
        <v>248</v>
      </c>
      <c r="C118" s="497">
        <v>24466.519489999995</v>
      </c>
      <c r="D118" s="384">
        <f t="shared" si="3"/>
        <v>88666.66663</v>
      </c>
      <c r="E118" s="212"/>
      <c r="F118" s="212"/>
      <c r="G118" s="318"/>
      <c r="P118" s="197"/>
    </row>
    <row r="119" spans="2:16" s="77" customFormat="1" ht="16.5" customHeight="1">
      <c r="B119" s="518" t="s">
        <v>249</v>
      </c>
      <c r="C119" s="497">
        <v>20819.269200000002</v>
      </c>
      <c r="D119" s="384">
        <f t="shared" si="3"/>
        <v>75449.03158</v>
      </c>
      <c r="E119" s="212"/>
      <c r="F119" s="212"/>
      <c r="G119" s="318"/>
      <c r="P119" s="197"/>
    </row>
    <row r="120" spans="2:16" s="77" customFormat="1" ht="16.5" customHeight="1">
      <c r="B120" s="518" t="s">
        <v>250</v>
      </c>
      <c r="C120" s="497">
        <v>10623.620309999998</v>
      </c>
      <c r="D120" s="384">
        <f t="shared" si="3"/>
        <v>38500</v>
      </c>
      <c r="E120" s="212"/>
      <c r="F120" s="212"/>
      <c r="G120" s="318"/>
      <c r="P120" s="197"/>
    </row>
    <row r="121" spans="2:16" s="77" customFormat="1" ht="16.5" customHeight="1">
      <c r="B121" s="518" t="s">
        <v>251</v>
      </c>
      <c r="C121" s="497">
        <v>3380.2428200000004</v>
      </c>
      <c r="D121" s="384">
        <f t="shared" si="3"/>
        <v>12249.99998</v>
      </c>
      <c r="E121" s="212"/>
      <c r="F121" s="212"/>
      <c r="G121" s="318"/>
      <c r="P121" s="197"/>
    </row>
    <row r="122" spans="2:16" s="77" customFormat="1" ht="9.75" customHeight="1">
      <c r="B122" s="150"/>
      <c r="C122" s="384"/>
      <c r="D122" s="384"/>
      <c r="E122" s="212"/>
      <c r="F122" s="212"/>
      <c r="G122" s="318"/>
      <c r="P122" s="197"/>
    </row>
    <row r="123" spans="2:16" s="77" customFormat="1" ht="15" customHeight="1">
      <c r="B123" s="633" t="s">
        <v>28</v>
      </c>
      <c r="C123" s="593">
        <f>+C107</f>
        <v>1461512.53715</v>
      </c>
      <c r="D123" s="593">
        <f>+D107</f>
        <v>5296521.43463</v>
      </c>
      <c r="E123" s="212"/>
      <c r="F123" s="212"/>
      <c r="G123" s="318"/>
      <c r="P123" s="197"/>
    </row>
    <row r="124" spans="2:16" s="111" customFormat="1" ht="15" customHeight="1">
      <c r="B124" s="634"/>
      <c r="C124" s="594"/>
      <c r="D124" s="594"/>
      <c r="E124" s="212"/>
      <c r="F124" s="450"/>
      <c r="G124" s="318"/>
      <c r="P124" s="198"/>
    </row>
    <row r="125" spans="2:16" s="77" customFormat="1" ht="7.5" customHeight="1">
      <c r="B125" s="151"/>
      <c r="C125" s="101"/>
      <c r="D125" s="101"/>
      <c r="E125" s="212"/>
      <c r="F125" s="450"/>
      <c r="P125" s="197"/>
    </row>
    <row r="126" spans="1:16" ht="14.25" customHeight="1">
      <c r="A126" s="303"/>
      <c r="B126" s="304" t="s">
        <v>204</v>
      </c>
      <c r="C126" s="392"/>
      <c r="D126" s="315"/>
      <c r="P126" s="196"/>
    </row>
    <row r="127" spans="3:16" ht="12.75">
      <c r="C127" s="316"/>
      <c r="D127" s="316"/>
      <c r="P127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7" t="s">
        <v>18</v>
      </c>
      <c r="C6" s="527"/>
      <c r="D6" s="527"/>
      <c r="E6" s="527"/>
      <c r="F6" s="527"/>
      <c r="G6" s="527"/>
    </row>
    <row r="7" spans="2:7" s="4" customFormat="1" ht="15.75">
      <c r="B7" s="528" t="str">
        <f>+Indice!B7</f>
        <v>AL 31 DE DICIEMBRE 2020</v>
      </c>
      <c r="C7" s="528"/>
      <c r="D7" s="528"/>
      <c r="E7" s="528"/>
      <c r="F7" s="528"/>
      <c r="G7" s="528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2" t="s">
        <v>143</v>
      </c>
      <c r="E9" s="532"/>
      <c r="F9" s="532"/>
      <c r="G9" s="53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3" t="s">
        <v>132</v>
      </c>
      <c r="E13" s="533"/>
      <c r="F13" s="533"/>
      <c r="G13" s="533"/>
      <c r="H13" s="533"/>
    </row>
    <row r="14" spans="2:8" ht="15.75" customHeight="1">
      <c r="B14" s="52"/>
      <c r="C14" s="52"/>
      <c r="D14" s="533" t="s">
        <v>133</v>
      </c>
      <c r="E14" s="533"/>
      <c r="F14" s="533"/>
      <c r="G14" s="533"/>
      <c r="H14" s="533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4">
        <v>44196</v>
      </c>
      <c r="E22" s="531"/>
      <c r="F22" s="531"/>
      <c r="G22" s="531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1" t="s">
        <v>17</v>
      </c>
      <c r="E24" s="531"/>
      <c r="F24" s="531"/>
      <c r="G24" s="531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2" t="s">
        <v>152</v>
      </c>
      <c r="E26" s="532"/>
      <c r="F26" s="532"/>
      <c r="G26" s="53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44227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3" t="s">
        <v>161</v>
      </c>
      <c r="E37" s="533"/>
      <c r="F37" s="533"/>
      <c r="G37" s="53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1" t="s">
        <v>172</v>
      </c>
      <c r="E39" s="531"/>
      <c r="F39" s="531"/>
      <c r="G39" s="531"/>
      <c r="H39" s="530">
        <v>3.624</v>
      </c>
    </row>
    <row r="40" spans="4:8" ht="15.75" customHeight="1">
      <c r="D40" s="531"/>
      <c r="E40" s="531"/>
      <c r="F40" s="531"/>
      <c r="G40" s="531"/>
      <c r="H40" s="530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7" t="s">
        <v>174</v>
      </c>
      <c r="C5" s="527"/>
      <c r="D5" s="527"/>
      <c r="E5" s="527"/>
      <c r="F5" s="527"/>
      <c r="G5" s="527"/>
      <c r="H5" s="527"/>
      <c r="I5" s="527"/>
      <c r="J5" s="527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5" t="s">
        <v>18</v>
      </c>
      <c r="C6" s="535"/>
      <c r="D6" s="535"/>
      <c r="E6" s="535"/>
      <c r="F6" s="535"/>
      <c r="G6" s="535"/>
      <c r="H6" s="535"/>
      <c r="I6" s="535"/>
      <c r="J6" s="535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8" t="str">
        <f>+Indice!B7</f>
        <v>AL 31 DE DICIEMBRE 2020</v>
      </c>
      <c r="C7" s="528"/>
      <c r="D7" s="528"/>
      <c r="E7" s="528"/>
      <c r="F7" s="528"/>
      <c r="G7" s="528"/>
      <c r="H7" s="528"/>
      <c r="I7" s="528"/>
      <c r="J7" s="528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8"/>
      <c r="C8" s="528"/>
      <c r="D8" s="528"/>
      <c r="E8" s="528"/>
      <c r="F8" s="528"/>
      <c r="G8" s="528"/>
      <c r="H8" s="528"/>
      <c r="I8" s="528"/>
      <c r="J8" s="528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6" t="s">
        <v>162</v>
      </c>
      <c r="C9" s="536"/>
      <c r="D9" s="536"/>
      <c r="E9" s="536"/>
      <c r="F9" s="536"/>
      <c r="G9" s="536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7" t="s">
        <v>154</v>
      </c>
      <c r="C11" s="538"/>
      <c r="D11" s="538"/>
      <c r="E11" s="539"/>
      <c r="G11" s="537" t="s">
        <v>31</v>
      </c>
      <c r="H11" s="538"/>
      <c r="I11" s="538"/>
      <c r="J11" s="539"/>
    </row>
    <row r="12" spans="2:10" ht="19.5" customHeight="1">
      <c r="B12" s="121"/>
      <c r="C12" s="418" t="s">
        <v>77</v>
      </c>
      <c r="D12" s="419" t="s">
        <v>163</v>
      </c>
      <c r="E12" s="415" t="s">
        <v>27</v>
      </c>
      <c r="G12" s="124"/>
      <c r="H12" s="412" t="s">
        <v>77</v>
      </c>
      <c r="I12" s="412" t="str">
        <f>+D12</f>
        <v>Soles</v>
      </c>
      <c r="J12" s="496" t="s">
        <v>230</v>
      </c>
    </row>
    <row r="13" spans="2:15" ht="19.5" customHeight="1">
      <c r="B13" s="125" t="s">
        <v>73</v>
      </c>
      <c r="C13" s="413">
        <f>(+'DEP-C2'!C18+'DEP-C2'!C42)/1000</f>
        <v>6614.97187366</v>
      </c>
      <c r="D13" s="413">
        <f>(+'DEP-C2'!D18+'DEP-C2'!D42)/1000</f>
        <v>23972.658070150002</v>
      </c>
      <c r="E13" s="416">
        <f>+C13/$C$15</f>
        <v>0.6990916470461774</v>
      </c>
      <c r="G13" s="125" t="s">
        <v>74</v>
      </c>
      <c r="H13" s="413">
        <f>+C21+C22+C23+C24</f>
        <v>4487.53132655</v>
      </c>
      <c r="I13" s="413">
        <f>+D21+D22+D23+D24</f>
        <v>16262.813527429997</v>
      </c>
      <c r="J13" s="494">
        <f>+H13/$H$15</f>
        <v>0.4742568413240097</v>
      </c>
      <c r="N13" s="200"/>
      <c r="O13" s="200"/>
    </row>
    <row r="14" spans="2:15" ht="19.5" customHeight="1">
      <c r="B14" s="125" t="s">
        <v>72</v>
      </c>
      <c r="C14" s="413">
        <f>(+'DEP-C2'!C14+'DEP-C2'!C38)/1000</f>
        <v>2847.266591940001</v>
      </c>
      <c r="D14" s="413">
        <f>(+'DEP-C2'!D14+'DEP-C2'!D38)/1000</f>
        <v>10318.4941291916</v>
      </c>
      <c r="E14" s="416">
        <f>+C14/$C$15</f>
        <v>0.3009083529538225</v>
      </c>
      <c r="G14" s="125" t="s">
        <v>75</v>
      </c>
      <c r="H14" s="413">
        <f>+C20</f>
        <v>4974.70713905</v>
      </c>
      <c r="I14" s="413">
        <f>+D20</f>
        <v>18028.338671920003</v>
      </c>
      <c r="J14" s="494">
        <f>+H14/$H$15</f>
        <v>0.5257431586759903</v>
      </c>
      <c r="O14" s="156"/>
    </row>
    <row r="15" spans="2:15" ht="19.5" customHeight="1">
      <c r="B15" s="126" t="s">
        <v>28</v>
      </c>
      <c r="C15" s="414">
        <f>SUM(C13:C14)</f>
        <v>9462.238465600001</v>
      </c>
      <c r="D15" s="414">
        <f>SUM(D13:D14)</f>
        <v>34291.1521993416</v>
      </c>
      <c r="E15" s="417">
        <f>SUM(E13:E14)</f>
        <v>1</v>
      </c>
      <c r="G15" s="126" t="s">
        <v>28</v>
      </c>
      <c r="H15" s="414">
        <f>SUM(H13:H14)</f>
        <v>9462.2384656</v>
      </c>
      <c r="I15" s="414">
        <f>SUM(I13:I14)</f>
        <v>34291.15219935</v>
      </c>
      <c r="J15" s="495">
        <f>SUM(J13:J14)</f>
        <v>1</v>
      </c>
      <c r="O15" s="156"/>
    </row>
    <row r="16" spans="2:10" ht="19.5" customHeight="1">
      <c r="B16" s="123"/>
      <c r="C16" s="504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37" t="s">
        <v>68</v>
      </c>
      <c r="C18" s="538"/>
      <c r="D18" s="538"/>
      <c r="E18" s="539"/>
      <c r="G18" s="537" t="s">
        <v>62</v>
      </c>
      <c r="H18" s="538"/>
      <c r="I18" s="538"/>
      <c r="J18" s="539"/>
      <c r="L18" s="127"/>
    </row>
    <row r="19" spans="2:10" ht="19.5" customHeight="1">
      <c r="B19" s="124"/>
      <c r="C19" s="412" t="s">
        <v>77</v>
      </c>
      <c r="D19" s="412" t="str">
        <f>+D12</f>
        <v>Soles</v>
      </c>
      <c r="E19" s="420" t="s">
        <v>27</v>
      </c>
      <c r="G19" s="124"/>
      <c r="H19" s="412" t="s">
        <v>77</v>
      </c>
      <c r="I19" s="412" t="str">
        <f>+I12</f>
        <v>Soles</v>
      </c>
      <c r="J19" s="420" t="s">
        <v>27</v>
      </c>
    </row>
    <row r="20" spans="2:12" ht="19.5" customHeight="1">
      <c r="B20" s="125" t="s">
        <v>75</v>
      </c>
      <c r="C20" s="413">
        <f>+(+'DEP-C7'!D20+'DEP-C7'!D36)/1000</f>
        <v>4974.70713905</v>
      </c>
      <c r="D20" s="413">
        <f>+(+'DEP-C7'!E20+'DEP-C7'!E36)/1000</f>
        <v>18028.338671920003</v>
      </c>
      <c r="E20" s="416">
        <f>+C20/$C$25</f>
        <v>0.5257431586759903</v>
      </c>
      <c r="G20" s="125" t="s">
        <v>77</v>
      </c>
      <c r="H20" s="413">
        <f>('DEP-C3'!C22+'DEP-C3'!C57)/1000</f>
        <v>6793.598674729999</v>
      </c>
      <c r="I20" s="413">
        <f>('DEP-C3'!D22+'DEP-C3'!D57)/1000</f>
        <v>24620.001597219998</v>
      </c>
      <c r="J20" s="416">
        <f>+H20/$H$24</f>
        <v>0.7179695057811268</v>
      </c>
      <c r="L20" s="157"/>
    </row>
    <row r="21" spans="2:12" ht="19.5" customHeight="1">
      <c r="B21" s="125" t="s">
        <v>76</v>
      </c>
      <c r="C21" s="413">
        <f>+(+'DEP-C7'!D15+'DEP-C7'!D30+'DEP-C7'!D74)/1000</f>
        <v>2661.3866664600005</v>
      </c>
      <c r="D21" s="413">
        <f>+(+'DEP-C7'!E15+'DEP-C7'!E30+'DEP-C7'!E74)/1000</f>
        <v>9644.865279259999</v>
      </c>
      <c r="E21" s="416">
        <f>+C21/$C$25</f>
        <v>0.2812639605454334</v>
      </c>
      <c r="G21" s="125" t="s">
        <v>163</v>
      </c>
      <c r="H21" s="413">
        <f>('DEP-C3'!C14+'DEP-C3'!C49)/1000</f>
        <v>2119.489049000001</v>
      </c>
      <c r="I21" s="413">
        <f>(+'DEP-C3'!D14+'DEP-C3'!D49)/1000</f>
        <v>7681.028313580001</v>
      </c>
      <c r="J21" s="416">
        <f>+H21/$H$24</f>
        <v>0.2239944656547614</v>
      </c>
      <c r="L21" s="170"/>
    </row>
    <row r="22" spans="2:12" ht="19.5" customHeight="1">
      <c r="B22" s="125" t="s">
        <v>215</v>
      </c>
      <c r="C22" s="413">
        <f>+('DEP-C7'!D22+'DEP-C7'!D39)/1000</f>
        <v>639.6377860100001</v>
      </c>
      <c r="D22" s="413">
        <f>+('DEP-C7'!E22+'DEP-C7'!E39)/1000</f>
        <v>2318.0473364899995</v>
      </c>
      <c r="E22" s="416">
        <f>+C22/$C$25</f>
        <v>0.06759899238804915</v>
      </c>
      <c r="G22" s="125" t="s">
        <v>78</v>
      </c>
      <c r="H22" s="413">
        <f>+'DEP-C3'!C26/1000</f>
        <v>248.4890929</v>
      </c>
      <c r="I22" s="413">
        <f>+'DEP-C3'!D26/1000</f>
        <v>900.52447267</v>
      </c>
      <c r="J22" s="416">
        <f>+H22/$H$24</f>
        <v>0.026261131951322403</v>
      </c>
      <c r="L22" s="201"/>
    </row>
    <row r="23" spans="2:12" ht="19.5" customHeight="1">
      <c r="B23" s="125" t="s">
        <v>126</v>
      </c>
      <c r="C23" s="413">
        <f>+('DEP-C7'!D18+'DEP-C7'!D34+'DEP-C7'!D88)/1000</f>
        <v>621.6993541599995</v>
      </c>
      <c r="D23" s="413">
        <f>(+'DEP-C7'!E18+'DEP-C7'!E34+'DEP-C7'!E88)/1000</f>
        <v>2253.03845948</v>
      </c>
      <c r="E23" s="416">
        <f>+C23/$C$25</f>
        <v>0.06570320082506795</v>
      </c>
      <c r="G23" s="125" t="s">
        <v>79</v>
      </c>
      <c r="H23" s="235">
        <f>+'DEP-C3'!C30/1000</f>
        <v>300.66164897</v>
      </c>
      <c r="I23" s="235">
        <f>+'DEP-C3'!D30/1000</f>
        <v>1089.59781587</v>
      </c>
      <c r="J23" s="416">
        <f>+H23/$H$24</f>
        <v>0.031774896612789504</v>
      </c>
      <c r="L23" s="170"/>
    </row>
    <row r="24" spans="2:12" ht="19.5" customHeight="1">
      <c r="B24" s="125" t="s">
        <v>36</v>
      </c>
      <c r="C24" s="413">
        <f>+('DEP-C7'!D25+'DEP-C7'!D41+'DEP-C7'!D90)/1000</f>
        <v>564.80751992</v>
      </c>
      <c r="D24" s="413">
        <f>+('DEP-C7'!E25+'DEP-C7'!E41+'DEP-C7'!E90)/1000</f>
        <v>2046.8624522</v>
      </c>
      <c r="E24" s="416">
        <f>+C24/$C$25</f>
        <v>0.05969068756545924</v>
      </c>
      <c r="G24" s="126" t="s">
        <v>28</v>
      </c>
      <c r="H24" s="414">
        <f>SUM(H20:H23)</f>
        <v>9462.2384656</v>
      </c>
      <c r="I24" s="414">
        <f>SUM(I20:I23)</f>
        <v>34291.15219934</v>
      </c>
      <c r="J24" s="417">
        <f>SUM(J20:J23)</f>
        <v>1.0000000000000002</v>
      </c>
      <c r="L24" s="202"/>
    </row>
    <row r="25" spans="2:5" ht="19.5" customHeight="1">
      <c r="B25" s="126" t="s">
        <v>28</v>
      </c>
      <c r="C25" s="414">
        <f>SUM(C20:C24)</f>
        <v>9462.2384656</v>
      </c>
      <c r="D25" s="414">
        <f>SUM(D20:D24)</f>
        <v>34291.15219935001</v>
      </c>
      <c r="E25" s="417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37" t="s">
        <v>29</v>
      </c>
      <c r="C28" s="538"/>
      <c r="D28" s="538"/>
      <c r="E28" s="539"/>
      <c r="G28" s="537" t="s">
        <v>30</v>
      </c>
      <c r="H28" s="538"/>
      <c r="I28" s="538"/>
      <c r="J28" s="539"/>
    </row>
    <row r="29" spans="2:10" ht="19.5" customHeight="1">
      <c r="B29" s="124"/>
      <c r="C29" s="412" t="s">
        <v>77</v>
      </c>
      <c r="D29" s="412" t="str">
        <f>+D19</f>
        <v>Soles</v>
      </c>
      <c r="E29" s="420" t="s">
        <v>27</v>
      </c>
      <c r="G29" s="124"/>
      <c r="H29" s="122" t="s">
        <v>77</v>
      </c>
      <c r="I29" s="122" t="str">
        <f>+I19</f>
        <v>Soles</v>
      </c>
      <c r="J29" s="421" t="s">
        <v>27</v>
      </c>
    </row>
    <row r="30" spans="2:14" ht="19.5" customHeight="1">
      <c r="B30" s="125" t="s">
        <v>92</v>
      </c>
      <c r="C30" s="413">
        <f>(+'DEP-C2'!C15+'DEP-C2'!C19+'DEP-C2'!C43)/1000</f>
        <v>4031.893419520001</v>
      </c>
      <c r="D30" s="413">
        <f>(+'DEP-C2'!D15+'DEP-C2'!D19+'DEP-C2'!D43)/1000</f>
        <v>14611.58175234</v>
      </c>
      <c r="E30" s="416">
        <f>+C30/$C$32</f>
        <v>0.42610355194259397</v>
      </c>
      <c r="G30" s="125" t="s">
        <v>80</v>
      </c>
      <c r="H30" s="413">
        <f>'DEP-C2'!C22/1000</f>
        <v>8000.725928450001</v>
      </c>
      <c r="I30" s="413">
        <f>+'DEP-C2'!D22/1000</f>
        <v>28994.63076471</v>
      </c>
      <c r="J30" s="416">
        <f>+H30/$H$32</f>
        <v>0.8455426226612938</v>
      </c>
      <c r="N30" s="157"/>
    </row>
    <row r="31" spans="2:14" ht="19.5" customHeight="1">
      <c r="B31" s="125" t="s">
        <v>93</v>
      </c>
      <c r="C31" s="413">
        <f>(+'DEP-C2'!C16+'DEP-C2'!C20+'DEP-C2'!C40+'DEP-C2'!C44)/1000</f>
        <v>5430.34504608</v>
      </c>
      <c r="D31" s="413">
        <f>(+'DEP-C2'!D16+'DEP-C2'!D20+'DEP-C2'!D40+'DEP-C2'!D44)/1000</f>
        <v>19679.570447001603</v>
      </c>
      <c r="E31" s="416">
        <f>+C31/$C$32</f>
        <v>0.573896448057406</v>
      </c>
      <c r="G31" s="125" t="s">
        <v>81</v>
      </c>
      <c r="H31" s="413">
        <f>+'DEP-C2'!C46/1000</f>
        <v>1461.5125371500003</v>
      </c>
      <c r="I31" s="413">
        <f>+'DEP-C2'!D46/1000</f>
        <v>5296.521434631601</v>
      </c>
      <c r="J31" s="416">
        <f>+H31/$H$32</f>
        <v>0.15445737733870626</v>
      </c>
      <c r="N31" s="158"/>
    </row>
    <row r="32" spans="2:14" ht="19.5" customHeight="1">
      <c r="B32" s="126" t="s">
        <v>28</v>
      </c>
      <c r="C32" s="414">
        <f>SUM(C30:C31)</f>
        <v>9462.238465600001</v>
      </c>
      <c r="D32" s="414">
        <f>SUM(D30:D31)</f>
        <v>34291.1521993416</v>
      </c>
      <c r="E32" s="417">
        <f>SUM(E30:E31)</f>
        <v>1</v>
      </c>
      <c r="G32" s="126" t="s">
        <v>28</v>
      </c>
      <c r="H32" s="414">
        <f>SUM(H30:H31)</f>
        <v>9462.238465600001</v>
      </c>
      <c r="I32" s="414">
        <f>SUM(I30:I31)</f>
        <v>34291.1521993416</v>
      </c>
      <c r="J32" s="417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40"/>
      <c r="C37" s="541"/>
      <c r="D37" s="541"/>
      <c r="E37" s="541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7" t="s">
        <v>175</v>
      </c>
      <c r="C5" s="527"/>
      <c r="D5" s="527"/>
      <c r="E5" s="527"/>
      <c r="F5" s="527"/>
      <c r="G5" s="527"/>
      <c r="H5" s="527"/>
    </row>
    <row r="6" spans="2:8" s="4" customFormat="1" ht="19.5" customHeight="1">
      <c r="B6" s="535" t="s">
        <v>18</v>
      </c>
      <c r="C6" s="535"/>
      <c r="D6" s="535"/>
      <c r="E6" s="535"/>
      <c r="F6" s="535"/>
      <c r="G6" s="535"/>
      <c r="H6" s="535"/>
    </row>
    <row r="7" spans="2:8" s="4" customFormat="1" ht="18" customHeight="1">
      <c r="B7" s="528" t="str">
        <f>+Indice!B7</f>
        <v>AL 31 DE DICIEMBRE 2020</v>
      </c>
      <c r="C7" s="528"/>
      <c r="D7" s="528"/>
      <c r="E7" s="528"/>
      <c r="F7" s="528"/>
      <c r="G7" s="528"/>
      <c r="H7" s="528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4" t="str">
        <f>+Resumen!B11:E11</f>
        <v>TIPO DE DEUDA</v>
      </c>
      <c r="C10" s="544"/>
      <c r="D10" s="544"/>
      <c r="E10" s="90"/>
      <c r="F10" s="544" t="s">
        <v>31</v>
      </c>
      <c r="G10" s="544"/>
      <c r="H10" s="544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4" t="str">
        <f>+Resumen!B18:E18</f>
        <v>GRUPO DEL ACREEDOR</v>
      </c>
      <c r="C28" s="544"/>
      <c r="D28" s="544"/>
      <c r="F28" s="544" t="s">
        <v>62</v>
      </c>
      <c r="G28" s="544"/>
      <c r="H28" s="544"/>
    </row>
    <row r="48" spans="2:8" s="23" customFormat="1" ht="16.5">
      <c r="B48" s="544" t="s">
        <v>29</v>
      </c>
      <c r="C48" s="544"/>
      <c r="D48" s="544"/>
      <c r="F48" s="544" t="s">
        <v>30</v>
      </c>
      <c r="G48" s="544"/>
      <c r="H48" s="544"/>
    </row>
    <row r="66" spans="2:8" ht="30" customHeight="1">
      <c r="B66" s="545"/>
      <c r="C66" s="545"/>
      <c r="D66" s="545"/>
      <c r="E66" s="545"/>
      <c r="F66" s="545"/>
      <c r="G66" s="545"/>
      <c r="H66" s="54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2"/>
      <c r="C69" s="543"/>
      <c r="D69" s="543"/>
      <c r="E69" s="543"/>
      <c r="F69" s="51"/>
      <c r="G69" s="51"/>
      <c r="H69" s="51"/>
    </row>
    <row r="70" spans="2:8" ht="15.75" customHeight="1">
      <c r="B70" s="542"/>
      <c r="C70" s="543"/>
      <c r="D70" s="543"/>
      <c r="E70" s="54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4" width="12.28125" style="9" customWidth="1"/>
    <col min="25" max="26" width="9.7109375" style="9" customWidth="1"/>
    <col min="27" max="36" width="9.140625" style="9" customWidth="1"/>
    <col min="37" max="222" width="11.421875" style="9" customWidth="1"/>
    <col min="223" max="223" width="25.7109375" style="9" customWidth="1"/>
    <col min="224" max="16384" width="15.7109375" style="9" customWidth="1"/>
  </cols>
  <sheetData>
    <row r="1" ht="12.75">
      <c r="B1" s="8"/>
    </row>
    <row r="2" spans="2:22" s="11" customFormat="1" ht="18">
      <c r="B2" s="580"/>
      <c r="C2" s="580"/>
      <c r="D2" s="580"/>
      <c r="E2" s="580"/>
      <c r="F2" s="58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0"/>
      <c r="C3" s="580"/>
      <c r="D3" s="580"/>
      <c r="E3" s="580"/>
      <c r="F3" s="58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114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2" t="s">
        <v>165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155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259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1" t="s">
        <v>113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7" s="27" customFormat="1" ht="18" customHeight="1">
      <c r="B12" s="550" t="s">
        <v>141</v>
      </c>
      <c r="C12" s="552">
        <v>2009</v>
      </c>
      <c r="D12" s="583">
        <v>2010</v>
      </c>
      <c r="E12" s="581">
        <v>2011</v>
      </c>
      <c r="F12" s="552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2">
        <v>2013</v>
      </c>
      <c r="S12" s="552">
        <v>2014</v>
      </c>
      <c r="T12" s="576">
        <v>2015</v>
      </c>
      <c r="U12" s="560">
        <v>2016</v>
      </c>
      <c r="V12" s="578">
        <v>2017</v>
      </c>
      <c r="W12" s="546">
        <v>2018</v>
      </c>
      <c r="X12" s="546">
        <v>2019</v>
      </c>
      <c r="Y12" s="573">
        <v>2020</v>
      </c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5"/>
      <c r="AK12" s="499"/>
    </row>
    <row r="13" spans="2:37" s="27" customFormat="1" ht="18" customHeight="1">
      <c r="B13" s="551"/>
      <c r="C13" s="553"/>
      <c r="D13" s="584"/>
      <c r="E13" s="582"/>
      <c r="F13" s="553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3"/>
      <c r="S13" s="553"/>
      <c r="T13" s="577"/>
      <c r="U13" s="561"/>
      <c r="V13" s="579"/>
      <c r="W13" s="547"/>
      <c r="X13" s="547"/>
      <c r="Y13" s="498" t="s">
        <v>98</v>
      </c>
      <c r="Z13" s="430" t="s">
        <v>99</v>
      </c>
      <c r="AA13" s="434" t="s">
        <v>104</v>
      </c>
      <c r="AB13" s="436" t="s">
        <v>106</v>
      </c>
      <c r="AC13" s="441" t="s">
        <v>236</v>
      </c>
      <c r="AD13" s="434" t="s">
        <v>123</v>
      </c>
      <c r="AE13" s="443" t="s">
        <v>142</v>
      </c>
      <c r="AF13" s="452" t="s">
        <v>144</v>
      </c>
      <c r="AG13" s="456" t="s">
        <v>254</v>
      </c>
      <c r="AH13" s="486" t="s">
        <v>149</v>
      </c>
      <c r="AI13" s="443" t="s">
        <v>151</v>
      </c>
      <c r="AJ13" s="485" t="s">
        <v>173</v>
      </c>
      <c r="AK13" s="499"/>
    </row>
    <row r="14" spans="2:37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1"/>
      <c r="U14" s="404"/>
      <c r="V14" s="453"/>
      <c r="W14" s="487"/>
      <c r="X14" s="487"/>
      <c r="Y14" s="404"/>
      <c r="Z14" s="431"/>
      <c r="AA14" s="182"/>
      <c r="AB14" s="431"/>
      <c r="AC14" s="442"/>
      <c r="AD14" s="182"/>
      <c r="AE14" s="444"/>
      <c r="AF14" s="453"/>
      <c r="AG14" s="405"/>
      <c r="AH14" s="487"/>
      <c r="AI14" s="444"/>
      <c r="AJ14" s="444"/>
      <c r="AK14" s="499"/>
    </row>
    <row r="15" spans="2:38" s="25" customFormat="1" ht="21.75" customHeight="1">
      <c r="B15" s="178" t="s">
        <v>34</v>
      </c>
      <c r="C15" s="492">
        <v>1389</v>
      </c>
      <c r="D15" s="492">
        <v>2144</v>
      </c>
      <c r="E15" s="490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2">
        <v>2258.8960634599985</v>
      </c>
      <c r="U15" s="406">
        <v>2931.5247573100005</v>
      </c>
      <c r="V15" s="432">
        <v>2816.8010528699997</v>
      </c>
      <c r="W15" s="488">
        <v>2585.67327702</v>
      </c>
      <c r="X15" s="488">
        <v>2512.4269972</v>
      </c>
      <c r="Y15" s="406">
        <v>2288.8808838399996</v>
      </c>
      <c r="Z15" s="432">
        <v>1981.11624501</v>
      </c>
      <c r="AA15" s="33">
        <v>1753.2883450499999</v>
      </c>
      <c r="AB15" s="432">
        <v>1719.99061324</v>
      </c>
      <c r="AC15" s="402">
        <v>1679.8513860300009</v>
      </c>
      <c r="AD15" s="33">
        <v>1941.3540463799998</v>
      </c>
      <c r="AE15" s="512">
        <v>2420.4156545900005</v>
      </c>
      <c r="AF15" s="454">
        <v>2531.926207659999</v>
      </c>
      <c r="AG15" s="407">
        <v>2654.5241263099992</v>
      </c>
      <c r="AH15" s="488">
        <v>2646.462670120001</v>
      </c>
      <c r="AI15" s="445">
        <v>2776.6096201699993</v>
      </c>
      <c r="AJ15" s="445">
        <v>2847.266591940001</v>
      </c>
      <c r="AK15" s="500"/>
      <c r="AL15" s="467"/>
    </row>
    <row r="16" spans="2:38" s="25" customFormat="1" ht="21.75" customHeight="1">
      <c r="B16" s="178" t="s">
        <v>33</v>
      </c>
      <c r="C16" s="492">
        <v>256</v>
      </c>
      <c r="D16" s="492">
        <v>389</v>
      </c>
      <c r="E16" s="490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2">
        <v>4201.51382237</v>
      </c>
      <c r="U16" s="406">
        <v>4539.076503679999</v>
      </c>
      <c r="V16" s="432">
        <v>5985.46242653</v>
      </c>
      <c r="W16" s="488">
        <v>7233.929935290001</v>
      </c>
      <c r="X16" s="488">
        <v>6012.22120457</v>
      </c>
      <c r="Y16" s="406">
        <v>6003.1525334</v>
      </c>
      <c r="Z16" s="432">
        <v>5979.0383323999995</v>
      </c>
      <c r="AA16" s="33">
        <v>6066.84461896</v>
      </c>
      <c r="AB16" s="432">
        <v>6139.99061132</v>
      </c>
      <c r="AC16" s="402">
        <v>6115.977451919999</v>
      </c>
      <c r="AD16" s="33">
        <v>6110.7362488399995</v>
      </c>
      <c r="AE16" s="445">
        <v>6178.25235128</v>
      </c>
      <c r="AF16" s="454">
        <v>6255.789487399999</v>
      </c>
      <c r="AG16" s="407">
        <v>6205.890970489999</v>
      </c>
      <c r="AH16" s="488">
        <v>6264.87637218</v>
      </c>
      <c r="AI16" s="445">
        <v>6368.06228473</v>
      </c>
      <c r="AJ16" s="445">
        <v>6614.97187366</v>
      </c>
      <c r="AK16" s="501"/>
      <c r="AL16" s="467"/>
    </row>
    <row r="17" spans="2:37" s="25" customFormat="1" ht="6" customHeight="1">
      <c r="B17" s="179"/>
      <c r="C17" s="493"/>
      <c r="D17" s="493"/>
      <c r="E17" s="491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3"/>
      <c r="U17" s="408"/>
      <c r="V17" s="455"/>
      <c r="W17" s="489"/>
      <c r="X17" s="489"/>
      <c r="Y17" s="408"/>
      <c r="Z17" s="433"/>
      <c r="AA17" s="35"/>
      <c r="AB17" s="433"/>
      <c r="AC17" s="403"/>
      <c r="AD17" s="35"/>
      <c r="AE17" s="446"/>
      <c r="AF17" s="455"/>
      <c r="AG17" s="409"/>
      <c r="AH17" s="489"/>
      <c r="AI17" s="446"/>
      <c r="AJ17" s="446"/>
      <c r="AK17" s="500"/>
    </row>
    <row r="18" spans="2:37" s="27" customFormat="1" ht="15" customHeight="1">
      <c r="B18" s="565" t="s">
        <v>100</v>
      </c>
      <c r="C18" s="567">
        <f aca="true" t="shared" si="0" ref="C18:H18">SUM(C15:C16)</f>
        <v>1645</v>
      </c>
      <c r="D18" s="567">
        <f t="shared" si="0"/>
        <v>2533</v>
      </c>
      <c r="E18" s="558">
        <f t="shared" si="0"/>
        <v>2778</v>
      </c>
      <c r="F18" s="567">
        <f t="shared" si="0"/>
        <v>3231.62940566</v>
      </c>
      <c r="G18" s="569">
        <f t="shared" si="0"/>
        <v>3978.2822575499995</v>
      </c>
      <c r="H18" s="569">
        <f t="shared" si="0"/>
        <v>4283.16118678</v>
      </c>
      <c r="I18" s="556">
        <f aca="true" t="shared" si="1" ref="I18:N18">SUM(I15:I16)</f>
        <v>4271.37034379</v>
      </c>
      <c r="J18" s="556">
        <f t="shared" si="1"/>
        <v>3622.58121752</v>
      </c>
      <c r="K18" s="556">
        <f t="shared" si="1"/>
        <v>3177.2183911999996</v>
      </c>
      <c r="L18" s="556">
        <f t="shared" si="1"/>
        <v>3224.1298934800006</v>
      </c>
      <c r="M18" s="556">
        <f t="shared" si="1"/>
        <v>3273.10540427</v>
      </c>
      <c r="N18" s="556">
        <f t="shared" si="1"/>
        <v>3382.31552197</v>
      </c>
      <c r="O18" s="556">
        <f>+O15+O16</f>
        <v>3510.4566990000008</v>
      </c>
      <c r="P18" s="556">
        <f>+P15+P16</f>
        <v>3663.6902058299997</v>
      </c>
      <c r="Q18" s="556">
        <f>+Q15+Q16</f>
        <v>3934.70126796</v>
      </c>
      <c r="R18" s="556">
        <f>+R15+R16</f>
        <v>4098.53643417</v>
      </c>
      <c r="S18" s="556">
        <f>+S15+S16</f>
        <v>5844.665124709998</v>
      </c>
      <c r="T18" s="562">
        <f aca="true" t="shared" si="2" ref="T18:AC18">+T16+T15</f>
        <v>6460.4098858299985</v>
      </c>
      <c r="U18" s="571">
        <f>+U16+U15</f>
        <v>7470.60126099</v>
      </c>
      <c r="V18" s="562">
        <f>+V16+V15</f>
        <v>8802.2634794</v>
      </c>
      <c r="W18" s="548">
        <f>+W16+W15</f>
        <v>9819.603212310001</v>
      </c>
      <c r="X18" s="548">
        <f>+X16+X15</f>
        <v>8524.64820177</v>
      </c>
      <c r="Y18" s="548">
        <f t="shared" si="2"/>
        <v>8292.03341724</v>
      </c>
      <c r="Z18" s="558">
        <f t="shared" si="2"/>
        <v>7960.15457741</v>
      </c>
      <c r="AA18" s="571">
        <f t="shared" si="2"/>
        <v>7820.132964009999</v>
      </c>
      <c r="AB18" s="558">
        <f t="shared" si="2"/>
        <v>7859.981224560001</v>
      </c>
      <c r="AC18" s="562">
        <f t="shared" si="2"/>
        <v>7795.82883795</v>
      </c>
      <c r="AD18" s="571">
        <f aca="true" t="shared" si="3" ref="AD18:AI18">+AD16+AD15</f>
        <v>8052.0902952199995</v>
      </c>
      <c r="AE18" s="554">
        <f t="shared" si="3"/>
        <v>8598.66800587</v>
      </c>
      <c r="AF18" s="562">
        <f t="shared" si="3"/>
        <v>8787.715695059998</v>
      </c>
      <c r="AG18" s="556">
        <f t="shared" si="3"/>
        <v>8860.415096799998</v>
      </c>
      <c r="AH18" s="548">
        <f t="shared" si="3"/>
        <v>8911.3390423</v>
      </c>
      <c r="AI18" s="554">
        <f t="shared" si="3"/>
        <v>9144.671904899998</v>
      </c>
      <c r="AJ18" s="554">
        <f>+AJ16+AJ15</f>
        <v>9462.238465600001</v>
      </c>
      <c r="AK18" s="499"/>
    </row>
    <row r="19" spans="2:38" s="27" customFormat="1" ht="15" customHeight="1">
      <c r="B19" s="566"/>
      <c r="C19" s="568"/>
      <c r="D19" s="568"/>
      <c r="E19" s="559"/>
      <c r="F19" s="568"/>
      <c r="G19" s="570"/>
      <c r="H19" s="570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63"/>
      <c r="U19" s="572"/>
      <c r="V19" s="563"/>
      <c r="W19" s="549"/>
      <c r="X19" s="549"/>
      <c r="Y19" s="549"/>
      <c r="Z19" s="559"/>
      <c r="AA19" s="572"/>
      <c r="AB19" s="559"/>
      <c r="AC19" s="563"/>
      <c r="AD19" s="572"/>
      <c r="AE19" s="555"/>
      <c r="AF19" s="563"/>
      <c r="AG19" s="557"/>
      <c r="AH19" s="549"/>
      <c r="AI19" s="555"/>
      <c r="AJ19" s="555"/>
      <c r="AK19" s="499"/>
      <c r="AL19" s="467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6" s="25" customFormat="1" ht="28.5" customHeight="1">
      <c r="B22" s="564"/>
      <c r="C22" s="564"/>
      <c r="D22" s="564"/>
      <c r="E22" s="564"/>
      <c r="F22" s="56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188"/>
      <c r="Z22" s="188"/>
      <c r="AA22" s="188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2:36" s="25" customFormat="1" ht="28.5" customHeight="1">
      <c r="B23" s="564"/>
      <c r="C23" s="564"/>
      <c r="D23" s="564"/>
      <c r="E23" s="564"/>
      <c r="F23" s="56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E23" s="203"/>
      <c r="AF23" s="511"/>
      <c r="AJ23" s="509"/>
    </row>
    <row r="24" spans="2:3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E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2">
    <mergeCell ref="B2:F2"/>
    <mergeCell ref="B3:F3"/>
    <mergeCell ref="E12:E13"/>
    <mergeCell ref="U18:U19"/>
    <mergeCell ref="D12:D13"/>
    <mergeCell ref="O18:O19"/>
    <mergeCell ref="L18:L19"/>
    <mergeCell ref="P18:P19"/>
    <mergeCell ref="AE18:AE19"/>
    <mergeCell ref="Y12:AJ12"/>
    <mergeCell ref="AC18:AC19"/>
    <mergeCell ref="Y18:Y19"/>
    <mergeCell ref="T12:T13"/>
    <mergeCell ref="AD18:AD19"/>
    <mergeCell ref="X12:X13"/>
    <mergeCell ref="X18:X19"/>
    <mergeCell ref="V12:V13"/>
    <mergeCell ref="V18:V19"/>
    <mergeCell ref="AA18:AA19"/>
    <mergeCell ref="AI18:AI19"/>
    <mergeCell ref="AH18:AH19"/>
    <mergeCell ref="H18:H19"/>
    <mergeCell ref="I18:I19"/>
    <mergeCell ref="Q18:Q19"/>
    <mergeCell ref="R18:R19"/>
    <mergeCell ref="AB18:AB19"/>
    <mergeCell ref="T18:T19"/>
    <mergeCell ref="AG18:AG19"/>
    <mergeCell ref="B23:F23"/>
    <mergeCell ref="B18:B19"/>
    <mergeCell ref="C18:C19"/>
    <mergeCell ref="D18:D19"/>
    <mergeCell ref="E18:E19"/>
    <mergeCell ref="G18:G19"/>
    <mergeCell ref="B22:F22"/>
    <mergeCell ref="F18:F19"/>
    <mergeCell ref="AJ18:AJ19"/>
    <mergeCell ref="J18:J19"/>
    <mergeCell ref="S18:S19"/>
    <mergeCell ref="N18:N19"/>
    <mergeCell ref="S12:S13"/>
    <mergeCell ref="K18:K19"/>
    <mergeCell ref="Z18:Z19"/>
    <mergeCell ref="U12:U13"/>
    <mergeCell ref="M18:M19"/>
    <mergeCell ref="AF18:AF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80"/>
      <c r="C2" s="580"/>
      <c r="D2" s="580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80"/>
      <c r="C3" s="580"/>
      <c r="D3" s="580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80"/>
      <c r="C4" s="580"/>
      <c r="D4" s="580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136</v>
      </c>
      <c r="C6" s="321"/>
      <c r="D6" s="321"/>
      <c r="F6" s="356"/>
      <c r="G6" s="279"/>
    </row>
    <row r="7" spans="2:7" ht="18">
      <c r="B7" s="321" t="s">
        <v>135</v>
      </c>
      <c r="C7" s="321"/>
      <c r="D7" s="321"/>
      <c r="F7" s="356"/>
      <c r="G7" s="281"/>
    </row>
    <row r="8" spans="2:6" ht="15.75">
      <c r="B8" s="184" t="s">
        <v>153</v>
      </c>
      <c r="C8" s="184"/>
      <c r="D8" s="184"/>
      <c r="F8" s="356"/>
    </row>
    <row r="9" spans="2:14" s="3" customFormat="1" ht="15.75">
      <c r="B9" s="133" t="s">
        <v>258</v>
      </c>
      <c r="C9" s="269"/>
      <c r="D9" s="137"/>
      <c r="E9" s="320">
        <f>+Portada!H39</f>
        <v>3.624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9" t="s">
        <v>156</v>
      </c>
      <c r="C11" s="585" t="s">
        <v>87</v>
      </c>
      <c r="D11" s="585" t="s">
        <v>164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90"/>
      <c r="C12" s="586"/>
      <c r="D12" s="586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71">
        <f>SUM(C15:C16)</f>
        <v>1799754.054790001</v>
      </c>
      <c r="D14" s="469">
        <f>SUM(D15:D16)</f>
        <v>6522308.69456</v>
      </c>
      <c r="E14" s="322"/>
      <c r="F14" s="502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70">
        <v>1107749.5085800008</v>
      </c>
      <c r="D15" s="470">
        <f>ROUND(+C15*$E$9,5)</f>
        <v>4014484.21909</v>
      </c>
      <c r="E15" s="326"/>
      <c r="F15" s="466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70">
        <v>692004.5462100002</v>
      </c>
      <c r="D16" s="470">
        <f>ROUND(+C16*$E$9,5)</f>
        <v>2507824.47547</v>
      </c>
      <c r="E16" s="326"/>
      <c r="F16" s="466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72"/>
      <c r="D17" s="470"/>
      <c r="E17" s="322"/>
      <c r="F17" s="437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71">
        <f>SUM(C19:C20)</f>
        <v>6200971.87366</v>
      </c>
      <c r="D18" s="469">
        <f>SUM(D19:D20)</f>
        <v>22472322.070150003</v>
      </c>
      <c r="E18" s="322"/>
      <c r="F18" s="502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70">
        <v>2924143.91094</v>
      </c>
      <c r="D19" s="470">
        <f>ROUND(+C19*$E$9,5)</f>
        <v>10597097.53325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111</v>
      </c>
      <c r="C20" s="470">
        <v>3276827.9627199997</v>
      </c>
      <c r="D20" s="470">
        <f>ROUND(+C20*$E$9,5)</f>
        <v>11875224.5369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72"/>
      <c r="D21" s="470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91" t="s">
        <v>61</v>
      </c>
      <c r="C22" s="587">
        <f>+C18+C14</f>
        <v>8000725.928450001</v>
      </c>
      <c r="D22" s="587">
        <f>+D18+D14</f>
        <v>28994630.76471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92"/>
      <c r="C23" s="588"/>
      <c r="D23" s="588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65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C25" s="205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116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136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137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153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diciembre de 2020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9" t="s">
        <v>156</v>
      </c>
      <c r="C35" s="585" t="s">
        <v>87</v>
      </c>
      <c r="D35" s="585" t="s">
        <v>164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90"/>
      <c r="C36" s="586"/>
      <c r="D36" s="586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147</v>
      </c>
      <c r="C38" s="471">
        <f>SUM(C39:C40)</f>
        <v>1047512.5371500002</v>
      </c>
      <c r="D38" s="469">
        <f>SUM(D39:D40)</f>
        <v>3796185.434631601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25</v>
      </c>
      <c r="C39" s="472">
        <v>0</v>
      </c>
      <c r="D39" s="470">
        <f>+C39*$E$9</f>
        <v>0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16.5" customHeight="1">
      <c r="B40" s="15" t="s">
        <v>24</v>
      </c>
      <c r="C40" s="472">
        <v>1047512.5371500002</v>
      </c>
      <c r="D40" s="470">
        <f>+C40*$E$9</f>
        <v>3796185.434631601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72"/>
      <c r="D41" s="470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148</v>
      </c>
      <c r="C42" s="471">
        <f>SUM(C43:C44)</f>
        <v>414000</v>
      </c>
      <c r="D42" s="469">
        <f>SUM(D43:D44)</f>
        <v>1500336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25</v>
      </c>
      <c r="C43" s="472">
        <v>0</v>
      </c>
      <c r="D43" s="470">
        <f>+C43*$E$9</f>
        <v>0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16.5" customHeight="1">
      <c r="B44" s="15" t="s">
        <v>24</v>
      </c>
      <c r="C44" s="472">
        <v>414000</v>
      </c>
      <c r="D44" s="470">
        <f>+C44*$E$9</f>
        <v>1500336</v>
      </c>
      <c r="E44" s="322"/>
      <c r="F44" s="360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7.5" customHeight="1">
      <c r="B45" s="15"/>
      <c r="C45" s="472"/>
      <c r="D45" s="470"/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3" customFormat="1" ht="15" customHeight="1">
      <c r="B46" s="591" t="s">
        <v>61</v>
      </c>
      <c r="C46" s="587">
        <f>+C42+C38</f>
        <v>1461512.5371500002</v>
      </c>
      <c r="D46" s="587">
        <f>+D42+D38</f>
        <v>5296521.434631601</v>
      </c>
      <c r="E46" s="322"/>
      <c r="F46" s="325"/>
      <c r="G46" s="325"/>
      <c r="H46" s="322"/>
      <c r="I46" s="322"/>
      <c r="J46" s="322"/>
      <c r="K46" s="325"/>
      <c r="L46" s="325"/>
      <c r="M46" s="228"/>
      <c r="N46" s="228"/>
    </row>
    <row r="47" spans="2:14" s="16" customFormat="1" ht="15" customHeight="1">
      <c r="B47" s="592"/>
      <c r="C47" s="588"/>
      <c r="D47" s="588"/>
      <c r="E47" s="322"/>
      <c r="F47" s="351"/>
      <c r="G47" s="325"/>
      <c r="H47" s="322"/>
      <c r="I47" s="322"/>
      <c r="J47" s="322"/>
      <c r="K47" s="324"/>
      <c r="L47" s="324"/>
      <c r="M47" s="231"/>
      <c r="N47" s="231"/>
    </row>
    <row r="48" spans="2:12" ht="16.5" customHeight="1">
      <c r="B48" s="28" t="s">
        <v>139</v>
      </c>
      <c r="C48" s="205"/>
      <c r="D48" s="205"/>
      <c r="E48" s="322"/>
      <c r="F48" s="325"/>
      <c r="G48" s="325"/>
      <c r="H48" s="322"/>
      <c r="I48" s="322"/>
      <c r="J48" s="322"/>
      <c r="K48" s="323"/>
      <c r="L48" s="323"/>
    </row>
    <row r="49" spans="2:12" ht="12.75">
      <c r="B49" s="2" t="s">
        <v>140</v>
      </c>
      <c r="C49" s="205"/>
      <c r="D49" s="205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503"/>
      <c r="D50" s="343"/>
      <c r="E50" s="322"/>
      <c r="F50" s="322"/>
      <c r="G50" s="322"/>
      <c r="H50" s="322"/>
      <c r="I50" s="322"/>
      <c r="J50" s="322"/>
      <c r="K50" s="323"/>
      <c r="L50" s="323"/>
    </row>
    <row r="51" spans="2:12" ht="12.75">
      <c r="B51" s="323"/>
      <c r="C51" s="343"/>
      <c r="D51" s="440"/>
      <c r="E51" s="322"/>
      <c r="F51" s="322"/>
      <c r="G51" s="322"/>
      <c r="H51" s="322"/>
      <c r="I51" s="322"/>
      <c r="J51" s="322"/>
      <c r="K51" s="323"/>
      <c r="L51" s="323"/>
    </row>
    <row r="52" spans="2:4" ht="12.75">
      <c r="B52" s="323"/>
      <c r="C52" s="506"/>
      <c r="D52" s="32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343"/>
      <c r="D55" s="343"/>
    </row>
    <row r="56" spans="2:4" ht="12.75">
      <c r="B56" s="323"/>
      <c r="C56" s="437"/>
      <c r="D56" s="437"/>
    </row>
    <row r="57" spans="2:4" ht="12.75">
      <c r="B57" s="323"/>
      <c r="C57" s="343"/>
      <c r="D57" s="343"/>
    </row>
    <row r="58" spans="2:4" ht="12.75">
      <c r="B58" s="323"/>
      <c r="C58" s="343"/>
      <c r="D58" s="343"/>
    </row>
    <row r="59" spans="2:4" ht="12.75">
      <c r="B59" s="323"/>
      <c r="C59" s="343"/>
      <c r="D59" s="323"/>
    </row>
    <row r="60" spans="2:4" ht="12.75">
      <c r="B60" s="323"/>
      <c r="C60" s="344"/>
      <c r="D60" s="323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136</v>
      </c>
      <c r="C6" s="321"/>
      <c r="D6" s="321"/>
      <c r="M6" s="190"/>
    </row>
    <row r="7" spans="2:13" s="136" customFormat="1" ht="18">
      <c r="B7" s="321" t="s">
        <v>135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97" t="str">
        <f>+'DEP-C2'!B9</f>
        <v>Al 31 de diciembre de 2020</v>
      </c>
      <c r="C9" s="597"/>
      <c r="D9" s="267"/>
      <c r="E9" s="320">
        <f>+Portada!H39</f>
        <v>3.624</v>
      </c>
      <c r="M9" s="190"/>
    </row>
    <row r="10" spans="2:13" s="65" customFormat="1" ht="9.75" customHeight="1">
      <c r="B10" s="600"/>
      <c r="C10" s="600"/>
      <c r="D10" s="600"/>
      <c r="E10" s="284"/>
      <c r="M10" s="165"/>
    </row>
    <row r="11" spans="2:4" ht="16.5" customHeight="1">
      <c r="B11" s="601" t="s">
        <v>94</v>
      </c>
      <c r="C11" s="595" t="s">
        <v>87</v>
      </c>
      <c r="D11" s="585" t="s">
        <v>164</v>
      </c>
    </row>
    <row r="12" spans="2:13" s="81" customFormat="1" ht="16.5" customHeight="1">
      <c r="B12" s="602"/>
      <c r="C12" s="596"/>
      <c r="D12" s="586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73">
        <f>SUM(C15:C16)</f>
        <v>1764712.9877400007</v>
      </c>
      <c r="D14" s="385">
        <f>SUM(D15:D16)</f>
        <v>6395319.867570001</v>
      </c>
      <c r="M14" s="166"/>
    </row>
    <row r="15" spans="2:13" s="81" customFormat="1" ht="16.5">
      <c r="B15" s="80" t="s">
        <v>25</v>
      </c>
      <c r="C15" s="474">
        <v>1485457.6037800007</v>
      </c>
      <c r="D15" s="391">
        <f>ROUND(+C15*$E$9,5)</f>
        <v>5383298.3561</v>
      </c>
      <c r="E15" s="285"/>
      <c r="F15" s="437"/>
      <c r="G15" s="286"/>
      <c r="M15" s="166"/>
    </row>
    <row r="16" spans="2:13" s="81" customFormat="1" ht="16.5">
      <c r="B16" s="80" t="s">
        <v>24</v>
      </c>
      <c r="C16" s="474">
        <v>279255.38396000006</v>
      </c>
      <c r="D16" s="391">
        <f>ROUND(+C16*$E$9,5)</f>
        <v>1012021.51147</v>
      </c>
      <c r="E16" s="285"/>
      <c r="F16" s="437"/>
      <c r="M16" s="166"/>
    </row>
    <row r="17" spans="2:13" s="81" customFormat="1" ht="15" customHeight="1">
      <c r="B17" s="64"/>
      <c r="C17" s="475"/>
      <c r="D17" s="384"/>
      <c r="M17" s="166"/>
    </row>
    <row r="18" spans="2:13" s="81" customFormat="1" ht="16.5">
      <c r="B18" s="163" t="s">
        <v>63</v>
      </c>
      <c r="C18" s="473">
        <f>SUM(C19:C20)</f>
        <v>6236012.940710001</v>
      </c>
      <c r="D18" s="473">
        <f>SUM(D19:D20)</f>
        <v>22599310.89713</v>
      </c>
      <c r="E18" s="285"/>
      <c r="M18" s="166"/>
    </row>
    <row r="19" spans="2:13" s="81" customFormat="1" ht="16.5">
      <c r="B19" s="80" t="s">
        <v>25</v>
      </c>
      <c r="C19" s="474">
        <f>+C23+C27+C31</f>
        <v>2546435.81574</v>
      </c>
      <c r="D19" s="474">
        <f>+D23+D27+D31</f>
        <v>9228283.39624</v>
      </c>
      <c r="M19" s="166"/>
    </row>
    <row r="20" spans="2:13" s="81" customFormat="1" ht="16.5">
      <c r="B20" s="80" t="s">
        <v>24</v>
      </c>
      <c r="C20" s="474">
        <f>+C24+C28+C32</f>
        <v>3689577.1249700002</v>
      </c>
      <c r="D20" s="474">
        <f>+D24+D28+D32</f>
        <v>13371027.500890002</v>
      </c>
      <c r="M20" s="166"/>
    </row>
    <row r="21" spans="2:13" s="81" customFormat="1" ht="9.75" customHeight="1">
      <c r="B21" s="82"/>
      <c r="C21" s="474"/>
      <c r="D21" s="391"/>
      <c r="M21" s="166"/>
    </row>
    <row r="22" spans="2:13" s="81" customFormat="1" ht="16.5">
      <c r="B22" s="347" t="s">
        <v>176</v>
      </c>
      <c r="C22" s="476">
        <f>SUM(C23:C24)</f>
        <v>5686862.19884</v>
      </c>
      <c r="D22" s="383">
        <f>SUM(D23:D24)</f>
        <v>20609188.60859</v>
      </c>
      <c r="G22" s="285"/>
      <c r="I22" s="287"/>
      <c r="M22" s="166"/>
    </row>
    <row r="23" spans="2:13" s="81" customFormat="1" ht="16.5">
      <c r="B23" s="348" t="s">
        <v>25</v>
      </c>
      <c r="C23" s="475">
        <v>2138207.0080500003</v>
      </c>
      <c r="D23" s="384">
        <f>ROUND(+C23*$E$9,5)</f>
        <v>7748862.19717</v>
      </c>
      <c r="G23" s="285"/>
      <c r="I23" s="287"/>
      <c r="M23" s="166"/>
    </row>
    <row r="24" spans="2:13" s="81" customFormat="1" ht="16.5">
      <c r="B24" s="348" t="s">
        <v>24</v>
      </c>
      <c r="C24" s="475">
        <v>3548655.19079</v>
      </c>
      <c r="D24" s="384">
        <f>ROUND(+C24*$E$9,5)</f>
        <v>12860326.41142</v>
      </c>
      <c r="M24" s="166"/>
    </row>
    <row r="25" spans="2:13" s="81" customFormat="1" ht="9.75" customHeight="1">
      <c r="B25" s="82"/>
      <c r="C25" s="474"/>
      <c r="D25" s="391"/>
      <c r="M25" s="166"/>
    </row>
    <row r="26" spans="2:13" s="81" customFormat="1" ht="16.5">
      <c r="B26" s="347" t="s">
        <v>177</v>
      </c>
      <c r="C26" s="476">
        <f>SUM(C27:C28)</f>
        <v>248489.0929</v>
      </c>
      <c r="D26" s="383">
        <f>SUM(D27:D28)</f>
        <v>900524.47267</v>
      </c>
      <c r="G26" s="288"/>
      <c r="M26" s="166"/>
    </row>
    <row r="27" spans="2:13" s="81" customFormat="1" ht="16.5">
      <c r="B27" s="348" t="s">
        <v>25</v>
      </c>
      <c r="C27" s="475">
        <v>118676.1341</v>
      </c>
      <c r="D27" s="384">
        <f>ROUND(+C27*$E$9,5)</f>
        <v>430082.30998</v>
      </c>
      <c r="M27" s="166"/>
    </row>
    <row r="28" spans="2:13" s="81" customFormat="1" ht="16.5">
      <c r="B28" s="348" t="s">
        <v>24</v>
      </c>
      <c r="C28" s="475">
        <v>129812.9588</v>
      </c>
      <c r="D28" s="384">
        <f>ROUND(+C28*$E$9,5)</f>
        <v>470442.16269</v>
      </c>
      <c r="M28" s="166"/>
    </row>
    <row r="29" spans="2:13" s="81" customFormat="1" ht="9.75" customHeight="1">
      <c r="B29" s="82"/>
      <c r="C29" s="384"/>
      <c r="D29" s="391"/>
      <c r="M29" s="166"/>
    </row>
    <row r="30" spans="2:13" s="81" customFormat="1" ht="16.5">
      <c r="B30" s="349" t="s">
        <v>178</v>
      </c>
      <c r="C30" s="476">
        <f>+SUM(C31:C32)</f>
        <v>300661.64897</v>
      </c>
      <c r="D30" s="383">
        <f>SUM(D31:D32)</f>
        <v>1089597.81587</v>
      </c>
      <c r="M30" s="166"/>
    </row>
    <row r="31" spans="2:13" s="81" customFormat="1" ht="16.5">
      <c r="B31" s="348" t="s">
        <v>25</v>
      </c>
      <c r="C31" s="475">
        <v>289552.67358999996</v>
      </c>
      <c r="D31" s="384">
        <f>ROUND(+C31*$E$9,5)</f>
        <v>1049338.88909</v>
      </c>
      <c r="M31" s="166"/>
    </row>
    <row r="32" spans="2:13" s="81" customFormat="1" ht="16.5">
      <c r="B32" s="348" t="s">
        <v>24</v>
      </c>
      <c r="C32" s="475">
        <v>11108.97538</v>
      </c>
      <c r="D32" s="384">
        <f>ROUND(+C32*$E$9,5)</f>
        <v>40258.92678</v>
      </c>
      <c r="M32" s="166"/>
    </row>
    <row r="33" spans="2:13" s="81" customFormat="1" ht="9.75" customHeight="1">
      <c r="B33" s="194"/>
      <c r="C33" s="475"/>
      <c r="D33" s="384"/>
      <c r="M33" s="166"/>
    </row>
    <row r="34" spans="2:13" s="81" customFormat="1" ht="15" customHeight="1">
      <c r="B34" s="598" t="s">
        <v>61</v>
      </c>
      <c r="C34" s="593">
        <f>+C18+C14</f>
        <v>8000725.928450001</v>
      </c>
      <c r="D34" s="593">
        <f>+D18+D14</f>
        <v>28994630.764700003</v>
      </c>
      <c r="M34" s="166"/>
    </row>
    <row r="35" spans="2:13" s="81" customFormat="1" ht="15" customHeight="1">
      <c r="B35" s="599"/>
      <c r="C35" s="594"/>
      <c r="D35" s="594"/>
      <c r="M35" s="166"/>
    </row>
    <row r="36" spans="3:6" ht="16.5">
      <c r="C36" s="52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21" t="s">
        <v>136</v>
      </c>
      <c r="C41" s="321"/>
      <c r="D41" s="321"/>
      <c r="M41" s="190"/>
    </row>
    <row r="42" spans="2:13" s="136" customFormat="1" ht="18">
      <c r="B42" s="321" t="s">
        <v>137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97" t="str">
        <f>+B9</f>
        <v>Al 31 de diciembre de 2020</v>
      </c>
      <c r="C44" s="597"/>
      <c r="D44" s="254"/>
      <c r="M44" s="190"/>
    </row>
    <row r="45" spans="2:13" s="65" customFormat="1" ht="9.75" customHeight="1">
      <c r="B45" s="600"/>
      <c r="C45" s="600"/>
      <c r="D45" s="600"/>
      <c r="M45" s="165"/>
    </row>
    <row r="46" spans="2:4" ht="16.5" customHeight="1">
      <c r="B46" s="601" t="s">
        <v>94</v>
      </c>
      <c r="C46" s="595" t="s">
        <v>87</v>
      </c>
      <c r="D46" s="585" t="s">
        <v>164</v>
      </c>
    </row>
    <row r="47" spans="2:13" s="81" customFormat="1" ht="16.5" customHeight="1">
      <c r="B47" s="602"/>
      <c r="C47" s="596"/>
      <c r="D47" s="586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73">
        <f>SUM(C50:C51)</f>
        <v>354776.0612600002</v>
      </c>
      <c r="D49" s="385">
        <f>SUM(D50:D51)</f>
        <v>1285708.44601</v>
      </c>
      <c r="F49" s="351"/>
      <c r="M49" s="166"/>
    </row>
    <row r="50" spans="2:13" s="81" customFormat="1" ht="16.5">
      <c r="B50" s="80" t="s">
        <v>24</v>
      </c>
      <c r="C50" s="474">
        <v>354776.0612600002</v>
      </c>
      <c r="D50" s="391">
        <f>ROUND(+C50*$E$9,5)</f>
        <v>1285708.44601</v>
      </c>
      <c r="F50" s="350"/>
      <c r="M50" s="166"/>
    </row>
    <row r="51" spans="2:13" s="81" customFormat="1" ht="21.75" customHeight="1" hidden="1">
      <c r="B51" s="82" t="s">
        <v>65</v>
      </c>
      <c r="C51" s="474">
        <v>0</v>
      </c>
      <c r="D51" s="391">
        <f>+C51*$E$9</f>
        <v>0</v>
      </c>
      <c r="M51" s="166"/>
    </row>
    <row r="52" spans="2:13" s="81" customFormat="1" ht="15" customHeight="1">
      <c r="B52" s="64"/>
      <c r="C52" s="475"/>
      <c r="D52" s="384"/>
      <c r="M52" s="166"/>
    </row>
    <row r="53" spans="2:13" s="81" customFormat="1" ht="16.5">
      <c r="B53" s="163" t="s">
        <v>63</v>
      </c>
      <c r="C53" s="473">
        <f>SUM(C54:C55)</f>
        <v>1106736.47589</v>
      </c>
      <c r="D53" s="473">
        <f>SUM(D54:D55)</f>
        <v>4010812.98863</v>
      </c>
      <c r="F53" s="351"/>
      <c r="M53" s="166"/>
    </row>
    <row r="54" spans="2:13" s="81" customFormat="1" ht="16.5">
      <c r="B54" s="80" t="s">
        <v>25</v>
      </c>
      <c r="C54" s="474">
        <f>+C58</f>
        <v>0</v>
      </c>
      <c r="D54" s="391">
        <f>+D58</f>
        <v>0</v>
      </c>
      <c r="F54" s="351"/>
      <c r="M54" s="166"/>
    </row>
    <row r="55" spans="2:13" s="81" customFormat="1" ht="16.5">
      <c r="B55" s="80" t="s">
        <v>24</v>
      </c>
      <c r="C55" s="474">
        <f>+C59</f>
        <v>1106736.47589</v>
      </c>
      <c r="D55" s="391">
        <f>+D59</f>
        <v>4010812.98863</v>
      </c>
      <c r="F55" s="350"/>
      <c r="M55" s="166"/>
    </row>
    <row r="56" spans="2:13" s="81" customFormat="1" ht="9.75" customHeight="1">
      <c r="B56" s="82"/>
      <c r="C56" s="474"/>
      <c r="D56" s="391"/>
      <c r="M56" s="166"/>
    </row>
    <row r="57" spans="2:13" s="81" customFormat="1" ht="16.5">
      <c r="B57" s="347" t="s">
        <v>176</v>
      </c>
      <c r="C57" s="476">
        <f>SUM(C58:C59)</f>
        <v>1106736.47589</v>
      </c>
      <c r="D57" s="476">
        <f>SUM(D58:D59)</f>
        <v>4010812.98863</v>
      </c>
      <c r="F57" s="351"/>
      <c r="M57" s="166"/>
    </row>
    <row r="58" spans="2:13" s="81" customFormat="1" ht="16.5" customHeight="1">
      <c r="B58" s="348" t="s">
        <v>25</v>
      </c>
      <c r="C58" s="475">
        <v>0</v>
      </c>
      <c r="D58" s="384">
        <f>ROUND(+C58*$E$9,5)</f>
        <v>0</v>
      </c>
      <c r="F58" s="350"/>
      <c r="M58" s="166"/>
    </row>
    <row r="59" spans="2:13" s="81" customFormat="1" ht="16.5" customHeight="1">
      <c r="B59" s="348" t="s">
        <v>24</v>
      </c>
      <c r="C59" s="475">
        <v>1106736.47589</v>
      </c>
      <c r="D59" s="384">
        <f>ROUND(+C59*$E$9,5)</f>
        <v>4010812.98863</v>
      </c>
      <c r="F59" s="206"/>
      <c r="M59" s="166"/>
    </row>
    <row r="60" spans="2:13" s="81" customFormat="1" ht="9.75" customHeight="1">
      <c r="B60" s="194"/>
      <c r="C60" s="475"/>
      <c r="D60" s="384"/>
      <c r="M60" s="166"/>
    </row>
    <row r="61" spans="2:13" s="81" customFormat="1" ht="15" customHeight="1">
      <c r="B61" s="598" t="s">
        <v>61</v>
      </c>
      <c r="C61" s="593">
        <f>+C53+C49</f>
        <v>1461512.5371500002</v>
      </c>
      <c r="D61" s="593">
        <f>+D53+D49</f>
        <v>5296521.43464</v>
      </c>
      <c r="M61" s="166"/>
    </row>
    <row r="62" spans="2:13" s="81" customFormat="1" ht="15" customHeight="1">
      <c r="B62" s="599"/>
      <c r="C62" s="594"/>
      <c r="D62" s="594"/>
      <c r="F62" s="351"/>
      <c r="M62" s="166"/>
    </row>
    <row r="63" ht="12.75">
      <c r="C63" s="523"/>
    </row>
    <row r="64" spans="3:6" ht="12.75">
      <c r="C64" s="193"/>
      <c r="D64" s="131"/>
      <c r="F64" s="352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136</v>
      </c>
      <c r="C6" s="321"/>
      <c r="D6" s="321"/>
      <c r="K6" s="132"/>
    </row>
    <row r="7" spans="2:11" ht="18">
      <c r="B7" s="321" t="s">
        <v>135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31 de diciembre de 2020</v>
      </c>
      <c r="C9" s="133"/>
      <c r="D9" s="267"/>
      <c r="E9" s="320">
        <f>+Portada!H39</f>
        <v>3.624</v>
      </c>
      <c r="K9" s="190"/>
    </row>
    <row r="10" spans="2:11" ht="9.75" customHeight="1">
      <c r="B10" s="603"/>
      <c r="C10" s="603"/>
      <c r="D10" s="603"/>
      <c r="K10" s="132"/>
    </row>
    <row r="11" spans="2:11" ht="16.5" customHeight="1">
      <c r="B11" s="601" t="s">
        <v>95</v>
      </c>
      <c r="C11" s="595" t="s">
        <v>87</v>
      </c>
      <c r="D11" s="585" t="s">
        <v>214</v>
      </c>
      <c r="K11" s="132"/>
    </row>
    <row r="12" spans="2:11" ht="16.5" customHeight="1">
      <c r="B12" s="602"/>
      <c r="C12" s="596"/>
      <c r="D12" s="586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89</v>
      </c>
      <c r="C14" s="383">
        <f>+C16+C20</f>
        <v>3968832.5089300005</v>
      </c>
      <c r="D14" s="383">
        <f>+D16+D20</f>
        <v>14383049.01236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77"/>
      <c r="D15" s="477"/>
      <c r="K15" s="165"/>
    </row>
    <row r="16" spans="2:11" s="65" customFormat="1" ht="16.5" customHeight="1">
      <c r="B16" s="354" t="s">
        <v>33</v>
      </c>
      <c r="C16" s="383">
        <f>SUM(C17:C18)</f>
        <v>3276827.96272</v>
      </c>
      <c r="D16" s="383">
        <f>SUM(D17:D18)</f>
        <v>11875224.536899999</v>
      </c>
      <c r="E16" s="519"/>
      <c r="F16" s="468"/>
      <c r="H16" s="208"/>
      <c r="K16" s="165"/>
    </row>
    <row r="17" spans="2:11" s="65" customFormat="1" ht="16.5" customHeight="1">
      <c r="B17" s="346" t="s">
        <v>220</v>
      </c>
      <c r="C17" s="384">
        <v>2000000</v>
      </c>
      <c r="D17" s="384">
        <f>ROUND(+C17*$E$9,5)</f>
        <v>7248000</v>
      </c>
      <c r="F17" s="350"/>
      <c r="H17" s="208"/>
      <c r="K17" s="165"/>
    </row>
    <row r="18" spans="2:11" s="65" customFormat="1" ht="16.5" customHeight="1">
      <c r="B18" s="346" t="s">
        <v>232</v>
      </c>
      <c r="C18" s="384">
        <v>1276827.9627200002</v>
      </c>
      <c r="D18" s="384">
        <f>ROUND(+C18*$E$9,5)</f>
        <v>4627224.5369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SUM(C21:C26)</f>
        <v>692004.5462100002</v>
      </c>
      <c r="D20" s="383">
        <f>SUM(D21:D26)</f>
        <v>2507824.47546</v>
      </c>
      <c r="E20" s="519"/>
      <c r="F20" s="468"/>
      <c r="H20" s="208"/>
      <c r="K20" s="165"/>
    </row>
    <row r="21" spans="2:11" s="65" customFormat="1" ht="16.5" customHeight="1">
      <c r="B21" s="346" t="s">
        <v>221</v>
      </c>
      <c r="C21" s="384">
        <v>409659.16225000005</v>
      </c>
      <c r="D21" s="384">
        <f aca="true" t="shared" si="0" ref="D21:D26">ROUND(+C21*$E$9,5)</f>
        <v>1484604.80399</v>
      </c>
      <c r="E21" s="451"/>
      <c r="F21" s="350"/>
      <c r="H21" s="208"/>
      <c r="K21" s="165"/>
    </row>
    <row r="22" spans="2:11" s="65" customFormat="1" ht="16.5" customHeight="1">
      <c r="B22" s="346" t="s">
        <v>182</v>
      </c>
      <c r="C22" s="384">
        <v>193779.43419000003</v>
      </c>
      <c r="D22" s="384">
        <f t="shared" si="0"/>
        <v>702256.6695</v>
      </c>
      <c r="E22" s="451"/>
      <c r="F22" s="350"/>
      <c r="H22" s="208"/>
      <c r="K22" s="165"/>
    </row>
    <row r="23" spans="2:11" s="65" customFormat="1" ht="16.5" customHeight="1">
      <c r="B23" s="346" t="s">
        <v>0</v>
      </c>
      <c r="C23" s="384">
        <v>83958.44984</v>
      </c>
      <c r="D23" s="384">
        <f t="shared" si="0"/>
        <v>304265.42222</v>
      </c>
      <c r="E23" s="451"/>
      <c r="F23" s="350"/>
      <c r="G23" s="290"/>
      <c r="H23" s="208"/>
      <c r="K23" s="165"/>
    </row>
    <row r="24" spans="2:11" s="65" customFormat="1" ht="16.5" customHeight="1">
      <c r="B24" s="346" t="s">
        <v>240</v>
      </c>
      <c r="C24" s="384">
        <v>2759.3819</v>
      </c>
      <c r="D24" s="384">
        <f t="shared" si="0"/>
        <v>10000.00001</v>
      </c>
      <c r="E24" s="451"/>
      <c r="F24" s="350"/>
      <c r="G24" s="290"/>
      <c r="H24" s="208"/>
      <c r="K24" s="165"/>
    </row>
    <row r="25" spans="2:11" s="65" customFormat="1" ht="16.5" customHeight="1">
      <c r="B25" s="346" t="s">
        <v>185</v>
      </c>
      <c r="C25" s="384">
        <v>1808.8094099999998</v>
      </c>
      <c r="D25" s="384">
        <f t="shared" si="0"/>
        <v>6555.1253</v>
      </c>
      <c r="E25" s="451"/>
      <c r="F25" s="350"/>
      <c r="G25" s="207"/>
      <c r="H25" s="207"/>
      <c r="K25" s="165"/>
    </row>
    <row r="26" spans="2:11" s="65" customFormat="1" ht="16.5" customHeight="1">
      <c r="B26" s="346" t="s">
        <v>183</v>
      </c>
      <c r="C26" s="384">
        <v>39.308620000000005</v>
      </c>
      <c r="D26" s="384">
        <f t="shared" si="0"/>
        <v>142.45444</v>
      </c>
      <c r="F26" s="350"/>
      <c r="G26" s="207"/>
      <c r="H26" s="207"/>
      <c r="I26" s="207"/>
      <c r="K26" s="165"/>
    </row>
    <row r="27" spans="2:8" s="65" customFormat="1" ht="15" customHeight="1">
      <c r="B27" s="66"/>
      <c r="C27" s="384"/>
      <c r="D27" s="384"/>
      <c r="G27" s="224"/>
      <c r="H27" s="224"/>
    </row>
    <row r="28" spans="2:8" s="65" customFormat="1" ht="16.5" customHeight="1">
      <c r="B28" s="353" t="s">
        <v>90</v>
      </c>
      <c r="C28" s="383">
        <f>+C30+C38</f>
        <v>4031893.419519999</v>
      </c>
      <c r="D28" s="383">
        <f>+D30+D38</f>
        <v>14611581.75235144</v>
      </c>
      <c r="F28" s="351"/>
      <c r="G28" s="207"/>
      <c r="H28" s="207"/>
    </row>
    <row r="29" spans="2:4" s="65" customFormat="1" ht="9.75" customHeight="1">
      <c r="B29" s="63"/>
      <c r="C29" s="477"/>
      <c r="D29" s="477"/>
    </row>
    <row r="30" spans="2:8" s="65" customFormat="1" ht="16.5" customHeight="1">
      <c r="B30" s="354" t="s">
        <v>33</v>
      </c>
      <c r="C30" s="383">
        <f>SUM(C31:C36)</f>
        <v>2924143.91094</v>
      </c>
      <c r="D30" s="383">
        <f>SUM(D31:D36)</f>
        <v>10597097.53326</v>
      </c>
      <c r="E30" s="519"/>
      <c r="F30" s="468"/>
      <c r="H30" s="208"/>
    </row>
    <row r="31" spans="2:8" s="65" customFormat="1" ht="16.5" customHeight="1">
      <c r="B31" s="346" t="s">
        <v>219</v>
      </c>
      <c r="C31" s="384">
        <v>2411735.28477</v>
      </c>
      <c r="D31" s="384">
        <f aca="true" t="shared" si="1" ref="D31:D36">ROUND(+C31*$E$9,5)</f>
        <v>8740128.67201</v>
      </c>
      <c r="E31" s="382"/>
      <c r="F31" s="447"/>
      <c r="H31" s="208"/>
    </row>
    <row r="32" spans="2:8" s="65" customFormat="1" ht="16.5" customHeight="1">
      <c r="B32" s="346" t="s">
        <v>180</v>
      </c>
      <c r="C32" s="384">
        <v>228633.79942</v>
      </c>
      <c r="D32" s="384">
        <f t="shared" si="1"/>
        <v>828568.8891</v>
      </c>
      <c r="E32" s="382"/>
      <c r="F32" s="447"/>
      <c r="H32" s="208"/>
    </row>
    <row r="33" spans="2:8" s="65" customFormat="1" ht="16.5" customHeight="1">
      <c r="B33" s="346" t="s">
        <v>234</v>
      </c>
      <c r="C33" s="384">
        <v>159533.47602</v>
      </c>
      <c r="D33" s="384">
        <f t="shared" si="1"/>
        <v>578149.3171</v>
      </c>
      <c r="E33" s="382"/>
      <c r="F33" s="447"/>
      <c r="H33" s="208"/>
    </row>
    <row r="34" spans="2:8" s="65" customFormat="1" ht="16.5" customHeight="1">
      <c r="B34" s="346" t="s">
        <v>186</v>
      </c>
      <c r="C34" s="384">
        <v>104304.63577</v>
      </c>
      <c r="D34" s="384">
        <f t="shared" si="1"/>
        <v>378000.00003</v>
      </c>
      <c r="E34" s="382"/>
      <c r="F34" s="447"/>
      <c r="H34" s="208"/>
    </row>
    <row r="35" spans="2:8" s="65" customFormat="1" ht="16.5" customHeight="1">
      <c r="B35" s="346" t="s">
        <v>235</v>
      </c>
      <c r="C35" s="384">
        <v>12500</v>
      </c>
      <c r="D35" s="384">
        <f t="shared" si="1"/>
        <v>45300</v>
      </c>
      <c r="E35" s="382"/>
      <c r="F35" s="447"/>
      <c r="H35" s="208"/>
    </row>
    <row r="36" spans="2:8" s="65" customFormat="1" ht="16.5" customHeight="1">
      <c r="B36" s="346" t="s">
        <v>179</v>
      </c>
      <c r="C36" s="384">
        <v>7436.71496</v>
      </c>
      <c r="D36" s="384">
        <f t="shared" si="1"/>
        <v>26950.65502</v>
      </c>
      <c r="E36" s="382"/>
      <c r="F36" s="447"/>
      <c r="H36" s="208"/>
    </row>
    <row r="37" spans="2:8" s="65" customFormat="1" ht="12" customHeight="1">
      <c r="B37" s="64"/>
      <c r="C37" s="384"/>
      <c r="D37" s="384"/>
      <c r="H37" s="208"/>
    </row>
    <row r="38" spans="2:8" s="65" customFormat="1" ht="16.5" customHeight="1">
      <c r="B38" s="354" t="s">
        <v>34</v>
      </c>
      <c r="C38" s="383">
        <f>SUM(C39:C44)</f>
        <v>1107749.5085799994</v>
      </c>
      <c r="D38" s="383">
        <f>SUM(D39:D44)</f>
        <v>4014484.21909144</v>
      </c>
      <c r="E38" s="519"/>
      <c r="F38" s="520"/>
      <c r="H38" s="208"/>
    </row>
    <row r="39" spans="2:8" s="65" customFormat="1" ht="16.5" customHeight="1">
      <c r="B39" s="346" t="s">
        <v>223</v>
      </c>
      <c r="C39" s="384">
        <v>562971.8542800001</v>
      </c>
      <c r="D39" s="384">
        <f>ROUND(+C39*$E$9,5)</f>
        <v>2040209.99991</v>
      </c>
      <c r="F39" s="351"/>
      <c r="H39" s="208"/>
    </row>
    <row r="40" spans="2:8" s="65" customFormat="1" ht="16.5" customHeight="1">
      <c r="B40" s="346" t="s">
        <v>181</v>
      </c>
      <c r="C40" s="384">
        <v>479580.57417999953</v>
      </c>
      <c r="D40" s="384">
        <f>ROUND(+C40*$E$9,5)</f>
        <v>1738000.00083</v>
      </c>
      <c r="E40" s="382"/>
      <c r="F40" s="505"/>
      <c r="H40" s="208"/>
    </row>
    <row r="41" spans="2:8" s="65" customFormat="1" ht="16.5" customHeight="1">
      <c r="B41" s="346" t="s">
        <v>221</v>
      </c>
      <c r="C41" s="384">
        <v>36199.18957</v>
      </c>
      <c r="D41" s="384">
        <f>ROUND(+C41*$E$9,5)</f>
        <v>131185.863</v>
      </c>
      <c r="E41" s="382"/>
      <c r="F41" s="447"/>
      <c r="H41" s="208"/>
    </row>
    <row r="42" spans="2:8" s="65" customFormat="1" ht="16.5" customHeight="1">
      <c r="B42" s="346" t="s">
        <v>211</v>
      </c>
      <c r="C42" s="384">
        <v>22705.77106</v>
      </c>
      <c r="D42" s="384">
        <f>ROUND(+C42*$E$9,8)</f>
        <v>82285.71432144</v>
      </c>
      <c r="E42" s="382"/>
      <c r="F42" s="447"/>
      <c r="H42" s="208"/>
    </row>
    <row r="43" spans="2:8" s="65" customFormat="1" ht="16.5" customHeight="1">
      <c r="B43" s="346" t="s">
        <v>188</v>
      </c>
      <c r="C43" s="384">
        <v>4966.88742</v>
      </c>
      <c r="D43" s="384">
        <f>ROUND(+C43*$E$9,5)</f>
        <v>18000.00001</v>
      </c>
      <c r="E43" s="382"/>
      <c r="F43" s="447"/>
      <c r="H43" s="208"/>
    </row>
    <row r="44" spans="2:8" s="65" customFormat="1" ht="16.5" customHeight="1">
      <c r="B44" s="346" t="s">
        <v>184</v>
      </c>
      <c r="C44" s="384">
        <v>1325.23207</v>
      </c>
      <c r="D44" s="384">
        <f>ROUND(+C44*$E$9,5)</f>
        <v>4802.64102</v>
      </c>
      <c r="E44" s="382"/>
      <c r="F44" s="447"/>
      <c r="H44" s="208"/>
    </row>
    <row r="45" spans="2:8" s="65" customFormat="1" ht="9" customHeight="1">
      <c r="B45" s="64"/>
      <c r="C45" s="384"/>
      <c r="D45" s="384"/>
      <c r="H45" s="208"/>
    </row>
    <row r="46" spans="2:8" s="65" customFormat="1" ht="15" customHeight="1">
      <c r="B46" s="598" t="s">
        <v>61</v>
      </c>
      <c r="C46" s="593">
        <f>+C28+C14</f>
        <v>8000725.92845</v>
      </c>
      <c r="D46" s="593">
        <f>+D28+D14</f>
        <v>28994630.76471144</v>
      </c>
      <c r="F46" s="351"/>
      <c r="H46" s="208"/>
    </row>
    <row r="47" spans="2:8" s="81" customFormat="1" ht="15" customHeight="1">
      <c r="B47" s="599"/>
      <c r="C47" s="594"/>
      <c r="D47" s="594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222</v>
      </c>
      <c r="C49" s="521"/>
      <c r="D49" s="86"/>
    </row>
    <row r="50" spans="2:4" ht="12.75">
      <c r="B50" s="86" t="s">
        <v>224</v>
      </c>
      <c r="C50" s="464"/>
      <c r="D50" s="86"/>
    </row>
    <row r="51" spans="2:5" ht="14.25">
      <c r="B51" s="86" t="s">
        <v>260</v>
      </c>
      <c r="C51" s="86"/>
      <c r="D51" s="169"/>
      <c r="E51" s="192"/>
    </row>
    <row r="52" spans="2:5" ht="13.5" customHeight="1">
      <c r="B52" s="86" t="s">
        <v>261</v>
      </c>
      <c r="C52" s="86"/>
      <c r="D52" s="86"/>
      <c r="E52" s="192"/>
    </row>
    <row r="53" spans="2:5" ht="12.75">
      <c r="B53" s="460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21" t="s">
        <v>136</v>
      </c>
      <c r="C57" s="321"/>
      <c r="D57" s="321"/>
    </row>
    <row r="58" spans="2:4" ht="18">
      <c r="B58" s="321" t="s">
        <v>137</v>
      </c>
      <c r="C58" s="321"/>
      <c r="D58" s="321"/>
    </row>
    <row r="59" spans="2:4" ht="16.5">
      <c r="B59" s="345" t="s">
        <v>32</v>
      </c>
      <c r="C59" s="184"/>
      <c r="D59" s="184"/>
    </row>
    <row r="60" spans="2:4" s="136" customFormat="1" ht="18">
      <c r="B60" s="133" t="str">
        <f>+B9</f>
        <v>Al 31 de diciembre de 2020</v>
      </c>
      <c r="C60" s="133"/>
      <c r="D60" s="254"/>
    </row>
    <row r="61" spans="2:4" ht="9.75" customHeight="1">
      <c r="B61" s="603"/>
      <c r="C61" s="603"/>
      <c r="D61" s="603"/>
    </row>
    <row r="62" spans="2:4" ht="16.5" customHeight="1">
      <c r="B62" s="601" t="s">
        <v>95</v>
      </c>
      <c r="C62" s="595" t="s">
        <v>87</v>
      </c>
      <c r="D62" s="585" t="s">
        <v>214</v>
      </c>
    </row>
    <row r="63" spans="2:4" ht="16.5" customHeight="1">
      <c r="B63" s="602"/>
      <c r="C63" s="596"/>
      <c r="D63" s="586"/>
    </row>
    <row r="64" spans="2:4" s="81" customFormat="1" ht="9.75" customHeight="1">
      <c r="B64" s="257"/>
      <c r="C64" s="104"/>
      <c r="D64" s="104"/>
    </row>
    <row r="65" spans="2:4" s="81" customFormat="1" ht="16.5" customHeight="1">
      <c r="B65" s="353" t="s">
        <v>239</v>
      </c>
      <c r="C65" s="383">
        <f>+C67+C69</f>
        <v>0</v>
      </c>
      <c r="D65" s="383">
        <f>+D67+D69</f>
        <v>0</v>
      </c>
    </row>
    <row r="66" spans="2:4" s="81" customFormat="1" ht="9.75" customHeight="1" hidden="1">
      <c r="B66" s="508"/>
      <c r="C66" s="104"/>
      <c r="D66" s="104"/>
    </row>
    <row r="67" spans="2:4" s="81" customFormat="1" ht="16.5" hidden="1">
      <c r="B67" s="354" t="s">
        <v>33</v>
      </c>
      <c r="C67" s="383">
        <v>0</v>
      </c>
      <c r="D67" s="383">
        <v>0</v>
      </c>
    </row>
    <row r="68" spans="2:4" s="81" customFormat="1" ht="9.75" customHeight="1" hidden="1">
      <c r="B68" s="508"/>
      <c r="C68" s="104"/>
      <c r="D68" s="104"/>
    </row>
    <row r="69" spans="2:4" s="81" customFormat="1" ht="16.5" hidden="1">
      <c r="B69" s="354" t="s">
        <v>34</v>
      </c>
      <c r="C69" s="383">
        <f>SUM(C70:C70)</f>
        <v>0</v>
      </c>
      <c r="D69" s="383">
        <f>SUM(D70:D70)</f>
        <v>0</v>
      </c>
    </row>
    <row r="70" spans="2:4" s="81" customFormat="1" ht="16.5" hidden="1">
      <c r="B70" s="346"/>
      <c r="C70" s="384">
        <v>0</v>
      </c>
      <c r="D70" s="384">
        <f>ROUND(+C70*$E$9,8)</f>
        <v>0</v>
      </c>
    </row>
    <row r="71" spans="2:4" s="81" customFormat="1" ht="12" customHeight="1">
      <c r="B71" s="508"/>
      <c r="C71" s="104"/>
      <c r="D71" s="104"/>
    </row>
    <row r="72" spans="2:6" s="65" customFormat="1" ht="16.5" customHeight="1">
      <c r="B72" s="353" t="s">
        <v>237</v>
      </c>
      <c r="C72" s="383">
        <f>+C74+C84</f>
        <v>1461512.5371500002</v>
      </c>
      <c r="D72" s="383">
        <f>+D74+D84</f>
        <v>5296521.4346316</v>
      </c>
      <c r="F72" s="351"/>
    </row>
    <row r="73" spans="2:8" s="65" customFormat="1" ht="9.75" customHeight="1">
      <c r="B73" s="64"/>
      <c r="C73" s="384"/>
      <c r="D73" s="384"/>
      <c r="H73" s="208"/>
    </row>
    <row r="74" spans="2:8" s="65" customFormat="1" ht="16.5" customHeight="1">
      <c r="B74" s="354" t="s">
        <v>33</v>
      </c>
      <c r="C74" s="383">
        <f>SUM(C75:C82)</f>
        <v>414000</v>
      </c>
      <c r="D74" s="383">
        <f>SUM(D75:D82)</f>
        <v>1500336</v>
      </c>
      <c r="F74" s="351"/>
      <c r="G74" s="209"/>
      <c r="H74" s="209"/>
    </row>
    <row r="75" spans="2:8" s="65" customFormat="1" ht="16.5" customHeight="1">
      <c r="B75" s="346" t="s">
        <v>252</v>
      </c>
      <c r="C75" s="384">
        <v>93000</v>
      </c>
      <c r="D75" s="384">
        <f>ROUND(+C75*$E$9,8)</f>
        <v>337032</v>
      </c>
      <c r="F75" s="351"/>
      <c r="G75" s="209"/>
      <c r="H75" s="209"/>
    </row>
    <row r="76" spans="2:8" s="65" customFormat="1" ht="16.5" customHeight="1">
      <c r="B76" s="346" t="s">
        <v>262</v>
      </c>
      <c r="C76" s="384">
        <v>75000</v>
      </c>
      <c r="D76" s="384">
        <f aca="true" t="shared" si="2" ref="D76:D82">ROUND(+C76*$E$9,8)</f>
        <v>271800</v>
      </c>
      <c r="F76" s="351"/>
      <c r="G76" s="209"/>
      <c r="H76" s="209"/>
    </row>
    <row r="77" spans="2:8" s="65" customFormat="1" ht="16.5" customHeight="1">
      <c r="B77" s="346" t="s">
        <v>255</v>
      </c>
      <c r="C77" s="384">
        <v>66000</v>
      </c>
      <c r="D77" s="384">
        <f t="shared" si="2"/>
        <v>239184</v>
      </c>
      <c r="F77" s="351"/>
      <c r="G77" s="209"/>
      <c r="H77" s="209"/>
    </row>
    <row r="78" spans="2:8" s="65" customFormat="1" ht="16.5" customHeight="1">
      <c r="B78" s="346" t="s">
        <v>179</v>
      </c>
      <c r="C78" s="384">
        <v>50000</v>
      </c>
      <c r="D78" s="384">
        <f t="shared" si="2"/>
        <v>181200</v>
      </c>
      <c r="F78" s="351"/>
      <c r="G78" s="209"/>
      <c r="H78" s="209"/>
    </row>
    <row r="79" spans="2:8" s="65" customFormat="1" ht="16.5" customHeight="1">
      <c r="B79" s="346" t="s">
        <v>263</v>
      </c>
      <c r="C79" s="384">
        <v>50000</v>
      </c>
      <c r="D79" s="384">
        <f t="shared" si="2"/>
        <v>181200</v>
      </c>
      <c r="F79" s="351"/>
      <c r="G79" s="209"/>
      <c r="H79" s="209"/>
    </row>
    <row r="80" spans="2:8" s="65" customFormat="1" ht="16.5" customHeight="1">
      <c r="B80" s="346" t="s">
        <v>264</v>
      </c>
      <c r="C80" s="384">
        <v>48000</v>
      </c>
      <c r="D80" s="384">
        <f t="shared" si="2"/>
        <v>173952</v>
      </c>
      <c r="F80" s="351"/>
      <c r="G80" s="209"/>
      <c r="H80" s="209"/>
    </row>
    <row r="81" spans="2:8" s="65" customFormat="1" ht="16.5" customHeight="1">
      <c r="B81" s="346" t="s">
        <v>265</v>
      </c>
      <c r="C81" s="384">
        <v>25000</v>
      </c>
      <c r="D81" s="384">
        <f t="shared" si="2"/>
        <v>90600</v>
      </c>
      <c r="F81" s="351"/>
      <c r="G81" s="209"/>
      <c r="H81" s="209"/>
    </row>
    <row r="82" spans="2:8" s="65" customFormat="1" ht="16.5" customHeight="1">
      <c r="B82" s="346" t="s">
        <v>266</v>
      </c>
      <c r="C82" s="384">
        <v>7000</v>
      </c>
      <c r="D82" s="384">
        <f t="shared" si="2"/>
        <v>25368</v>
      </c>
      <c r="F82" s="351"/>
      <c r="G82" s="209"/>
      <c r="H82" s="209"/>
    </row>
    <row r="83" spans="2:4" s="65" customFormat="1" ht="9.75" customHeight="1">
      <c r="B83" s="63"/>
      <c r="C83" s="477"/>
      <c r="D83" s="477"/>
    </row>
    <row r="84" spans="2:8" s="65" customFormat="1" ht="16.5" customHeight="1">
      <c r="B84" s="354" t="s">
        <v>34</v>
      </c>
      <c r="C84" s="383">
        <f>SUM(C85:C91)</f>
        <v>1047512.5371500003</v>
      </c>
      <c r="D84" s="383">
        <f>SUM(D85:D91)</f>
        <v>3796185.4346316</v>
      </c>
      <c r="F84" s="351"/>
      <c r="H84" s="208"/>
    </row>
    <row r="85" spans="2:8" s="65" customFormat="1" ht="16.5" customHeight="1">
      <c r="B85" s="346" t="s">
        <v>187</v>
      </c>
      <c r="C85" s="384">
        <v>270547.0932800002</v>
      </c>
      <c r="D85" s="384">
        <f aca="true" t="shared" si="3" ref="D85:D91">ROUND(+C85*$E$9,8)</f>
        <v>980462.66604672</v>
      </c>
      <c r="E85" s="382"/>
      <c r="F85" s="447"/>
      <c r="H85" s="208"/>
    </row>
    <row r="86" spans="2:8" s="65" customFormat="1" ht="16.5" customHeight="1">
      <c r="B86" s="346" t="s">
        <v>157</v>
      </c>
      <c r="C86" s="384">
        <v>262932.0945400001</v>
      </c>
      <c r="D86" s="384">
        <f t="shared" si="3"/>
        <v>952865.91061296</v>
      </c>
      <c r="E86" s="382"/>
      <c r="F86" s="447"/>
      <c r="H86" s="208"/>
    </row>
    <row r="87" spans="2:8" s="65" customFormat="1" ht="16.5" customHeight="1">
      <c r="B87" s="346" t="s">
        <v>188</v>
      </c>
      <c r="C87" s="384">
        <v>224015.60044</v>
      </c>
      <c r="D87" s="384">
        <f t="shared" si="3"/>
        <v>811832.53599456</v>
      </c>
      <c r="E87" s="382"/>
      <c r="F87" s="447"/>
      <c r="H87" s="208"/>
    </row>
    <row r="88" spans="2:8" s="65" customFormat="1" ht="16.5" customHeight="1">
      <c r="B88" s="346" t="s">
        <v>241</v>
      </c>
      <c r="C88" s="384">
        <v>140309.97057</v>
      </c>
      <c r="D88" s="384">
        <f t="shared" si="3"/>
        <v>508483.33334568</v>
      </c>
      <c r="E88" s="382"/>
      <c r="F88" s="447"/>
      <c r="H88" s="208"/>
    </row>
    <row r="89" spans="2:8" s="65" customFormat="1" ht="16.5" customHeight="1">
      <c r="B89" s="346" t="s">
        <v>184</v>
      </c>
      <c r="C89" s="384">
        <v>100971.30243</v>
      </c>
      <c r="D89" s="384">
        <f t="shared" si="3"/>
        <v>365920.00000632</v>
      </c>
      <c r="E89" s="382"/>
      <c r="F89" s="447"/>
      <c r="H89" s="208"/>
    </row>
    <row r="90" spans="2:8" s="65" customFormat="1" ht="16.5" customHeight="1">
      <c r="B90" s="346" t="s">
        <v>253</v>
      </c>
      <c r="C90" s="384">
        <v>41000</v>
      </c>
      <c r="D90" s="384">
        <f t="shared" si="3"/>
        <v>148584</v>
      </c>
      <c r="E90" s="382"/>
      <c r="F90" s="447"/>
      <c r="H90" s="208"/>
    </row>
    <row r="91" spans="2:8" s="65" customFormat="1" ht="16.5" customHeight="1">
      <c r="B91" s="346" t="s">
        <v>267</v>
      </c>
      <c r="C91" s="384">
        <v>7736.47589</v>
      </c>
      <c r="D91" s="384">
        <f t="shared" si="3"/>
        <v>28036.98862536</v>
      </c>
      <c r="E91" s="382"/>
      <c r="F91" s="447"/>
      <c r="H91" s="208"/>
    </row>
    <row r="92" spans="2:8" s="65" customFormat="1" ht="9" customHeight="1">
      <c r="B92" s="64"/>
      <c r="C92" s="384"/>
      <c r="D92" s="384"/>
      <c r="H92" s="208"/>
    </row>
    <row r="93" spans="2:8" s="65" customFormat="1" ht="15" customHeight="1">
      <c r="B93" s="598" t="s">
        <v>61</v>
      </c>
      <c r="C93" s="593">
        <f>+C65+C72</f>
        <v>1461512.5371500002</v>
      </c>
      <c r="D93" s="593">
        <f>+D65+D72</f>
        <v>5296521.4346316</v>
      </c>
      <c r="F93" s="351"/>
      <c r="H93" s="208"/>
    </row>
    <row r="94" spans="2:8" s="81" customFormat="1" ht="15" customHeight="1">
      <c r="B94" s="599"/>
      <c r="C94" s="594"/>
      <c r="D94" s="594"/>
      <c r="F94" s="216"/>
      <c r="H94" s="208"/>
    </row>
    <row r="95" ht="12.75">
      <c r="C95" s="192"/>
    </row>
    <row r="96" spans="3:4" ht="12.75">
      <c r="C96" s="102"/>
      <c r="D96" s="289"/>
    </row>
    <row r="97" spans="3:4" ht="12.75">
      <c r="C97" s="291"/>
      <c r="D97" s="291"/>
    </row>
    <row r="98" ht="12.75">
      <c r="C98" s="438"/>
    </row>
    <row r="99" ht="12.75">
      <c r="C99" s="438"/>
    </row>
    <row r="100" ht="12.75">
      <c r="C100" s="438"/>
    </row>
    <row r="101" ht="12.75">
      <c r="C101" s="438"/>
    </row>
    <row r="102" ht="12.75">
      <c r="C102" s="438"/>
    </row>
    <row r="103" ht="12.75">
      <c r="C103" s="438"/>
    </row>
    <row r="104" ht="12.75">
      <c r="C104" s="438"/>
    </row>
  </sheetData>
  <sheetProtection/>
  <mergeCells count="14">
    <mergeCell ref="B10:D10"/>
    <mergeCell ref="B93:B94"/>
    <mergeCell ref="C93:C94"/>
    <mergeCell ref="D93:D94"/>
    <mergeCell ref="B61:D61"/>
    <mergeCell ref="B62:B63"/>
    <mergeCell ref="D11:D12"/>
    <mergeCell ref="C46:C47"/>
    <mergeCell ref="B46:B47"/>
    <mergeCell ref="C62:C63"/>
    <mergeCell ref="D62:D63"/>
    <mergeCell ref="B11:B12"/>
    <mergeCell ref="D46:D47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9"/>
    </row>
    <row r="6" spans="2:9" ht="18">
      <c r="B6" s="321" t="s">
        <v>136</v>
      </c>
      <c r="C6" s="321"/>
      <c r="D6" s="321"/>
      <c r="I6" s="289"/>
    </row>
    <row r="7" spans="2:4" ht="18">
      <c r="B7" s="321" t="s">
        <v>135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31 de diciembre de 2020</v>
      </c>
      <c r="C9" s="133"/>
      <c r="D9" s="267"/>
      <c r="E9" s="320">
        <f>+Portada!H39</f>
        <v>3.624</v>
      </c>
    </row>
    <row r="10" spans="2:4" ht="9.75" customHeight="1">
      <c r="B10" s="603"/>
      <c r="C10" s="603"/>
      <c r="D10" s="603"/>
    </row>
    <row r="11" spans="2:4" ht="16.5" customHeight="1">
      <c r="B11" s="589" t="s">
        <v>150</v>
      </c>
      <c r="C11" s="585" t="s">
        <v>87</v>
      </c>
      <c r="D11" s="606" t="s">
        <v>164</v>
      </c>
    </row>
    <row r="12" spans="2:8" s="81" customFormat="1" ht="16.5" customHeight="1">
      <c r="B12" s="590"/>
      <c r="C12" s="586"/>
      <c r="D12" s="607"/>
      <c r="H12" s="206"/>
    </row>
    <row r="13" spans="2:8" s="81" customFormat="1" ht="9.75" customHeight="1">
      <c r="B13" s="255"/>
      <c r="C13" s="514"/>
      <c r="D13" s="138"/>
      <c r="H13" s="206"/>
    </row>
    <row r="14" spans="2:9" s="65" customFormat="1" ht="16.5" customHeight="1">
      <c r="B14" s="364" t="s">
        <v>0</v>
      </c>
      <c r="C14" s="515">
        <f>SUM(C15:C16)</f>
        <v>4653715.55472</v>
      </c>
      <c r="D14" s="476">
        <f>SUM(D15:D16)</f>
        <v>16865065.1703053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516">
        <v>621822.1352</v>
      </c>
      <c r="D15" s="475">
        <f>ROUND(+C15*$E$9,8)</f>
        <v>2253483.4179648</v>
      </c>
      <c r="E15" s="462"/>
      <c r="F15" s="350"/>
      <c r="G15" s="355"/>
      <c r="H15" s="292"/>
    </row>
    <row r="16" spans="2:8" s="65" customFormat="1" ht="16.5" customHeight="1">
      <c r="B16" s="69" t="s">
        <v>25</v>
      </c>
      <c r="C16" s="516">
        <v>4031893.41952</v>
      </c>
      <c r="D16" s="475">
        <f>ROUND(+C16*$E$9,8)</f>
        <v>14611581.7523405</v>
      </c>
      <c r="E16" s="462"/>
      <c r="F16" s="350"/>
      <c r="G16" s="292"/>
      <c r="H16" s="292"/>
    </row>
    <row r="17" spans="2:8" s="65" customFormat="1" ht="12" customHeight="1">
      <c r="B17" s="69"/>
      <c r="C17" s="516"/>
      <c r="D17" s="475"/>
      <c r="E17" s="461"/>
      <c r="H17" s="210"/>
    </row>
    <row r="18" spans="2:8" s="65" customFormat="1" ht="16.5" customHeight="1">
      <c r="B18" s="364" t="s">
        <v>189</v>
      </c>
      <c r="C18" s="515">
        <f>SUM(C19:C19)</f>
        <v>70182.41101</v>
      </c>
      <c r="D18" s="476">
        <f>SUM(D19:D19)</f>
        <v>254341.05750024</v>
      </c>
      <c r="E18" s="461"/>
      <c r="F18" s="351"/>
      <c r="G18" s="293"/>
      <c r="H18" s="293"/>
    </row>
    <row r="19" spans="2:8" s="65" customFormat="1" ht="16.5" customHeight="1">
      <c r="B19" s="69" t="s">
        <v>24</v>
      </c>
      <c r="C19" s="516">
        <v>70182.41101</v>
      </c>
      <c r="D19" s="475">
        <f>ROUND(+C19*$E$9,8)</f>
        <v>254341.05750024</v>
      </c>
      <c r="E19" s="462"/>
      <c r="F19" s="350"/>
      <c r="H19" s="210"/>
    </row>
    <row r="20" spans="2:8" s="65" customFormat="1" ht="11.25" customHeight="1">
      <c r="B20" s="69"/>
      <c r="C20" s="516"/>
      <c r="D20" s="475"/>
      <c r="E20" s="461"/>
      <c r="H20" s="210"/>
    </row>
    <row r="21" spans="2:8" s="65" customFormat="1" ht="16.5" customHeight="1">
      <c r="B21" s="364" t="s">
        <v>190</v>
      </c>
      <c r="C21" s="515">
        <f>+C22</f>
        <v>3276827.96272</v>
      </c>
      <c r="D21" s="476">
        <f>+D22</f>
        <v>11875224.5368973</v>
      </c>
      <c r="E21" s="461"/>
      <c r="F21" s="351"/>
      <c r="H21" s="210"/>
    </row>
    <row r="22" spans="2:8" s="65" customFormat="1" ht="16.5" customHeight="1">
      <c r="B22" s="69" t="s">
        <v>24</v>
      </c>
      <c r="C22" s="516">
        <v>3276827.96272</v>
      </c>
      <c r="D22" s="475">
        <f>ROUND(+C22*$E$9,8)</f>
        <v>11875224.5368973</v>
      </c>
      <c r="E22" s="462"/>
      <c r="F22" s="350"/>
      <c r="H22" s="210"/>
    </row>
    <row r="23" spans="2:8" s="65" customFormat="1" ht="9.75" customHeight="1">
      <c r="B23" s="68"/>
      <c r="C23" s="517"/>
      <c r="D23" s="474"/>
      <c r="F23" s="350"/>
      <c r="H23" s="210"/>
    </row>
    <row r="24" spans="2:8" s="65" customFormat="1" ht="15" customHeight="1">
      <c r="B24" s="598" t="s">
        <v>61</v>
      </c>
      <c r="C24" s="604">
        <f>+C18+C14+C21</f>
        <v>8000725.9284500005</v>
      </c>
      <c r="D24" s="608">
        <f>+D18+D14+D21</f>
        <v>28994630.76470284</v>
      </c>
      <c r="F24" s="351"/>
      <c r="H24" s="210"/>
    </row>
    <row r="25" spans="2:8" s="81" customFormat="1" ht="15" customHeight="1">
      <c r="B25" s="599"/>
      <c r="C25" s="605"/>
      <c r="D25" s="609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57" t="s">
        <v>191</v>
      </c>
      <c r="C27" s="524"/>
      <c r="D27" s="457"/>
      <c r="H27" s="210"/>
    </row>
    <row r="28" spans="2:8" s="65" customFormat="1" ht="17.25" customHeight="1">
      <c r="B28" s="457" t="s">
        <v>192</v>
      </c>
      <c r="C28" s="458"/>
      <c r="D28" s="457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21" t="s">
        <v>136</v>
      </c>
      <c r="C34" s="321"/>
      <c r="D34" s="321"/>
      <c r="H34" s="220"/>
    </row>
    <row r="35" spans="2:8" s="136" customFormat="1" ht="18">
      <c r="B35" s="321" t="s">
        <v>137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31 de diciembre de 2020</v>
      </c>
      <c r="C37" s="133"/>
      <c r="D37" s="254"/>
      <c r="H37" s="220"/>
    </row>
    <row r="38" spans="2:4" ht="9.75" customHeight="1">
      <c r="B38" s="603"/>
      <c r="C38" s="603"/>
      <c r="D38" s="603"/>
    </row>
    <row r="39" spans="2:4" ht="16.5" customHeight="1">
      <c r="B39" s="589" t="s">
        <v>150</v>
      </c>
      <c r="C39" s="585" t="s">
        <v>87</v>
      </c>
      <c r="D39" s="585" t="s">
        <v>164</v>
      </c>
    </row>
    <row r="40" spans="2:8" s="81" customFormat="1" ht="16.5" customHeight="1">
      <c r="B40" s="590"/>
      <c r="C40" s="586"/>
      <c r="D40" s="586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SUM(C43:C44)</f>
        <v>274753.98621</v>
      </c>
      <c r="D42" s="476">
        <f>SUM(D43:D44)</f>
        <v>995708.44602504</v>
      </c>
      <c r="E42" s="219"/>
      <c r="H42" s="210"/>
    </row>
    <row r="43" spans="2:8" s="65" customFormat="1" ht="16.5" customHeight="1">
      <c r="B43" s="69" t="s">
        <v>24</v>
      </c>
      <c r="C43" s="384">
        <v>274753.98621</v>
      </c>
      <c r="D43" s="475">
        <f>ROUND(+C43*$E$9,8)</f>
        <v>995708.44602504</v>
      </c>
      <c r="E43" s="219"/>
      <c r="F43" s="363"/>
      <c r="H43" s="210"/>
    </row>
    <row r="44" spans="2:8" s="65" customFormat="1" ht="16.5" customHeight="1" hidden="1">
      <c r="B44" s="69" t="s">
        <v>25</v>
      </c>
      <c r="C44" s="384">
        <v>0</v>
      </c>
      <c r="D44" s="475">
        <f>ROUND(+C44*$E$9,8)</f>
        <v>0</v>
      </c>
      <c r="E44" s="219"/>
      <c r="F44" s="363"/>
      <c r="H44" s="210"/>
    </row>
    <row r="45" spans="2:8" s="65" customFormat="1" ht="12" customHeight="1">
      <c r="B45" s="69"/>
      <c r="C45" s="384"/>
      <c r="D45" s="475"/>
      <c r="E45" s="219"/>
      <c r="H45" s="210"/>
    </row>
    <row r="46" spans="2:8" s="65" customFormat="1" ht="16.5" customHeight="1">
      <c r="B46" s="364" t="s">
        <v>159</v>
      </c>
      <c r="C46" s="383">
        <f>+C47</f>
        <v>1186758.55094</v>
      </c>
      <c r="D46" s="476">
        <f>+D47</f>
        <v>4300812.98860656</v>
      </c>
      <c r="E46" s="221"/>
      <c r="F46" s="109"/>
      <c r="H46" s="210"/>
    </row>
    <row r="47" spans="2:8" s="65" customFormat="1" ht="16.5" customHeight="1">
      <c r="B47" s="69" t="s">
        <v>24</v>
      </c>
      <c r="C47" s="384">
        <v>1186758.55094</v>
      </c>
      <c r="D47" s="475">
        <f>ROUND(+C47*$E$9,8)</f>
        <v>4300812.98860656</v>
      </c>
      <c r="E47" s="221"/>
      <c r="F47" s="355"/>
      <c r="H47" s="210"/>
    </row>
    <row r="48" spans="2:8" s="65" customFormat="1" ht="9.75" customHeight="1">
      <c r="B48" s="68"/>
      <c r="C48" s="391"/>
      <c r="D48" s="474"/>
      <c r="H48" s="210"/>
    </row>
    <row r="49" spans="2:8" s="65" customFormat="1" ht="15" customHeight="1">
      <c r="B49" s="598" t="s">
        <v>61</v>
      </c>
      <c r="C49" s="593">
        <f>+C42+C46</f>
        <v>1461512.53715</v>
      </c>
      <c r="D49" s="608">
        <f>+D42+D46</f>
        <v>5296521.4346316</v>
      </c>
      <c r="H49" s="210"/>
    </row>
    <row r="50" spans="2:8" s="81" customFormat="1" ht="15" customHeight="1">
      <c r="B50" s="599"/>
      <c r="C50" s="594"/>
      <c r="D50" s="609"/>
      <c r="H50" s="206"/>
    </row>
    <row r="51" ht="4.5" customHeight="1"/>
    <row r="52" spans="3:4" ht="12.75">
      <c r="C52" s="438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2021-01-27T22:05:29Z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