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defaultThemeVersion="124226"/>
  <mc:AlternateContent xmlns:mc="http://schemas.openxmlformats.org/markup-compatibility/2006">
    <mc:Choice Requires="x15">
      <x15ac:absPath xmlns:x15ac="http://schemas.microsoft.com/office/spreadsheetml/2010/11/ac" url="C:\Users\TOSHIBA\Desktop\"/>
    </mc:Choice>
  </mc:AlternateContent>
  <xr:revisionPtr revIDLastSave="0" documentId="8_{6481FE38-CDE3-4B4A-BB2E-503E2A81CEA0}" xr6:coauthVersionLast="47" xr6:coauthVersionMax="47" xr10:uidLastSave="{00000000-0000-0000-0000-000000000000}"/>
  <bookViews>
    <workbookView xWindow="-120" yWindow="-120" windowWidth="20730" windowHeight="11160" tabRatio="230" xr2:uid="{00000000-000D-0000-FFFF-FFFF00000000}"/>
  </bookViews>
  <sheets>
    <sheet name="BASE INTERNA" sheetId="1" r:id="rId1"/>
  </sheets>
  <definedNames>
    <definedName name="_xlnm.Print_Area" localSheetId="0">'BASE INTERNA'!$B$1:$N$384</definedName>
    <definedName name="_xlnm.Print_Titles" localSheetId="0">'BASE INTERNA'!$1:$8</definedName>
  </definedNames>
  <calcPr calcId="191029" iterate="1"/>
</workbook>
</file>

<file path=xl/calcChain.xml><?xml version="1.0" encoding="utf-8"?>
<calcChain xmlns="http://schemas.openxmlformats.org/spreadsheetml/2006/main">
  <c r="N340" i="1" l="1"/>
  <c r="N339" i="1" s="1"/>
  <c r="N329" i="1"/>
  <c r="N335" i="1"/>
  <c r="D480" i="1"/>
  <c r="D479" i="1"/>
  <c r="N327" i="1" l="1"/>
  <c r="N322" i="1" l="1"/>
  <c r="N312" i="1"/>
  <c r="N310" i="1" l="1"/>
  <c r="N298" i="1"/>
  <c r="N292" i="1"/>
  <c r="N306" i="1"/>
  <c r="N296" i="1" l="1"/>
  <c r="N290" i="1"/>
  <c r="N289" i="1"/>
  <c r="N288" i="1"/>
  <c r="N287" i="1"/>
  <c r="N286" i="1"/>
  <c r="N285" i="1"/>
  <c r="N284" i="1"/>
  <c r="N283" i="1"/>
  <c r="N276" i="1"/>
  <c r="N269" i="1"/>
  <c r="N264" i="1"/>
  <c r="N262" i="1"/>
  <c r="N261" i="1"/>
  <c r="N260" i="1"/>
  <c r="N259" i="1"/>
  <c r="N258" i="1"/>
  <c r="N265" i="1"/>
  <c r="N253" i="1"/>
  <c r="N252" i="1"/>
  <c r="N250" i="1"/>
  <c r="N248" i="1"/>
  <c r="N249" i="1"/>
  <c r="N247" i="1"/>
  <c r="N243" i="1"/>
  <c r="N242" i="1"/>
  <c r="N241" i="1"/>
  <c r="N240" i="1"/>
  <c r="N239" i="1"/>
  <c r="N234" i="1"/>
  <c r="N238" i="1"/>
  <c r="N233" i="1"/>
  <c r="N232" i="1"/>
  <c r="N231" i="1"/>
  <c r="N230" i="1"/>
  <c r="N226" i="1"/>
  <c r="N225" i="1"/>
  <c r="N224" i="1"/>
  <c r="N223" i="1"/>
  <c r="N219" i="1"/>
  <c r="N218" i="1"/>
  <c r="N204" i="1"/>
  <c r="N213" i="1"/>
  <c r="N212" i="1"/>
  <c r="N211" i="1"/>
  <c r="N210" i="1"/>
  <c r="N209" i="1"/>
  <c r="L203" i="1"/>
  <c r="N198" i="1"/>
  <c r="N194" i="1"/>
  <c r="L193" i="1"/>
  <c r="N132" i="1"/>
  <c r="N131" i="1" s="1"/>
  <c r="L124" i="1"/>
  <c r="N124" i="1" s="1"/>
  <c r="N123" i="1" s="1"/>
  <c r="N113" i="1"/>
  <c r="N111" i="1" s="1"/>
  <c r="N97" i="1"/>
  <c r="N96" i="1" s="1"/>
  <c r="L182" i="1"/>
  <c r="N187" i="1"/>
  <c r="N183" i="1"/>
  <c r="L172" i="1"/>
  <c r="N172" i="1"/>
  <c r="N179" i="1"/>
  <c r="N178" i="1"/>
  <c r="L177" i="1"/>
  <c r="L176" i="1" s="1"/>
  <c r="N162" i="1"/>
  <c r="N167" i="1"/>
  <c r="L146" i="1"/>
  <c r="L145" i="1" s="1"/>
  <c r="N154" i="1"/>
  <c r="N155" i="1"/>
  <c r="N158" i="1"/>
  <c r="N157" i="1" s="1"/>
  <c r="L153" i="1"/>
  <c r="L157" i="1"/>
  <c r="N146" i="1"/>
  <c r="N145" i="1" s="1"/>
  <c r="L135" i="1"/>
  <c r="L134" i="1" s="1"/>
  <c r="L127" i="1"/>
  <c r="L131" i="1"/>
  <c r="L116" i="1"/>
  <c r="N85" i="1"/>
  <c r="N135" i="1"/>
  <c r="N139" i="1"/>
  <c r="N127" i="1"/>
  <c r="N116" i="1"/>
  <c r="L111" i="1"/>
  <c r="N107" i="1"/>
  <c r="L107" i="1"/>
  <c r="L100" i="1"/>
  <c r="N89" i="1"/>
  <c r="L85" i="1"/>
  <c r="L89" i="1"/>
  <c r="N100" i="1"/>
  <c r="N71" i="1"/>
  <c r="N78" i="1"/>
  <c r="N59" i="1"/>
  <c r="N65" i="1"/>
  <c r="N47" i="1"/>
  <c r="N55" i="1"/>
  <c r="N41" i="1"/>
  <c r="N40" i="1" s="1"/>
  <c r="N35" i="1"/>
  <c r="N34" i="1" s="1"/>
  <c r="N30" i="1"/>
  <c r="N29" i="1" s="1"/>
  <c r="N25" i="1"/>
  <c r="N24" i="1" s="1"/>
  <c r="N20" i="1"/>
  <c r="N19" i="1" s="1"/>
  <c r="N11" i="1"/>
  <c r="N10" i="1" s="1"/>
  <c r="L96" i="1"/>
  <c r="L73" i="1"/>
  <c r="L71" i="1" s="1"/>
  <c r="L78" i="1"/>
  <c r="L59" i="1"/>
  <c r="L65" i="1"/>
  <c r="L47" i="1"/>
  <c r="L55" i="1"/>
  <c r="L41" i="1"/>
  <c r="L40" i="1" s="1"/>
  <c r="L35" i="1"/>
  <c r="L34" i="1" s="1"/>
  <c r="L30" i="1"/>
  <c r="L29" i="1" s="1"/>
  <c r="L25" i="1"/>
  <c r="L24" i="1" s="1"/>
  <c r="L20" i="1"/>
  <c r="L19" i="1" s="1"/>
  <c r="L13" i="1"/>
  <c r="L14" i="1"/>
  <c r="L16" i="1"/>
  <c r="L17" i="1"/>
  <c r="N246" i="1" l="1"/>
  <c r="N268" i="1"/>
  <c r="N257" i="1"/>
  <c r="N256" i="1" s="1"/>
  <c r="L95" i="1"/>
  <c r="N115" i="1"/>
  <c r="N46" i="1"/>
  <c r="L152" i="1"/>
  <c r="N84" i="1"/>
  <c r="N193" i="1"/>
  <c r="N251" i="1"/>
  <c r="L58" i="1"/>
  <c r="L123" i="1"/>
  <c r="L115" i="1" s="1"/>
  <c r="N282" i="1"/>
  <c r="N280" i="1" s="1"/>
  <c r="L126" i="1"/>
  <c r="N70" i="1"/>
  <c r="N134" i="1"/>
  <c r="N126" i="1"/>
  <c r="L46" i="1"/>
  <c r="N106" i="1"/>
  <c r="N177" i="1"/>
  <c r="N176" i="1" s="1"/>
  <c r="N171" i="1" s="1"/>
  <c r="L106" i="1"/>
  <c r="N153" i="1"/>
  <c r="N152" i="1" s="1"/>
  <c r="N222" i="1"/>
  <c r="N182" i="1"/>
  <c r="L171" i="1"/>
  <c r="N208" i="1"/>
  <c r="N203" i="1" s="1"/>
  <c r="N161" i="1"/>
  <c r="N217" i="1"/>
  <c r="N237" i="1"/>
  <c r="L84" i="1"/>
  <c r="N229" i="1"/>
  <c r="L11" i="1"/>
  <c r="L10" i="1" s="1"/>
  <c r="L70" i="1"/>
  <c r="N58" i="1"/>
  <c r="N95" i="1"/>
  <c r="N245" i="1" l="1"/>
  <c r="N216" i="1"/>
  <c r="N228" i="1"/>
</calcChain>
</file>

<file path=xl/sharedStrings.xml><?xml version="1.0" encoding="utf-8"?>
<sst xmlns="http://schemas.openxmlformats.org/spreadsheetml/2006/main" count="1558" uniqueCount="639">
  <si>
    <t>Acreedor</t>
  </si>
  <si>
    <t>Deudor</t>
  </si>
  <si>
    <t>MEF</t>
  </si>
  <si>
    <t>Transportes</t>
  </si>
  <si>
    <t xml:space="preserve">SECTOR </t>
  </si>
  <si>
    <t>D.S. 024-95-EF</t>
  </si>
  <si>
    <t>Bonos del Tesoro Público</t>
  </si>
  <si>
    <t>Adq. Carteras del Banco Continental</t>
  </si>
  <si>
    <t>Economía</t>
  </si>
  <si>
    <t>D.S. 096-95-EF</t>
  </si>
  <si>
    <t>ONP</t>
  </si>
  <si>
    <t>-.-</t>
  </si>
  <si>
    <t>D.S. 166-95-EF</t>
  </si>
  <si>
    <t>LIBOR + 1.0</t>
  </si>
  <si>
    <t>D.U. 128-96</t>
  </si>
  <si>
    <t>Pagos FONAVI</t>
  </si>
  <si>
    <t>TIPMN</t>
  </si>
  <si>
    <t>D.S. 132-96</t>
  </si>
  <si>
    <t>D.S. 079-96</t>
  </si>
  <si>
    <t>D.U. 020-97</t>
  </si>
  <si>
    <t>Plan Financiero 1996 (Brady)</t>
  </si>
  <si>
    <t>D.U. 033-97</t>
  </si>
  <si>
    <t>Banco de la Nación</t>
  </si>
  <si>
    <t>Pago de Deuda URSS</t>
  </si>
  <si>
    <t>Libor + 0 .5</t>
  </si>
  <si>
    <t>1 año</t>
  </si>
  <si>
    <t>4 años</t>
  </si>
  <si>
    <t>D.S. 117-97-EF</t>
  </si>
  <si>
    <t>Adq. De Maq. Pesada Obras El Niño</t>
  </si>
  <si>
    <t>MTC</t>
  </si>
  <si>
    <t>Agricultura</t>
  </si>
  <si>
    <t>MAG</t>
  </si>
  <si>
    <t>Libor+2.5</t>
  </si>
  <si>
    <t>D.S. 118-97-EF</t>
  </si>
  <si>
    <t>FRONFAS</t>
  </si>
  <si>
    <t>1.5 años</t>
  </si>
  <si>
    <t>6 m</t>
  </si>
  <si>
    <t>Libor +1.5</t>
  </si>
  <si>
    <t>D.S. 109-97-EF</t>
  </si>
  <si>
    <t>Bonos del tesor Público</t>
  </si>
  <si>
    <t>D.S. 026-98-EF</t>
  </si>
  <si>
    <t>Defensa</t>
  </si>
  <si>
    <t>Mº Defensa</t>
  </si>
  <si>
    <t>2 años</t>
  </si>
  <si>
    <t>8 años</t>
  </si>
  <si>
    <t>Libor +2</t>
  </si>
  <si>
    <t>D.S. 062-98-EF</t>
  </si>
  <si>
    <t>Infraestructura Vial</t>
  </si>
  <si>
    <t>D.S. 129-98-EF</t>
  </si>
  <si>
    <t>Bco. Popular y Provenir</t>
  </si>
  <si>
    <t>Justicia</t>
  </si>
  <si>
    <t>P. Judicial</t>
  </si>
  <si>
    <t>Reducción de la Deuda Pública Externa</t>
  </si>
  <si>
    <t>D.S. 080-98-EF</t>
  </si>
  <si>
    <t>D.S. 114-98-EF</t>
  </si>
  <si>
    <t>D.S. 024-99-EF</t>
  </si>
  <si>
    <t>D.U. 063-99</t>
  </si>
  <si>
    <t>D.U. 061-99</t>
  </si>
  <si>
    <t>D.S. 099-99-EF</t>
  </si>
  <si>
    <t>D.S. 114-99-EF</t>
  </si>
  <si>
    <t>D.U. 041-99</t>
  </si>
  <si>
    <t>D.U. 068-99</t>
  </si>
  <si>
    <t>Coadyuvar a la continuidad de la Política Eco.</t>
  </si>
  <si>
    <t>Prog. Equipam. Básico Municipal</t>
  </si>
  <si>
    <t>Bonos del Tesoro Püblico</t>
  </si>
  <si>
    <t>Canje con Portafolio del SFN</t>
  </si>
  <si>
    <t>Adq de Activos en el SFN</t>
  </si>
  <si>
    <t>Multisectorial</t>
  </si>
  <si>
    <t>PRES</t>
  </si>
  <si>
    <t>D.S. 053-2000-EF</t>
  </si>
  <si>
    <t>Programa FOPE y RFA</t>
  </si>
  <si>
    <t>Reconocimiento Deuda Agraria</t>
  </si>
  <si>
    <t>D.U. 084-2000</t>
  </si>
  <si>
    <t>Reclamo Judicial - Elliot</t>
  </si>
  <si>
    <t>MINISTERIO DE ECONOMIA Y FINANZAS</t>
  </si>
  <si>
    <t>D.U  091-97</t>
  </si>
  <si>
    <t>Tasa Eximbank</t>
  </si>
  <si>
    <t>3  años</t>
  </si>
  <si>
    <t>Tipmex</t>
  </si>
  <si>
    <t>5.años</t>
  </si>
  <si>
    <t>9 años</t>
  </si>
  <si>
    <t>Libor + 2%</t>
  </si>
  <si>
    <t>Libor + 3%</t>
  </si>
  <si>
    <t>7 años</t>
  </si>
  <si>
    <t>2,5 años</t>
  </si>
  <si>
    <t>3 años</t>
  </si>
  <si>
    <t>Sin tasa</t>
  </si>
  <si>
    <t>Tipmn y Tipmex</t>
  </si>
  <si>
    <t>10 años</t>
  </si>
  <si>
    <t>Recompra de Deuda Externa</t>
  </si>
  <si>
    <t>1,5 años</t>
  </si>
  <si>
    <t>8,5 años</t>
  </si>
  <si>
    <t>Libor 6 + 2%</t>
  </si>
  <si>
    <t>Canje de carteras IFI's</t>
  </si>
  <si>
    <t>D.S. 045-90-EF</t>
  </si>
  <si>
    <t>L. T. Mantaro - Lima</t>
  </si>
  <si>
    <t>Energía</t>
  </si>
  <si>
    <t>Electro Perú</t>
  </si>
  <si>
    <t>Fijada por BCR</t>
  </si>
  <si>
    <t>3 meses</t>
  </si>
  <si>
    <t>15 meses</t>
  </si>
  <si>
    <t>D.S. 314-91-EF</t>
  </si>
  <si>
    <t>Bonos de Tesorería</t>
  </si>
  <si>
    <t>Fijada por B.N.</t>
  </si>
  <si>
    <t>D.S. 066-94-EF</t>
  </si>
  <si>
    <t xml:space="preserve">  -.-</t>
  </si>
  <si>
    <t>Capitalización del BCR - Serie "A"</t>
  </si>
  <si>
    <t>Capitalización del BCR - Serie "B"</t>
  </si>
  <si>
    <t xml:space="preserve"> -.-</t>
  </si>
  <si>
    <t>Créditos</t>
  </si>
  <si>
    <t>Bonos</t>
  </si>
  <si>
    <t>M. de Defensa</t>
  </si>
  <si>
    <t>-</t>
  </si>
  <si>
    <t>Construcción de Viviendas para Personal Militar</t>
  </si>
  <si>
    <t>Destino</t>
  </si>
  <si>
    <t>5 Años</t>
  </si>
  <si>
    <t>Const. Viviendas para Personal de la Policía</t>
  </si>
  <si>
    <t>D: Ley 26165 - Art. 1º</t>
  </si>
  <si>
    <t>D: Ley 26165- Art. 2º</t>
  </si>
  <si>
    <t>D.S. 061-90-EF</t>
  </si>
  <si>
    <t>Imp. Rep. Equipos y Otros para la PNP</t>
  </si>
  <si>
    <t>Captac.+0.5%</t>
  </si>
  <si>
    <t>6 meses</t>
  </si>
  <si>
    <t>4,5 Años</t>
  </si>
  <si>
    <t>M. Interior</t>
  </si>
  <si>
    <t>D.U. 108-2000-EF</t>
  </si>
  <si>
    <t>D.U. 059-2000-EF</t>
  </si>
  <si>
    <t>D.U. 088-2000-EF</t>
  </si>
  <si>
    <t>Consolidación Sistema Financiero</t>
  </si>
  <si>
    <t>Línea de Crédito FSD-D.U. N° 108-2000</t>
  </si>
  <si>
    <t>15  años</t>
  </si>
  <si>
    <t>Plan de Recup. De la Cap. Operativa de las FF.AA.</t>
  </si>
  <si>
    <t>BCR + 0.5%</t>
  </si>
  <si>
    <t>M. Defensa</t>
  </si>
  <si>
    <t>D.S. 060-90-EF  Art. 1</t>
  </si>
  <si>
    <t>D.S. 060-90-EF  Art. 2</t>
  </si>
  <si>
    <t>Recorrido del BAP Carbajal</t>
  </si>
  <si>
    <t>Eq. de campaña, vehículos, repuestos</t>
  </si>
  <si>
    <t>1/</t>
  </si>
  <si>
    <r>
      <t xml:space="preserve">D.S. 142-90-EF   </t>
    </r>
    <r>
      <rPr>
        <b/>
        <sz val="10"/>
        <color indexed="10"/>
        <rFont val="Arial"/>
        <family val="2"/>
      </rPr>
      <t>2/</t>
    </r>
  </si>
  <si>
    <t>3/</t>
  </si>
  <si>
    <t>4/</t>
  </si>
  <si>
    <t>5/</t>
  </si>
  <si>
    <t>6/</t>
  </si>
  <si>
    <r>
      <t xml:space="preserve">D.U. 066-98  </t>
    </r>
    <r>
      <rPr>
        <b/>
        <sz val="10"/>
        <color indexed="10"/>
        <rFont val="Arial"/>
        <family val="2"/>
      </rPr>
      <t xml:space="preserve"> 7/</t>
    </r>
  </si>
  <si>
    <r>
      <t xml:space="preserve">D.S. 126-98-EF  </t>
    </r>
    <r>
      <rPr>
        <b/>
        <sz val="10"/>
        <color indexed="10"/>
        <rFont val="Arial"/>
        <family val="2"/>
      </rPr>
      <t>8/</t>
    </r>
  </si>
  <si>
    <t>D.U. 036-99</t>
  </si>
  <si>
    <t>Adq.Vehículos y Equipam. De la PNP</t>
  </si>
  <si>
    <t>9/</t>
  </si>
  <si>
    <t>10/</t>
  </si>
  <si>
    <t xml:space="preserve">MEDIANO Y LARGO PLAZO </t>
  </si>
  <si>
    <t>D.U. 034-99-RM146-99-EF/10</t>
  </si>
  <si>
    <t>Otorgamiento del Aval del Esttado</t>
  </si>
  <si>
    <t>Libor 6 + 3%</t>
  </si>
  <si>
    <t>Libor 6 +3%</t>
  </si>
  <si>
    <t>7,5 años</t>
  </si>
  <si>
    <t>5 años</t>
  </si>
  <si>
    <t>D.S. 191-90-EF</t>
  </si>
  <si>
    <t>D.U. 049-2001</t>
  </si>
  <si>
    <t>D.U. 015-2001</t>
  </si>
  <si>
    <t>Prog. de Emisión Bonos Soberanos 2001</t>
  </si>
  <si>
    <t>D.U. 030-2001</t>
  </si>
  <si>
    <t>D.U. 076-2001-EF</t>
  </si>
  <si>
    <t>4M</t>
  </si>
  <si>
    <t>1A</t>
  </si>
  <si>
    <t>1,8años</t>
  </si>
  <si>
    <t>D.U. 106-2001</t>
  </si>
  <si>
    <t>Segundo Prog. Emisión Bonos Soberanos 2001</t>
  </si>
  <si>
    <t>D.S. 069-2001-EF</t>
  </si>
  <si>
    <t>30 años</t>
  </si>
  <si>
    <t>*</t>
  </si>
  <si>
    <t>D.S.  007-2002-EF</t>
  </si>
  <si>
    <t>Prog. de Emisión Bonos Soberanos 2002</t>
  </si>
  <si>
    <t>D.U. 022-2002</t>
  </si>
  <si>
    <t>6M</t>
  </si>
  <si>
    <t>Pago de Deuda a Caja Pensiones Militar-Policial</t>
  </si>
  <si>
    <t>Créditos a familias damnificadas por el sismo Zona Sur</t>
  </si>
  <si>
    <t>Bonos de la ONP</t>
  </si>
  <si>
    <t>Créditos a familias damnificadas por el sismo 23-06-2001</t>
  </si>
  <si>
    <t>D.S. 185-2002-EF</t>
  </si>
  <si>
    <t>11/</t>
  </si>
  <si>
    <t>D.S. 198-2002-EF</t>
  </si>
  <si>
    <t>Fdo. MIVIVIENDA</t>
  </si>
  <si>
    <t>Financiar 2,000 Bonos Familiares Habitacionales</t>
  </si>
  <si>
    <t>12/</t>
  </si>
  <si>
    <t xml:space="preserve">       intereses corrspondientes al semestre siguiente y será pagadera semestralmente.</t>
  </si>
  <si>
    <t>9A6M</t>
  </si>
  <si>
    <t>13/</t>
  </si>
  <si>
    <t>14/</t>
  </si>
  <si>
    <t>D.S. 041-2003-EF</t>
  </si>
  <si>
    <t>Primera Emisión de Bonos Soberanos 2004</t>
  </si>
  <si>
    <t>15/</t>
  </si>
  <si>
    <t>--</t>
  </si>
  <si>
    <t>16/</t>
  </si>
  <si>
    <t>a) El 31-03-03, se colocó S/. 150 millones denominados "Bonos Soberanos Junio 2004", a una Tasa estimada de 5,89%, Tasa cupón de 12,85% nominal anual fija con pagos semestrales, a ser redimidos el 21-06-04.</t>
  </si>
  <si>
    <t>b) El 08-04-03, se colocó S/. 150 millones denominados "Bonos Soberanos Octubre 2004", a una Tasa cupón de 5,8975% nominal anual fija con pagos semestrales, a ser redimidos el 08-10-04.</t>
  </si>
  <si>
    <t>c) El 12-05-03, se colocó S/.    75 millones denominados "Bonos Soberanos Octubre 2004", a una Tasa cupón de 5,8975 % nominal anual fija con pagos semestrales, a ser redimidos el 08-10-04.</t>
  </si>
  <si>
    <t>d) El 13-05-03, se colocó S/.  150 millones denominados "Bonos Soberanos 2002/18ENE2005", a una Tasa  cupón de 7,9433 % nominal fija con pagos semestrales, a ser redimidos el 18-01-05.</t>
  </si>
  <si>
    <t>e) El  10-06-03, se colocó S/.   75 millones denominados "Bonos Soberanos JUNIO 2010 - VAC", a una Tasa spread de 6,7% +VAC con pagos semestrales, a ser redimidos el 10-06-10.</t>
  </si>
  <si>
    <t>D.S. 079-2003-EF</t>
  </si>
  <si>
    <t>Segunda Emisión de Bonos Soberanos 2004</t>
  </si>
  <si>
    <t>17/</t>
  </si>
  <si>
    <t>a) El 11-06-03, se colocó S/. 150 millones denominados "Bonos Soberanos 11JUN 2005", a una Tasa cupón de 5,89% nominal  anual fija con pagos semestrales, a ser redimidos el 11-06-05.</t>
  </si>
  <si>
    <t>b) El 08-07-03, se colocó S/. 147 millones denominados "Bonos Soberanos 11JUN2005", a una Tasa cupón de 4,69 % nominal anual fija con pagos semestrales, a ser redimidos el  11-06-05.</t>
  </si>
  <si>
    <t>c) El 09-07-03, se colocó S/.   75 millones denominados  "Bonos Soberanos 09JUL2008", a una Tasa cupón de 9,47 % nominal anual fija con pagos semestrales, a ser redimidos el 09-07-08.</t>
  </si>
  <si>
    <t>d) El 12-08-03, se colocó S/. 150 millones denominados "Bonos Soberanos 12AGO2006", a una Tasa cupón de 4,98% nominal anual fija con pagos semestrales, a ser redimidos el 12-08-06.</t>
  </si>
  <si>
    <t xml:space="preserve">e) El 09-09-03, se colocó S/. 150 millones denominados "Bonos Soberanos 09JUL2008", a una Tasa cupón de 9,47% nominal anual fija con pagos semestrales, a ser redimidos el 09-07-08. </t>
  </si>
  <si>
    <t>f)  El 07-10-03, se colocó  S/. 72 millones denominados "Bonos Soberanos 12AGO2006", a una Tasa cupón de 4,98 % nominal anual fija con pagos semestrales, a ser redimidos el 12-08-06.</t>
  </si>
  <si>
    <t>g) El 09-10-03, se colocó S/. 110 750 000,00 denominados "Bonos Soberanos 09OCT2007", a una Tasa cupón de 5,94 % nominal anual fija con pagos semestrales, a ser redimidos el 09-10-07.</t>
  </si>
  <si>
    <t>Bonos de Reconocimiento de la ONP</t>
  </si>
  <si>
    <t>Crédito Interno</t>
  </si>
  <si>
    <t>D.S. 032-2003-EF</t>
  </si>
  <si>
    <t>Financiar 2,778 Bonos Familiares Habitacionales</t>
  </si>
  <si>
    <t>18/</t>
  </si>
  <si>
    <t xml:space="preserve">      cálculo de intereses correspondientes al siguiente semestre y será pagadera semestralmente.</t>
  </si>
  <si>
    <r>
      <t xml:space="preserve">18/ </t>
    </r>
    <r>
      <rPr>
        <sz val="9"/>
        <rFont val="Arial"/>
        <family val="2"/>
      </rPr>
      <t>Devengará intereses a una tasa efectiva anual equivalente al rendimiento de las inversiones en bonos del Fondo MIVIVIENDA, la cual será aprobada semestralmente, por el Directorio para ser aplicada al</t>
    </r>
  </si>
  <si>
    <t>19/</t>
  </si>
  <si>
    <t>20/</t>
  </si>
  <si>
    <t>D.S. 162-2003-EF</t>
  </si>
  <si>
    <r>
      <t xml:space="preserve">D.S. 112-2003-EF     </t>
    </r>
    <r>
      <rPr>
        <b/>
        <sz val="10"/>
        <color indexed="10"/>
        <rFont val="Arial"/>
        <family val="2"/>
      </rPr>
      <t xml:space="preserve">  21/</t>
    </r>
  </si>
  <si>
    <t>Tercera Emisión de Bonos Soberanos 2004</t>
  </si>
  <si>
    <t>h) El 10-11-03 se colocó S/ 75 millones de los denominados "Bonos Soberanos 12AGO2006" Tasa cupón de 4,98% nominal fija con pagos semestrales, a ser redimidos el 12-08-03.</t>
  </si>
  <si>
    <t>i) El 11-11-03 se colocó S/. 71 millones de los denominados "Bonos Soberanos 09OCT2007", Tasa cupón de 5,94% nominal anual fija con pagos semestrales, a ser redimidos el 09-10-07, de este monto se colocó 20 250 000 millones con cargo a los 950 millones.</t>
  </si>
  <si>
    <t>22/</t>
  </si>
  <si>
    <r>
      <t xml:space="preserve">19/ </t>
    </r>
    <r>
      <rPr>
        <sz val="9"/>
        <rFont val="Arial"/>
        <family val="2"/>
      </rPr>
      <t>Desde la fecha de Suscripción del Contrato hasta el 30-09-04.</t>
    </r>
  </si>
  <si>
    <r>
      <t xml:space="preserve">20/ </t>
    </r>
    <r>
      <rPr>
        <sz val="9"/>
        <rFont val="Arial"/>
        <family val="2"/>
      </rPr>
      <t>Desde el  30-09-04 hasta el 30-09-10.</t>
    </r>
  </si>
  <si>
    <t>a) El 11-11-03 se colocó S/. 71 millones de los denominados "Bonos Soberanos 09OCT2007", Tasa cupón de 5,94% nominal anual fija con pagos semestrales, a ser redimidos el 09-10-07, la diferencia S/. 50 750 000 millones se coloca con cargo a los S/. 220 millones.</t>
  </si>
  <si>
    <t>b) El 09-12-03, se colocó S/. 36 millones de los denominados "Bonos Soberanos 09JUL2008", Tasa cupón de 9,47% nominal anual fija con pagos semestrales, a ser redimidos el 09-07-08.</t>
  </si>
  <si>
    <t>c) El 10-12-03, se colocó S/. 75 millones de los denominados "Bonos Soberanos 11DIC2013- VAC", Tasa spread de 5,79% con pagos semestrales, a ser redimidos el 11-12-13.</t>
  </si>
  <si>
    <t>D.S. 168-2003-EF</t>
  </si>
  <si>
    <t>Modifican el D.S. 112-2003-EF</t>
  </si>
  <si>
    <t>D.S. 015-2004-EF</t>
  </si>
  <si>
    <t>D.S. 054-2004-EF</t>
  </si>
  <si>
    <t>Emisión interna de Bonos Soberanos 2004</t>
  </si>
  <si>
    <t>23/</t>
  </si>
  <si>
    <t>D.S. Nº 057-2004-EF</t>
  </si>
  <si>
    <t>Bca Comerc.Local</t>
  </si>
  <si>
    <t>Garantía del Gob. Nacional Concesión Proy. Yuncán</t>
  </si>
  <si>
    <t>EGECEN S.A.</t>
  </si>
  <si>
    <t>a) El 29-01-2004, se colocó S/. 104,2 millones de los denominados "Bonos Soberanos 09JUL2008",  Tasa estimada de 6,45%, Tasa cupón de 9,47% nominal anual fija con pagos semestrales, a ser redimidos el 09-07-2008.</t>
  </si>
  <si>
    <t>b)  El  30-01-2004, se colocó S/.   106,9 millones de los denominados "Bonos Soberanos 30ENE2014 - VAC", Tasa spread de 5,80% +VAC con pagos semestrales, a ser redimidos el 30-01-2014.</t>
  </si>
  <si>
    <t>c) El 10-02-2004, se colocó S/. 125,0 millones de los denominados "Bonos Soberanos 12AGO2006",  Tasa cupón de 4,98% nominal anual fija con pagos semestrales, a ser redimidos el 12-08-2006.</t>
  </si>
  <si>
    <t>ch) El 11-02-2004, se colocó S/. 61,6 millones de los denominados "Bonos Soberanos 11FEB2009",  Tasa cupón de 7,25% nominal anual fija con pagos semestrales, a ser redimidos el 11-02-2009.</t>
  </si>
  <si>
    <t>d) El 09-03-2004, se colocó S/. 124,5 millones de los denominados "Bonos Soberanos 11FEB2009",  Tasa cupón de 7,25% nominal anual fija con pagos semestrales, a ser redimidos el 11-02-2009.</t>
  </si>
  <si>
    <t>e) El 10-03-2004, se colocó S/. 62,2 millones de los denominados "Bonos Soberanos 10MAR2010",  Tasa cupón de 8,61 % nominal anual fija con pagos semestrales, a ser redimidos el 10-03-2010.</t>
  </si>
  <si>
    <t>f) El 13-04-2004, se colocó S/. 74,5 millones de los denominados "Bonos Soberanos 09OCT2007",  Tasa cupón de 5,94 % nominal anual fija con pagos semestrales, a ser redimidos el 09-10-2007.</t>
  </si>
  <si>
    <t>g)  El  14-04-2004, se colocó S/. 150 millones de los denominados "Bonos Soberanos 14ABR2016 - VAC", Tasa spread de 5,90% +VAC con pagos semestrales, a ser redimidos el 14-04-2016.</t>
  </si>
  <si>
    <t>h)  El  08-06-2004, se colocó S/. 80,4 millones de los denominados "Bonos Soberanos 08JUN2016 - VAC", Tasa spread de 6,84% +VAC con pagos semestrales, a ser redimidos el 08-06-2016.</t>
  </si>
  <si>
    <t>i) El 09-06-2004, se colocó S/. 30,0 millones de los denominados "Bonos Soberanos 09JUL2008", Tasa Estimada de 9%; Tasa cupón de 9,47% nominal anual fija con pagos semestrales, a ser redimidos el 09-07-2008.</t>
  </si>
  <si>
    <t>j)  El  13-07-2004, se colocó S/. 49,8 millones de los denominados "Bonos Soberanos 13JUL2019 - VAC", Tasa spread de 7,40% +VAC con pagos semestrales, a ser redimidos el 13-07-2019.</t>
  </si>
  <si>
    <t>k) El 14-07-2004, se colocó S/. 22,0 millones de los denominados "Bonos Soberanos 09OCT2007", Tasa Estimada de 8,46%; Tasa cupón de 5,94% nominal anual fija con pagos semestrales, a ser redimidos el 09-10-2007.</t>
  </si>
  <si>
    <t>l) El 14-07-2004, se colocó S/. 23,0 millones de los denominados "Bonos Soberanos 09JULIO2008", Tasa Estimada de 9,30%; Tasa cupón de 9,47% nominal anual fija con pagos semestrales, a ser redimidos el 09-07-2008.</t>
  </si>
  <si>
    <t>ll) El 10-08-2004, se colocó S/. 25,0 millones de los denominados "Bonos Soberanos 10AGO2011",  Tasa cupón de 12,25% nominal anual fija con pagos semestrales, a ser redimidos el 10-08-2011.</t>
  </si>
  <si>
    <t>m) El 10-08-2004, se colocó S/. 30,0 millones de los denominados "Bonos Soberanos 09JUL2008", Tasa Estimada de 8,99%; Tasa cupón de 9,47% nominal anual fija con pagos semestrales, a ser redimidos el 09-07-2008.</t>
  </si>
  <si>
    <t>n) El 11-08-2004, se colocó S/. 44,9 millones de los denominados "Bonos Soberanos 11FEB2007", Tasa cupón de 7,2% nominal anual fija con pagos semestrales, a ser redimidos el 11-02-2007.</t>
  </si>
  <si>
    <t>ñ) El 07-09-2004, se colocó S/. 44,970 millones de los denominados "Bonos Soberanos 07MAR2006", Tasa cupón de 5,15% nominal anual fija con pagos semestrales, a ser redimidos el 07-03-2006.</t>
  </si>
  <si>
    <t>o) El 07-09-2004, se colocó S/. 45,0 millones de los denominados "Bonos Soberanos 10AGO2011", Tasa estimada de 11,31% nominal anual fija, tasa cupon de 12,25%  con pagos semestrales, a ser redimidos el 10-08-2011.</t>
  </si>
  <si>
    <t>p) El 08-09-2004, se colocó S/. 75,0 millones de los denominados "Bonos Soberanos 11FEB2007", Tasa estimada de 6,57%, yasa cupon de 7,20% nominal anual fija con pagos semestrales, a ser redimidos el 11-02-2007.</t>
  </si>
  <si>
    <t>q) El 08-09-2004, se colocó S/. 30,0 millones de los denominados "Bonos Soberanos 10MAR2010", Tasa estimada de 9,49%, tasa Cupón de 8,61% nominal anual fija con pagos semestrales, a ser redimidos el 10-03-2010.</t>
  </si>
  <si>
    <t>r) El 12-10-2004, se colocó S/. 62,5 millones de los denominados "Bonos Soberanos 09OCT2007", Tasa estimada de 6,58%, Tasa Cupón de 5,94% nominal anual fija con pagos semestrales, a ser redimidos el 09-10-2007.</t>
  </si>
  <si>
    <t>rr) El 12-10-2004, se colocó S/. 45,0 millones de los denominados "Bonos Soberanos 10AGO2011", Tasa estimada de 9,97%, Tasa Cupón de 12,25% nominal anual fija con pagos semestrales, a ser redimidos el 10-08-2011.</t>
  </si>
  <si>
    <t>s) El 13-10-2004, se colocó S/. 45,0 millones de los denominados "Bonos Soberanos 10MAR2010", Tasa estimada de 8,70%, Tasa Cupón de 8,61% nominal anual fija con pagos semestrales, a ser redimidos el 10-03-2010.</t>
  </si>
  <si>
    <t>t)  El  13-10-2004, se colocó S/. 73,0 millones de los denominados "Bonos Soberanos 13OCT2024 - VAC", Tasa spread de 6,8399% +VAC con pagos semestrales, a ser redimidos el 13-10-2024.</t>
  </si>
  <si>
    <t>u) El 09-11-2004, se colocó S/. 45,0 millones de los denominados "Bonos Soberanos 11FEB2007", Tasa estimada de 5,90%, Tasa Cupón de 7,20% nominal anual fija con pagos semestrales, a ser redimidos el 11-02-2007.</t>
  </si>
  <si>
    <t>v) El 09-11-2004, se colocó S/. 37,27 millones de los denominados "Bonos Soberanos 10AGO2011", Tasa estimada de 9,73%, Tasa Cupón de 12,25% nominal anual fija con pagos semestrales, a ser redimidos el 10-08-2011.</t>
  </si>
  <si>
    <t>w)  El  10-11-2004, se colocó S/. 59,93 millones de los denominados "Bonos Soberanos 30ENE2014-VAC", Tasa spread de 5,80% +VAC con pagos semestrales, a ser redimidos el 30-01-2014.</t>
  </si>
  <si>
    <t>y)  El  10-11-2004, se colocó S/. 62,5 millones de los denominados "Bonos Soberanos 13OCT2024-VAC", Tasa spread de 6,8399% +VAC con pagos semestrales, a ser redimidos el 13-10-2024.</t>
  </si>
  <si>
    <t>z) El 07-12-2004, se colocó S/. 60,0 millones de los denominados "Bonos Soberanos 11FEB2007", Tasa estimada de 6,29%, Tasa Cupón de 7,20% nominal anual fija con pagos semestrales, a ser redimidos el 11-02-2007.</t>
  </si>
  <si>
    <t>z1)  El  07-12-2004, se colocó S/. 42,0 millones de los denominados "Bonos Soberanos 30ENE2014-VAC", Tasa spread estimada de 6,15% +VAC, Tasa Cupón 5,80%+VAC con pagos semestrales, a ser redimidos el 30-01-2014.</t>
  </si>
  <si>
    <t>z2) El 09-12-2004, se colocó S/. 45,0 millones de los denominados "Bonos Soberanos 10AGO2011", Tasa estimada de 9,71%, Tasa Cupón de 12,25% nominal anual fija con pagos semestrales, a ser redimidos el 10-08-2011.</t>
  </si>
  <si>
    <t>z3)  El  09-12-2004, se colocó S/. 19,5 millones de los denominados "Bonos Soberanos 13JUL2019 - VAC", Tasa spread estimada de 6,60% +VAC, tasa cupín de 7,40%+VAC con pagos semestrales, a ser redimidos el 13-07-2019.</t>
  </si>
  <si>
    <t>24/</t>
  </si>
  <si>
    <r>
      <t xml:space="preserve">24/ </t>
    </r>
    <r>
      <rPr>
        <sz val="9"/>
        <rFont val="Arial"/>
        <family val="2"/>
      </rPr>
      <t xml:space="preserve">Comisión de 1,44% efectiva pagadera bimestralmente a cargo de EGECEN </t>
    </r>
  </si>
  <si>
    <t>D.S. Nº 188-2005-EF</t>
  </si>
  <si>
    <t>Bco. Continental</t>
  </si>
  <si>
    <t xml:space="preserve">Operac.de End. Interno (Arrendto Fciero.) para financiar el </t>
  </si>
  <si>
    <t>del Perú"</t>
  </si>
  <si>
    <t xml:space="preserve">Proyec. "Reabst. en el Mar buques de la Marina de Guerra </t>
  </si>
  <si>
    <t>M.Guerra</t>
  </si>
  <si>
    <t>4 meses</t>
  </si>
  <si>
    <t>TEA 8,27%</t>
  </si>
  <si>
    <t>D.S. 055-2005-EF</t>
  </si>
  <si>
    <t>Garantía del Gobierno Nacional a la emisión de Bonos de Recoc. y Compl. de la ONP</t>
  </si>
  <si>
    <t>-,-</t>
  </si>
  <si>
    <t>28/</t>
  </si>
  <si>
    <t>D.S. 014-2005-EF</t>
  </si>
  <si>
    <t>Emisión interna de Bonos Soberanos 2005</t>
  </si>
  <si>
    <t>25/</t>
  </si>
  <si>
    <r>
      <t>25/</t>
    </r>
    <r>
      <rPr>
        <sz val="9"/>
        <rFont val="Arial"/>
        <family val="2"/>
      </rPr>
      <t xml:space="preserve"> Emisión autorizada por D.S. Nº 014-2005-EF (Modificada por el D. S. 073-2005-EF), hasta por S/. 2 090,0 millones, en el marco del "Programa Creadores de Mercado". Con cargo a dicha autorización se emitió S/. 2 013,4 millones</t>
    </r>
  </si>
  <si>
    <t>(En miles de Unidades Monetarias)</t>
  </si>
  <si>
    <t>D.S. Nº 018-2006-EF</t>
  </si>
  <si>
    <t>D.S. Nº 053-2006-EF</t>
  </si>
  <si>
    <t>Emisión interna de Bonos Soberanos 2006</t>
  </si>
  <si>
    <t>D.S. Nº 011-2007-EF</t>
  </si>
  <si>
    <t>D.S. Nº 048-2007-EF</t>
  </si>
  <si>
    <t>Emisión interna de Bonos Soberanos 2007</t>
  </si>
  <si>
    <t>Garantía del Gobierno Nacional a la emisión de Bonos de Recon. y Compl. de la ONP</t>
  </si>
  <si>
    <t>Núcleo Básico Eficaz del Ministerio de Defensa</t>
  </si>
  <si>
    <t>Mº DEF.</t>
  </si>
  <si>
    <r>
      <t>26/</t>
    </r>
    <r>
      <rPr>
        <b/>
        <sz val="9"/>
        <rFont val="Arial"/>
        <family val="2"/>
      </rPr>
      <t xml:space="preserve"> </t>
    </r>
    <r>
      <rPr>
        <sz val="9"/>
        <rFont val="Arial"/>
        <family val="2"/>
      </rPr>
      <t xml:space="preserve">Se amortizará de acuerdo a las características de la  serie emitida. Al 31.12.06 se han emitido un total de S/ 2 131 999 000,00, en el marco del D.S. Nº 018-2006-EF </t>
    </r>
  </si>
  <si>
    <r>
      <t>27/</t>
    </r>
    <r>
      <rPr>
        <sz val="9"/>
        <rFont val="Arial"/>
        <family val="2"/>
      </rPr>
      <t xml:space="preserve"> Monto Ley End.  Nº 28928 - Ampliada por la Ley Nº 29035 en S/. 550 millones</t>
    </r>
  </si>
  <si>
    <t>26/</t>
  </si>
  <si>
    <r>
      <t xml:space="preserve">2007 </t>
    </r>
    <r>
      <rPr>
        <b/>
        <u/>
        <sz val="9"/>
        <color indexed="10"/>
        <rFont val="Arial"/>
        <family val="2"/>
      </rPr>
      <t>27</t>
    </r>
    <r>
      <rPr>
        <b/>
        <u/>
        <sz val="10"/>
        <color indexed="10"/>
        <rFont val="Arial"/>
        <family val="2"/>
      </rPr>
      <t>/</t>
    </r>
  </si>
  <si>
    <t>Emisión interna de Bonos Soberanos 2008</t>
  </si>
  <si>
    <r>
      <t xml:space="preserve">7% </t>
    </r>
    <r>
      <rPr>
        <sz val="10"/>
        <color indexed="10"/>
        <rFont val="Arial"/>
        <family val="2"/>
      </rPr>
      <t>2</t>
    </r>
    <r>
      <rPr>
        <b/>
        <sz val="10"/>
        <color indexed="10"/>
        <rFont val="Arial"/>
        <family val="2"/>
      </rPr>
      <t>9</t>
    </r>
    <r>
      <rPr>
        <b/>
        <sz val="8"/>
        <color indexed="10"/>
        <rFont val="Arial"/>
        <family val="2"/>
      </rPr>
      <t>/</t>
    </r>
  </si>
  <si>
    <r>
      <t xml:space="preserve">8 años </t>
    </r>
    <r>
      <rPr>
        <b/>
        <sz val="10"/>
        <color indexed="10"/>
        <rFont val="Arial"/>
        <family val="2"/>
      </rPr>
      <t>30</t>
    </r>
    <r>
      <rPr>
        <b/>
        <sz val="8"/>
        <color indexed="10"/>
        <rFont val="Arial"/>
        <family val="2"/>
      </rPr>
      <t>/</t>
    </r>
  </si>
  <si>
    <r>
      <t>D.S. Nº 218-2007-EF</t>
    </r>
    <r>
      <rPr>
        <b/>
        <sz val="10"/>
        <rFont val="Arial"/>
        <family val="2"/>
      </rPr>
      <t xml:space="preserve"> </t>
    </r>
    <r>
      <rPr>
        <b/>
        <sz val="10"/>
        <color indexed="10"/>
        <rFont val="Arial"/>
        <family val="2"/>
      </rPr>
      <t>31</t>
    </r>
    <r>
      <rPr>
        <b/>
        <sz val="8"/>
        <color indexed="10"/>
        <rFont val="Arial"/>
        <family val="2"/>
      </rPr>
      <t>/</t>
    </r>
  </si>
  <si>
    <r>
      <t>28/</t>
    </r>
    <r>
      <rPr>
        <b/>
        <sz val="9"/>
        <rFont val="Arial"/>
        <family val="2"/>
      </rPr>
      <t xml:space="preserve"> </t>
    </r>
    <r>
      <rPr>
        <sz val="9"/>
        <rFont val="Arial"/>
        <family val="2"/>
      </rPr>
      <t xml:space="preserve">Se amortizará de acuerdo a las características de la  serie emitida. Al 31.12.07 se ha emitido S/. 2 216,7 millones en el marco del D.S. Nº 011-2007-EF </t>
    </r>
  </si>
  <si>
    <r>
      <t>29/</t>
    </r>
    <r>
      <rPr>
        <sz val="9"/>
        <rFont val="Arial"/>
        <family val="2"/>
      </rPr>
      <t xml:space="preserve"> Efectiva Anual</t>
    </r>
  </si>
  <si>
    <r>
      <t>30/</t>
    </r>
    <r>
      <rPr>
        <sz val="9"/>
        <rFont val="Arial"/>
        <family val="2"/>
      </rPr>
      <t xml:space="preserve"> Mediante 32 cuotas trimestrales</t>
    </r>
  </si>
  <si>
    <r>
      <t>31/</t>
    </r>
    <r>
      <rPr>
        <sz val="9"/>
        <rFont val="Arial"/>
        <family val="2"/>
      </rPr>
      <t xml:space="preserve"> El servicio de la deuda será atendido por el MEF con cargo a los recursos del Fondo de Defensa creado por la Ley Nº 28455</t>
    </r>
  </si>
  <si>
    <t>32/</t>
  </si>
  <si>
    <r>
      <t xml:space="preserve">7,25% </t>
    </r>
    <r>
      <rPr>
        <sz val="9"/>
        <color indexed="10"/>
        <rFont val="Arial"/>
        <family val="2"/>
      </rPr>
      <t xml:space="preserve"> </t>
    </r>
    <r>
      <rPr>
        <b/>
        <sz val="9"/>
        <color indexed="10"/>
        <rFont val="Arial"/>
        <family val="2"/>
      </rPr>
      <t>29/</t>
    </r>
  </si>
  <si>
    <r>
      <t>7 años</t>
    </r>
    <r>
      <rPr>
        <b/>
        <sz val="9"/>
        <rFont val="Arial"/>
        <family val="2"/>
      </rPr>
      <t xml:space="preserve">  </t>
    </r>
    <r>
      <rPr>
        <b/>
        <sz val="9"/>
        <color indexed="10"/>
        <rFont val="Arial"/>
        <family val="2"/>
      </rPr>
      <t>33/</t>
    </r>
  </si>
  <si>
    <r>
      <t>33/</t>
    </r>
    <r>
      <rPr>
        <sz val="9"/>
        <rFont val="Arial"/>
        <family val="2"/>
      </rPr>
      <t xml:space="preserve"> Mediante 28 cuotas trimestrales</t>
    </r>
  </si>
  <si>
    <r>
      <t>32/</t>
    </r>
    <r>
      <rPr>
        <b/>
        <sz val="9"/>
        <rFont val="Arial"/>
        <family val="2"/>
      </rPr>
      <t xml:space="preserve"> </t>
    </r>
    <r>
      <rPr>
        <sz val="9"/>
        <rFont val="Arial"/>
        <family val="2"/>
      </rPr>
      <t xml:space="preserve">Se amortizará de acuerdo a las características de la  serie emitida. Al 31.12.08 se ha emitido S/. 1 227,0 millones en el marco del D.S. Nº 015-2008-EF </t>
    </r>
  </si>
  <si>
    <r>
      <t xml:space="preserve">D.S. Nº 143-2008-EF </t>
    </r>
    <r>
      <rPr>
        <b/>
        <sz val="9"/>
        <color indexed="10"/>
        <rFont val="Arial"/>
        <family val="2"/>
      </rPr>
      <t>31/</t>
    </r>
  </si>
  <si>
    <t>D.S. Nº 092-2008-EF</t>
  </si>
  <si>
    <r>
      <t xml:space="preserve">D.S. Nº 015-2008-EF </t>
    </r>
    <r>
      <rPr>
        <b/>
        <sz val="10"/>
        <color indexed="10"/>
        <rFont val="Arial"/>
        <family val="2"/>
      </rPr>
      <t>34</t>
    </r>
    <r>
      <rPr>
        <b/>
        <sz val="8"/>
        <color indexed="10"/>
        <rFont val="Arial"/>
        <family val="2"/>
      </rPr>
      <t>/</t>
    </r>
  </si>
  <si>
    <r>
      <t>34/</t>
    </r>
    <r>
      <rPr>
        <sz val="9"/>
        <rFont val="Arial"/>
        <family val="2"/>
      </rPr>
      <t xml:space="preserve"> Mediante el Art. 1º del D.S. Nº 153-2008-EF (10.12.08), se redujo en S/. 195 MM la emisíón de Bonos Soberanos autorizadospor el D. S. Nº 015-2008-EF (S/. 2 880,0 MM)</t>
    </r>
  </si>
  <si>
    <t>Emisión interna de Bonos Soberanos 2009</t>
  </si>
  <si>
    <t>31/12/209</t>
  </si>
  <si>
    <t>Banco Nación</t>
  </si>
  <si>
    <t>Adq. Inmueble Misión Diplomática del Perú en la ciudad de Bogotá</t>
  </si>
  <si>
    <t>Proyecto "Mejoramiento y Ampliación de la Boca de Entrada al Terminal Portuario del Callao"</t>
  </si>
  <si>
    <t>Tercer Tramo "Núcleo Básico de Defensa"</t>
  </si>
  <si>
    <t>APN</t>
  </si>
  <si>
    <t>RREE</t>
  </si>
  <si>
    <t>35/</t>
  </si>
  <si>
    <t>37/</t>
  </si>
  <si>
    <t>38/</t>
  </si>
  <si>
    <t>D.S. Nº 032-2009-EF</t>
  </si>
  <si>
    <t>D.S. Nº 118-2009-EF</t>
  </si>
  <si>
    <t>D.S. Nº 205-2009-EF</t>
  </si>
  <si>
    <t>D.S. Nº 316-2009-EF</t>
  </si>
  <si>
    <t>D.S. Nº 204-2009-EF</t>
  </si>
  <si>
    <t>D.S. Nº 059-2010-EF</t>
  </si>
  <si>
    <t>D.S. Nº 090-2010-EF</t>
  </si>
  <si>
    <t>Emisión interna de Bonos Soberanos 2010</t>
  </si>
  <si>
    <t>Garantía del Gobierno Nacional a la emisión de Bonos de Reconocimiento y Complementarios de la ONP</t>
  </si>
  <si>
    <t>39/</t>
  </si>
  <si>
    <r>
      <rPr>
        <b/>
        <sz val="9"/>
        <color indexed="10"/>
        <rFont val="Arial"/>
        <family val="2"/>
      </rPr>
      <t xml:space="preserve">39/ </t>
    </r>
    <r>
      <rPr>
        <sz val="9"/>
        <rFont val="Arial"/>
        <family val="2"/>
      </rPr>
      <t xml:space="preserve">Se amortizará de acuerdo a las características de la  serie emitida. Al 31.12.10 se ha emitido S/. 1 140,0 millones en el marco del D.S. Nº 059-2010-EF </t>
    </r>
  </si>
  <si>
    <t>D.S. Nº149-2010-EF</t>
  </si>
  <si>
    <t>D.S. Nº 271-2010-EF</t>
  </si>
  <si>
    <t>Adquisición de equipamiento militar para operaciones en la zona del Valle de los Ríos Apurímac y ENE (VRAE)</t>
  </si>
  <si>
    <t>Proyecto "Mejoramiento de la Av. Néstor Gambetta-Callao"</t>
  </si>
  <si>
    <t>GR.-Callao</t>
  </si>
  <si>
    <r>
      <rPr>
        <b/>
        <sz val="9"/>
        <color indexed="10"/>
        <rFont val="Arial"/>
        <family val="2"/>
      </rPr>
      <t>41/</t>
    </r>
    <r>
      <rPr>
        <b/>
        <sz val="9"/>
        <rFont val="Arial"/>
        <family val="2"/>
      </rPr>
      <t xml:space="preserve"> </t>
    </r>
    <r>
      <rPr>
        <sz val="9"/>
        <rFont val="Arial"/>
        <family val="2"/>
      </rPr>
      <t>Será amortizado el 12.02.12 con cargo a la emisón de Bonos Soberanos a ser emitidos en el marco de lo dispuesto por el Art. 2º del D.S. Nº 149-2010-EF.</t>
    </r>
  </si>
  <si>
    <t>40/</t>
  </si>
  <si>
    <t>41/</t>
  </si>
  <si>
    <t>D.S. Nº 026-2011-EF</t>
  </si>
  <si>
    <t>Bonistas</t>
  </si>
  <si>
    <t>Emisión interna de Bonos Soberanos 2011</t>
  </si>
  <si>
    <t>D.S. Nº 064-2011-EF</t>
  </si>
  <si>
    <t>D.S. Nº 134-2011-EF</t>
  </si>
  <si>
    <t>Adquisición de un resonador magnético para el Centro Médico Naval y de una flota de trasporte pesado para los centros educativos y de formación naval.</t>
  </si>
  <si>
    <t>D.S. Nº 247-2011-EF</t>
  </si>
  <si>
    <t>Proyecto "Mejoramiento de la Av. Néstor Gambetta - Callao"</t>
  </si>
  <si>
    <t>42/</t>
  </si>
  <si>
    <t>43/</t>
  </si>
  <si>
    <t>44/</t>
  </si>
  <si>
    <t>45/</t>
  </si>
  <si>
    <t>D.S. Nº 065-2012-EF</t>
  </si>
  <si>
    <t>Garatía del Gobierno Nacional a la emisión de Bonos de Reconocimiento y Complementarios de la ONP durante el año 2012.</t>
  </si>
  <si>
    <t>Emisión Externa  y/o interna de Bonos</t>
  </si>
  <si>
    <t>D.S. Nº 020-2012-EF</t>
  </si>
  <si>
    <t>B.Nación</t>
  </si>
  <si>
    <t>Proyecto "Recuperación del  Servicio de Instrucción Básica de vuelos de Aeronaves de Ala Fija en la FAP- Grupo Aéreo Nº 51 en la Base Cap. FAP Renán Elías Olivera"</t>
  </si>
  <si>
    <t>MINDEF</t>
  </si>
  <si>
    <t>4,30%</t>
  </si>
  <si>
    <t>4.5 años</t>
  </si>
  <si>
    <t xml:space="preserve">            D.S. Nº 263-2012-EF</t>
  </si>
  <si>
    <t>Requerimientos denominados "Requerimientos Intermedios" e "Implementación, mantenimiento y equipamaiento de unidades militares en el VRAEM"</t>
  </si>
  <si>
    <t>TIEA 3,9%</t>
  </si>
  <si>
    <t>3.5 años</t>
  </si>
  <si>
    <t xml:space="preserve">            D.S. Nº 261-2012-EF</t>
  </si>
  <si>
    <t xml:space="preserve">            D.S. Nº 286-2012-EF</t>
  </si>
  <si>
    <t xml:space="preserve">            D.S. Nº 287-2012-EF</t>
  </si>
  <si>
    <t>Proyecto"Ampliación de los Servicios en la Facultad de Industrias Alimentarias-UNAP-en el Caserío Zungarococha-San Juan Bautista-Maynas-Loreto"</t>
  </si>
  <si>
    <t>Cartera de Veintiseis (26) Proyectos de Inversión Pública para el Gobierno Regional del Departamento de Apurímac</t>
  </si>
  <si>
    <t>Cartera de Once (11) Proyectos de Inversión Pública para la  Municipalidad Provincial de Abancay</t>
  </si>
  <si>
    <t>UNAP</t>
  </si>
  <si>
    <t>G.R.Apurimac</t>
  </si>
  <si>
    <t>MP. Abancay/MD.Curahuasi</t>
  </si>
  <si>
    <t>4años</t>
  </si>
  <si>
    <t>47/</t>
  </si>
  <si>
    <t>46/</t>
  </si>
  <si>
    <r>
      <rPr>
        <b/>
        <sz val="9"/>
        <color indexed="10"/>
        <rFont val="Arial"/>
        <family val="2"/>
      </rPr>
      <t>46/</t>
    </r>
    <r>
      <rPr>
        <b/>
        <sz val="9"/>
        <rFont val="Arial"/>
        <family val="2"/>
      </rPr>
      <t xml:space="preserve"> </t>
    </r>
    <r>
      <rPr>
        <sz val="9"/>
        <rFont val="Arial"/>
        <family val="2"/>
      </rPr>
      <t>Se amortizará de acuerdo a las características de la  serie emitida. Al 31.12.2012 se han emitido  el total autorizado.</t>
    </r>
  </si>
  <si>
    <t>48/</t>
  </si>
  <si>
    <t>49/</t>
  </si>
  <si>
    <t xml:space="preserve">            D.S. Nº 211-2012-EF</t>
  </si>
  <si>
    <t xml:space="preserve">     D.S. Nº 084-2013-EF</t>
  </si>
  <si>
    <t>Garatía del Gobierno Nacional a la emisión de Bonos de Reconocimiento y Complementarios de la ONP durante el año 2013.</t>
  </si>
  <si>
    <t xml:space="preserve">         D.S. Nº 224-2013-EF</t>
  </si>
  <si>
    <t>Emisión Interna de Bonos Soberanos para financiar PIPs que se encuentran en ejecución de los GR y GL.</t>
  </si>
  <si>
    <t xml:space="preserve">         D. S. Nº 235-2013-EF</t>
  </si>
  <si>
    <t xml:space="preserve">         D. S. Nº 267-2013-EF</t>
  </si>
  <si>
    <t xml:space="preserve">         D. S. Nº 358-2013-EF</t>
  </si>
  <si>
    <t xml:space="preserve">         D. S. Nº 359-2013-EF</t>
  </si>
  <si>
    <t>B. Nación</t>
  </si>
  <si>
    <t>Proyectos M.P Cotabambas/Proyectos M.D. de Chalhuahuacho</t>
  </si>
  <si>
    <t>Primera Etapa de la Fase I de Siete PIP's</t>
  </si>
  <si>
    <t>Requerimientos del Ministerio de Defensa</t>
  </si>
  <si>
    <t>Financiar parte de ocho componentes de Propyecto de Inversión a cargo del Ministerio de Defensa</t>
  </si>
  <si>
    <t>M.P. Cotabambas/M.D- Chalhuahuacho</t>
  </si>
  <si>
    <t>4,65% IEA</t>
  </si>
  <si>
    <t>5,36%</t>
  </si>
  <si>
    <r>
      <t>51/</t>
    </r>
    <r>
      <rPr>
        <b/>
        <sz val="9"/>
        <rFont val="Arial"/>
        <family val="2"/>
      </rPr>
      <t xml:space="preserve"> </t>
    </r>
    <r>
      <rPr>
        <sz val="9"/>
        <rFont val="Arial"/>
        <family val="2"/>
      </rPr>
      <t xml:space="preserve">Se amortizará de acuerdo a las características de la  serie emitida. </t>
    </r>
  </si>
  <si>
    <t>51/</t>
  </si>
  <si>
    <r>
      <t>52/</t>
    </r>
    <r>
      <rPr>
        <sz val="9"/>
        <rFont val="Arial"/>
        <family val="2"/>
      </rPr>
      <t xml:space="preserve"> Se pagara en una sola cuota que vencerá el 05.01.2017</t>
    </r>
  </si>
  <si>
    <r>
      <t>53/</t>
    </r>
    <r>
      <rPr>
        <sz val="9"/>
        <rFont val="Arial"/>
        <family val="2"/>
      </rPr>
      <t xml:space="preserve"> Se pagara en una sola cuota que vencerá el 05.07.2017</t>
    </r>
  </si>
  <si>
    <t>52/</t>
  </si>
  <si>
    <t>53/</t>
  </si>
  <si>
    <t xml:space="preserve">Emisión de Bonos Soberanos </t>
  </si>
  <si>
    <t xml:space="preserve">         D.S. Nº 098-2014-EF</t>
  </si>
  <si>
    <t xml:space="preserve">         D.S. Nº 126-2014-EF</t>
  </si>
  <si>
    <t xml:space="preserve">         D.S. Nº 318-2014-EF</t>
  </si>
  <si>
    <t xml:space="preserve">         D.S. Nº 330-2014-EF</t>
  </si>
  <si>
    <t xml:space="preserve">         D.S. Nº 331-2014-EF</t>
  </si>
  <si>
    <t xml:space="preserve">         D.S. Nº 361-2014-EF</t>
  </si>
  <si>
    <t xml:space="preserve">         D.S. Nº 250-2014-EF</t>
  </si>
  <si>
    <t xml:space="preserve">         D.S. Nº 373-2014-EF</t>
  </si>
  <si>
    <t>Proyecto Línea 2 del Metro de Lima</t>
  </si>
  <si>
    <t>Financiamiento de Proyectos de Inversión Pública a cargo de Gobiernos Regionales</t>
  </si>
  <si>
    <t>Proyectos varios de las M.D. de Coyllurqui, Haquira, Challhuahuacho y Cotambambas</t>
  </si>
  <si>
    <t>PIPs. Municipalidad Provincial de Chincheros</t>
  </si>
  <si>
    <t>PIPs. Municipalidad Provincial de Andahuaylas</t>
  </si>
  <si>
    <t>Segunda Etapa de la Primera Fase de 04 (cuatro) Proyectos de Inversión Pública a cargo del Ministerio de Defensa</t>
  </si>
  <si>
    <t>Cinco proyectos de inversión pública</t>
  </si>
  <si>
    <t>AATE/MEF</t>
  </si>
  <si>
    <t>La República</t>
  </si>
  <si>
    <t>M.P. de Grau</t>
  </si>
  <si>
    <t>M.Distritales de Apurimac</t>
  </si>
  <si>
    <t>M.P.Chincheros</t>
  </si>
  <si>
    <t>M.P de Andahuaylas</t>
  </si>
  <si>
    <t>M.Defensa</t>
  </si>
  <si>
    <t>4,67%</t>
  </si>
  <si>
    <t>4,43%</t>
  </si>
  <si>
    <t>5,17%</t>
  </si>
  <si>
    <t>Garatía del Gobierno Nacional a la emisión de Bonos de Reconocimiento y Complementarios de la ONP durante el año 2014.</t>
  </si>
  <si>
    <t xml:space="preserve">         Ley Nº 30116 </t>
  </si>
  <si>
    <t xml:space="preserve">         Ley Nº 30116</t>
  </si>
  <si>
    <t xml:space="preserve">         D.S. Nº 099-2014-EF</t>
  </si>
  <si>
    <t xml:space="preserve">         D.S. Nº 322-2015-EF</t>
  </si>
  <si>
    <t>Proyecto "Construcción de la vía Costa Verde Tramo Callao"</t>
  </si>
  <si>
    <t>G.R. Callao</t>
  </si>
  <si>
    <t>AATE</t>
  </si>
  <si>
    <t xml:space="preserve">         D.S. Nº 095-2015-EF</t>
  </si>
  <si>
    <t>Otorgamiento de la garantía del Gobieno Nacional  a los Bonos de Reconocimiento y Complementarios que la ONP emita en el año fiscal 2015.</t>
  </si>
  <si>
    <t xml:space="preserve">         D.S. Nº 254-2015-EF</t>
  </si>
  <si>
    <t xml:space="preserve">         D.S. Nº 280-2015-EF</t>
  </si>
  <si>
    <t>Proyecto Inversión Pública del MINDEF</t>
  </si>
  <si>
    <t>Dos Proyecto Inversión Pública del MINDEF</t>
  </si>
  <si>
    <t>4.65%</t>
  </si>
  <si>
    <r>
      <rPr>
        <b/>
        <sz val="9"/>
        <color indexed="10"/>
        <rFont val="Arial"/>
        <family val="2"/>
      </rPr>
      <t>50</t>
    </r>
    <r>
      <rPr>
        <sz val="9"/>
        <color indexed="10"/>
        <rFont val="Arial"/>
        <family val="2"/>
      </rPr>
      <t>/</t>
    </r>
    <r>
      <rPr>
        <sz val="9"/>
        <rFont val="Arial"/>
        <family val="2"/>
      </rPr>
      <t xml:space="preserve"> Emisión autorizada, en uno o más tramos,  por la Primera Disposición Complementaria y Transitoria de la Ley Nº 29953. Los montos de esta autorización pueden reasignarse a los montos previstos en el literal b) del numeral 4.1 del artículo 4º de la referida Ley. Durante el año 2012 se prefinanció, de conformidad con lo  dispuesto en  el segundo párrafo  de la Primera Disposición Complementaria y Transitoria  de la Ley Nº 29814- Ley de Endeudamiento del S. Público para el Año Fiscal 2012, una parte de los requerimientos del Sector Público No Financiero del año 2013, un monto de S/.  368 493 000,00; quedado un saldo por emitir durante el presente año de S/. 966 507 000,00 con cargo a la referida autorización de la Ley Nº 29953. Con cargo a dicho saldo se ha emiitido, al 31.12.2013, S/. 809,46 millones. </t>
    </r>
  </si>
  <si>
    <r>
      <t>54/</t>
    </r>
    <r>
      <rPr>
        <sz val="9"/>
        <rFont val="Arial"/>
        <family val="2"/>
      </rPr>
      <t xml:space="preserve"> Se pagara en una sola cuota que vencerá el 05.01.2019</t>
    </r>
  </si>
  <si>
    <t>54/</t>
  </si>
  <si>
    <t>55/</t>
  </si>
  <si>
    <r>
      <rPr>
        <b/>
        <sz val="9"/>
        <color indexed="10"/>
        <rFont val="Arial"/>
        <family val="2"/>
      </rPr>
      <t>56/</t>
    </r>
    <r>
      <rPr>
        <sz val="9"/>
        <rFont val="Arial"/>
        <family val="2"/>
      </rPr>
      <t xml:space="preserve"> El principal del préstamo será integramente cancelado en una cuota el 05.07.2018.</t>
    </r>
  </si>
  <si>
    <r>
      <t>55/</t>
    </r>
    <r>
      <rPr>
        <sz val="9"/>
        <rFont val="Arial"/>
        <family val="2"/>
      </rPr>
      <t xml:space="preserve"> Se pagara en una sola cuota que vencerá el 05.01.2018</t>
    </r>
  </si>
  <si>
    <t>56/</t>
  </si>
  <si>
    <r>
      <rPr>
        <b/>
        <sz val="9"/>
        <color indexed="10"/>
        <rFont val="Arial"/>
        <family val="2"/>
      </rPr>
      <t>3</t>
    </r>
    <r>
      <rPr>
        <b/>
        <sz val="9"/>
        <color indexed="10"/>
        <rFont val="Arial"/>
        <family val="2"/>
      </rPr>
      <t>5/</t>
    </r>
    <r>
      <rPr>
        <b/>
        <sz val="9"/>
        <rFont val="Arial"/>
        <family val="2"/>
      </rPr>
      <t xml:space="preserve"> </t>
    </r>
    <r>
      <rPr>
        <sz val="9"/>
        <rFont val="Arial"/>
        <family val="2"/>
      </rPr>
      <t xml:space="preserve">Se amortizará de acuerdo a las características de la  serie emitida. Al 31.12.09 se ha emitido S/. 1,401,0 millones en el marco del D.S. Nº 032-2009-EF </t>
    </r>
  </si>
  <si>
    <r>
      <rPr>
        <b/>
        <sz val="9"/>
        <color indexed="10"/>
        <rFont val="Arial"/>
        <family val="2"/>
      </rPr>
      <t>36/</t>
    </r>
    <r>
      <rPr>
        <b/>
        <sz val="9"/>
        <rFont val="Arial"/>
        <family val="2"/>
      </rPr>
      <t xml:space="preserve"> </t>
    </r>
    <r>
      <rPr>
        <sz val="9"/>
        <rFont val="Arial"/>
        <family val="2"/>
      </rPr>
      <t>Se amortizará en 24 cuotas trimestrales.</t>
    </r>
  </si>
  <si>
    <r>
      <rPr>
        <b/>
        <sz val="9"/>
        <color indexed="10"/>
        <rFont val="Arial"/>
        <family val="2"/>
      </rPr>
      <t>3</t>
    </r>
    <r>
      <rPr>
        <b/>
        <sz val="9"/>
        <color indexed="10"/>
        <rFont val="Arial"/>
        <family val="2"/>
      </rPr>
      <t xml:space="preserve">7/ </t>
    </r>
    <r>
      <rPr>
        <sz val="9"/>
        <rFont val="Arial"/>
        <family val="2"/>
      </rPr>
      <t xml:space="preserve">Se amortizará en 8 años mediante cuotas mensuales iguales y consecutivas, a partir del primer desembolso. </t>
    </r>
  </si>
  <si>
    <r>
      <rPr>
        <b/>
        <sz val="9"/>
        <color indexed="10"/>
        <rFont val="Arial"/>
        <family val="2"/>
      </rPr>
      <t>38/</t>
    </r>
    <r>
      <rPr>
        <b/>
        <sz val="9"/>
        <rFont val="Arial"/>
        <family val="2"/>
      </rPr>
      <t xml:space="preserve"> </t>
    </r>
    <r>
      <rPr>
        <sz val="9"/>
        <rFont val="Arial"/>
        <family val="2"/>
      </rPr>
      <t xml:space="preserve">Se amortizará en 11 cuotas semestrales, iguales y consecutivas a partir del primer desembolso. </t>
    </r>
  </si>
  <si>
    <r>
      <rPr>
        <b/>
        <sz val="9"/>
        <color indexed="10"/>
        <rFont val="Arial"/>
        <family val="2"/>
      </rPr>
      <t>40</t>
    </r>
    <r>
      <rPr>
        <b/>
        <sz val="9"/>
        <color indexed="10"/>
        <rFont val="Arial"/>
        <family val="2"/>
      </rPr>
      <t>/</t>
    </r>
    <r>
      <rPr>
        <b/>
        <sz val="9"/>
        <rFont val="Arial"/>
        <family val="2"/>
      </rPr>
      <t xml:space="preserve"> </t>
    </r>
    <r>
      <rPr>
        <sz val="9"/>
        <rFont val="Arial"/>
        <family val="2"/>
      </rPr>
      <t>Devengará una tasa de interés de 2,05% efectiva anual, los cuales serán pagados semestralmente a partir del 12.02.11.</t>
    </r>
  </si>
  <si>
    <r>
      <rPr>
        <b/>
        <sz val="9"/>
        <color indexed="10"/>
        <rFont val="Arial"/>
        <family val="2"/>
      </rPr>
      <t>42/</t>
    </r>
    <r>
      <rPr>
        <b/>
        <sz val="9"/>
        <rFont val="Arial"/>
        <family val="2"/>
      </rPr>
      <t xml:space="preserve"> </t>
    </r>
    <r>
      <rPr>
        <sz val="9"/>
        <rFont val="Arial"/>
        <family val="2"/>
      </rPr>
      <t>Se amortizará de acuerdo a las características de la  serie emitida. Al 31.12.2011 se han emitido S/. 1 146,37 millones con cargo al monto autorizado mediante el D.S. Nº 026-2011-EF.</t>
    </r>
  </si>
  <si>
    <r>
      <rPr>
        <b/>
        <sz val="9"/>
        <color indexed="10"/>
        <rFont val="Arial"/>
        <family val="2"/>
      </rPr>
      <t>43/</t>
    </r>
    <r>
      <rPr>
        <b/>
        <sz val="9"/>
        <rFont val="Arial"/>
        <family val="2"/>
      </rPr>
      <t xml:space="preserve"> </t>
    </r>
    <r>
      <rPr>
        <sz val="9"/>
        <rFont val="Arial"/>
        <family val="2"/>
      </rPr>
      <t xml:space="preserve">Durante el período de desembolso devengará una TEA equivalente a la tasa de referencia del BCRP que se encuentre vigente en la fecha de cada desembolso, más 10 pb. Al finalizar el período de desembolso se determinará una tasa fija hasta la cancelación del préstamo, la cual será equivalente a aquella que corresponda a un bono soberano de similar vida media más 40 pb. </t>
    </r>
  </si>
  <si>
    <r>
      <rPr>
        <b/>
        <sz val="9"/>
        <color indexed="10"/>
        <rFont val="Arial"/>
        <family val="2"/>
      </rPr>
      <t>45/</t>
    </r>
    <r>
      <rPr>
        <sz val="9"/>
        <rFont val="Arial"/>
        <family val="2"/>
      </rPr>
      <t xml:space="preserve"> Pago bullet que vence el 03/01/2013</t>
    </r>
  </si>
  <si>
    <r>
      <rPr>
        <b/>
        <sz val="9"/>
        <color indexed="10"/>
        <rFont val="Arial"/>
        <family val="2"/>
      </rPr>
      <t>47/</t>
    </r>
    <r>
      <rPr>
        <b/>
        <sz val="9"/>
        <rFont val="Arial"/>
        <family val="2"/>
      </rPr>
      <t xml:space="preserve"> </t>
    </r>
    <r>
      <rPr>
        <sz val="9"/>
        <rFont val="Arial"/>
        <family val="2"/>
      </rPr>
      <t xml:space="preserve">Se amortizará en una sola cuota que vencerá el 03.07.17. </t>
    </r>
  </si>
  <si>
    <r>
      <rPr>
        <b/>
        <sz val="9"/>
        <color indexed="10"/>
        <rFont val="Arial"/>
        <family val="2"/>
      </rPr>
      <t>48/</t>
    </r>
    <r>
      <rPr>
        <b/>
        <sz val="9"/>
        <rFont val="Arial"/>
        <family val="2"/>
      </rPr>
      <t xml:space="preserve"> </t>
    </r>
    <r>
      <rPr>
        <sz val="9"/>
        <rFont val="Arial"/>
        <family val="2"/>
      </rPr>
      <t xml:space="preserve">Se amortizará en una sola cuota que vencerá el 04.07.16. </t>
    </r>
  </si>
  <si>
    <r>
      <rPr>
        <b/>
        <sz val="9"/>
        <color indexed="10"/>
        <rFont val="Arial"/>
        <family val="2"/>
      </rPr>
      <t>49/</t>
    </r>
    <r>
      <rPr>
        <b/>
        <sz val="9"/>
        <rFont val="Arial"/>
        <family val="2"/>
      </rPr>
      <t xml:space="preserve"> </t>
    </r>
    <r>
      <rPr>
        <sz val="9"/>
        <rFont val="Arial"/>
        <family val="2"/>
      </rPr>
      <t xml:space="preserve">Se amortizará en una sola cuota que vencerá el 05.01.16. </t>
    </r>
  </si>
  <si>
    <r>
      <rPr>
        <b/>
        <sz val="9"/>
        <color indexed="10"/>
        <rFont val="Arial"/>
        <family val="2"/>
      </rPr>
      <t>57/</t>
    </r>
    <r>
      <rPr>
        <sz val="9"/>
        <rFont val="Arial"/>
        <family val="2"/>
      </rPr>
      <t xml:space="preserve"> Emisión autorizada, en uno o más tramos,  por la Primera Disposición Complementaria y Transitoria de la Ley Nº 30283. La citada emisión interna de bonos está sujeta a lo dispuesto en el Reglamento del Programa de Creadores de Mercado  y en el Reglamento de Bonos Soberanos, vigentes.</t>
    </r>
  </si>
  <si>
    <t xml:space="preserve">        D.S.Nº039-2016-EF</t>
  </si>
  <si>
    <t>Proyectos varios</t>
  </si>
  <si>
    <t>Garantía del Gobierno Nacional a la emisión de Bonos ONP en el año 2016</t>
  </si>
  <si>
    <t xml:space="preserve">        D.S.Nº 378-2016-EF</t>
  </si>
  <si>
    <t>Financiamiento de 24 proyectos de inversión pública a cargo del Gobierno Regional de Cajamarca</t>
  </si>
  <si>
    <t>G.R. Cajamarca</t>
  </si>
  <si>
    <t>G.R. Cajamarca/MEF</t>
  </si>
  <si>
    <t xml:space="preserve">        D.S.Nº279-2016-EF</t>
  </si>
  <si>
    <t>GGRR/GGLL</t>
  </si>
  <si>
    <r>
      <rPr>
        <b/>
        <sz val="9"/>
        <color indexed="10"/>
        <rFont val="Arial"/>
        <family val="2"/>
      </rPr>
      <t>58/</t>
    </r>
    <r>
      <rPr>
        <b/>
        <sz val="9"/>
        <rFont val="Arial"/>
        <family val="2"/>
      </rPr>
      <t xml:space="preserve"> </t>
    </r>
    <r>
      <rPr>
        <sz val="9"/>
        <rFont val="Arial"/>
        <family val="2"/>
      </rPr>
      <t xml:space="preserve">Emisión autorizada, en uno o más tramos,  por la Única Disposición Complementaria y Transitoria de la Ley Nº 30374. La citada emisión interna de bonos está sujeta a lo dispuesto en el Reglamento del Programa de Creadores de Mercado  y en el Reglamento de Bonos Soberanos, vigentes. </t>
    </r>
  </si>
  <si>
    <r>
      <rPr>
        <b/>
        <sz val="9"/>
        <color indexed="10"/>
        <rFont val="Arial"/>
        <family val="2"/>
      </rPr>
      <t xml:space="preserve">59/ </t>
    </r>
    <r>
      <rPr>
        <sz val="9"/>
        <rFont val="Arial"/>
        <family val="2"/>
      </rPr>
      <t xml:space="preserve"> Emisión externa de bonos autorizada por el primer párrafo de la Única Disposición Complementaria y Transitoria de la Ley Nº 30374. Dicho monto ha  sido reasignado al PAC DI 2016 en virtud de lo  dispuesto por el nuemral 4.3 del artículo 4 de la Ley Nº 30374, y conforme a lo señalado en el segundo párrafo de la mencionada Disposición, en el que se señala que "Cuando el monto de endeudamiento previsto en el párrafo anterior se reasigne a operaciones de endeudamiento interno, apruébase la emisión interna de bonos que, en una o más colocaciones, puede efectuar el Gobierno Nacional hasta por el monto resultante de la recomposición de los montos de endeudamiento previstos en el artículo 4 de la presente Ley."</t>
    </r>
  </si>
  <si>
    <r>
      <rPr>
        <b/>
        <sz val="9"/>
        <color indexed="10"/>
        <rFont val="Arial"/>
        <family val="2"/>
      </rPr>
      <t>60/</t>
    </r>
    <r>
      <rPr>
        <b/>
        <sz val="9"/>
        <rFont val="Arial"/>
        <family val="2"/>
      </rPr>
      <t xml:space="preserve"> </t>
    </r>
    <r>
      <rPr>
        <sz val="9"/>
        <rFont val="Arial"/>
        <family val="2"/>
      </rPr>
      <t xml:space="preserve">Emisión autorizada, en uno o más tramos,  por la Única Disposición Complementaria y Transitoria de la Ley Nº 30374. El citado monto fue emitido en el año 2015 como prefinaciamiento del año 2016. </t>
    </r>
  </si>
  <si>
    <t xml:space="preserve">      (i) S/ 281 678 070 para los Bonos de Reconocimiento</t>
  </si>
  <si>
    <r>
      <rPr>
        <b/>
        <sz val="9"/>
        <color indexed="10"/>
        <rFont val="Arial"/>
        <family val="2"/>
      </rPr>
      <t>44</t>
    </r>
    <r>
      <rPr>
        <sz val="9"/>
        <rFont val="Arial"/>
        <family val="2"/>
      </rPr>
      <t>/ TIEA equivalente a la tasa de referencia establecida por el BCRP que se encuentre vigente en la fecha de cada desembolso, más 10 pb. Se pagarán semestralmente el 03/01/2012,03/07/2012 y 03/01/2013</t>
    </r>
  </si>
  <si>
    <r>
      <t xml:space="preserve">21/  </t>
    </r>
    <r>
      <rPr>
        <sz val="9"/>
        <rFont val="Arial"/>
        <family val="2"/>
      </rPr>
      <t xml:space="preserve">Modifica el D.S. 112-2003-EF. De los 321 089 777 se destina de la siguiente manera: </t>
    </r>
  </si>
  <si>
    <r>
      <t xml:space="preserve">      </t>
    </r>
    <r>
      <rPr>
        <sz val="9"/>
        <rFont val="Arial"/>
        <family val="2"/>
      </rPr>
      <t>(ii) S/ 39 411 707 para los Bonos Complementarios</t>
    </r>
  </si>
  <si>
    <r>
      <t>22/</t>
    </r>
    <r>
      <rPr>
        <b/>
        <sz val="9"/>
        <rFont val="Arial"/>
        <family val="2"/>
      </rPr>
      <t xml:space="preserve"> </t>
    </r>
    <r>
      <rPr>
        <sz val="9"/>
        <rFont val="Arial"/>
        <family val="2"/>
      </rPr>
      <t xml:space="preserve"> De los S/. 220 millones autorizados a emitr, se colocó S/. 161,75 millones</t>
    </r>
  </si>
  <si>
    <r>
      <t>23/</t>
    </r>
    <r>
      <rPr>
        <b/>
        <sz val="9"/>
        <rFont val="Arial"/>
        <family val="2"/>
      </rPr>
      <t xml:space="preserve">  </t>
    </r>
    <r>
      <rPr>
        <sz val="9"/>
        <rFont val="Arial"/>
        <family val="2"/>
      </rPr>
      <t>De los 1 950 millones autorizados a emitirse, se emitió 1 905,8 millones</t>
    </r>
  </si>
  <si>
    <r>
      <t xml:space="preserve">1/ </t>
    </r>
    <r>
      <rPr>
        <sz val="9"/>
        <rFont val="Arial"/>
        <family val="2"/>
      </rPr>
      <t>Préstamo otorgado en I/. 60,000 millones</t>
    </r>
  </si>
  <si>
    <r>
      <t xml:space="preserve">2/ </t>
    </r>
    <r>
      <rPr>
        <sz val="9"/>
        <rFont val="Arial"/>
        <family val="2"/>
      </rPr>
      <t>Mediante el D:S. 200-90-EF se modifica el cronograma de desembolsos establecido en el Art. 2° del D.S. 142-90-EF</t>
    </r>
  </si>
  <si>
    <r>
      <t xml:space="preserve">3/ </t>
    </r>
    <r>
      <rPr>
        <sz val="9"/>
        <rFont val="Arial"/>
        <family val="2"/>
      </rPr>
      <t>Similar a la que pagó el BN por los depósitos de la Caja Militar y Policial más 1%</t>
    </r>
  </si>
  <si>
    <r>
      <t>4/</t>
    </r>
    <r>
      <rPr>
        <sz val="9"/>
        <rFont val="Arial"/>
        <family val="2"/>
      </rPr>
      <t xml:space="preserve"> Series A 1 año, B 2 años, C 3 años, D 4años,E 5 años</t>
    </r>
  </si>
  <si>
    <r>
      <t xml:space="preserve">5/ </t>
    </r>
    <r>
      <rPr>
        <sz val="9"/>
        <rFont val="Arial"/>
        <family val="2"/>
      </rPr>
      <t xml:space="preserve"> Series A 7 años, B 8 años, C 9 años, D 10años</t>
    </r>
  </si>
  <si>
    <r>
      <t xml:space="preserve">6/  </t>
    </r>
    <r>
      <rPr>
        <sz val="9"/>
        <rFont val="Arial"/>
        <family val="2"/>
      </rPr>
      <t>Condiciones Eximbank</t>
    </r>
  </si>
  <si>
    <r>
      <t xml:space="preserve">7/  </t>
    </r>
    <r>
      <rPr>
        <sz val="9"/>
        <rFont val="Arial"/>
        <family val="2"/>
      </rPr>
      <t>Derogado con el D.U. 025-99</t>
    </r>
  </si>
  <si>
    <r>
      <t xml:space="preserve">8/ </t>
    </r>
    <r>
      <rPr>
        <sz val="9"/>
        <rFont val="Arial"/>
        <family val="2"/>
      </rPr>
      <t>Mediante el D.U. 034-99-, se modifica las caracteristicas de los Bonos autorizados por el D.S. Nº 126-98-EF, con lo cual, estos Bonos seran para el Programa de Consolidación Patrimonial.</t>
    </r>
  </si>
  <si>
    <r>
      <t>9/</t>
    </r>
    <r>
      <rPr>
        <sz val="9"/>
        <rFont val="Arial"/>
        <family val="2"/>
      </rPr>
      <t xml:space="preserve"> Tasa mínima aplicada por Eximbank más una prima de riesgo mínima establecido por la OECD</t>
    </r>
  </si>
  <si>
    <r>
      <t xml:space="preserve">10/ </t>
    </r>
    <r>
      <rPr>
        <sz val="9"/>
        <rFont val="Arial"/>
        <family val="2"/>
      </rPr>
      <t>Entre cuatro y veinte cuotas semestrales dependiendo del monto de cada contrato aprobado.</t>
    </r>
  </si>
  <si>
    <r>
      <t xml:space="preserve">11/ </t>
    </r>
    <r>
      <rPr>
        <sz val="9"/>
        <rFont val="Arial"/>
        <family val="2"/>
      </rPr>
      <t>Definido al momento de cada colocación</t>
    </r>
  </si>
  <si>
    <r>
      <t>12/</t>
    </r>
    <r>
      <rPr>
        <sz val="9"/>
        <rFont val="Arial"/>
        <family val="2"/>
      </rPr>
      <t xml:space="preserve"> Devengará intereses a una  tasa efectiva anual equivalente al rendimiento de las inversiones en bonos del Fondo MIVIVIENDA, la cual será determinada semestralmente, por el Directorio para ser aplicada al cálculo de </t>
    </r>
  </si>
  <si>
    <r>
      <t xml:space="preserve">13/ </t>
    </r>
    <r>
      <rPr>
        <sz val="9"/>
        <rFont val="Arial"/>
        <family val="2"/>
      </rPr>
      <t>Desde la fecha de Suscripción  del Contrato (6-02-2003) hasta el 31-12-2003.</t>
    </r>
  </si>
  <si>
    <r>
      <t xml:space="preserve">14/ </t>
    </r>
    <r>
      <rPr>
        <sz val="9"/>
        <rFont val="Arial"/>
        <family val="2"/>
      </rPr>
      <t>Desde el 31-01-2004 hasta el 31-01-2006.</t>
    </r>
  </si>
  <si>
    <r>
      <t xml:space="preserve">15/ </t>
    </r>
    <r>
      <rPr>
        <sz val="9"/>
        <rFont val="Arial"/>
        <family val="2"/>
      </rPr>
      <t>Tasa de interés nominal anual fijada en la fecha de emisión.</t>
    </r>
  </si>
  <si>
    <r>
      <t>16/</t>
    </r>
    <r>
      <rPr>
        <sz val="9"/>
        <color indexed="8"/>
        <rFont val="Arial"/>
        <family val="2"/>
      </rPr>
      <t xml:space="preserve"> Se emitió el total autorizado (S/. 600,0 millones)</t>
    </r>
  </si>
  <si>
    <r>
      <t xml:space="preserve">17/ </t>
    </r>
    <r>
      <rPr>
        <sz val="9"/>
        <color indexed="8"/>
        <rFont val="Arial"/>
        <family val="2"/>
      </rPr>
      <t>Se emitió el total autorizado (</t>
    </r>
    <r>
      <rPr>
        <sz val="9"/>
        <rFont val="Arial"/>
        <family val="2"/>
      </rPr>
      <t>S/. 950 millones)</t>
    </r>
  </si>
  <si>
    <r>
      <t xml:space="preserve">6 años </t>
    </r>
    <r>
      <rPr>
        <b/>
        <sz val="10"/>
        <color indexed="10"/>
        <rFont val="Arial"/>
        <family val="2"/>
      </rPr>
      <t>36/</t>
    </r>
  </si>
  <si>
    <r>
      <t xml:space="preserve">         Ley Nº 29953</t>
    </r>
    <r>
      <rPr>
        <b/>
        <sz val="10"/>
        <rFont val="Arial"/>
        <family val="2"/>
      </rPr>
      <t xml:space="preserve"> </t>
    </r>
    <r>
      <rPr>
        <b/>
        <sz val="10"/>
        <color indexed="10"/>
        <rFont val="Arial"/>
        <family val="2"/>
      </rPr>
      <t>50/</t>
    </r>
  </si>
  <si>
    <r>
      <t xml:space="preserve">         Ley Nº 30283 </t>
    </r>
    <r>
      <rPr>
        <b/>
        <sz val="10"/>
        <color indexed="10"/>
        <rFont val="Arial"/>
        <family val="2"/>
      </rPr>
      <t>57/</t>
    </r>
  </si>
  <si>
    <r>
      <t xml:space="preserve">         Ley Nº 30374 </t>
    </r>
    <r>
      <rPr>
        <b/>
        <sz val="10"/>
        <color indexed="10"/>
        <rFont val="Arial"/>
        <family val="2"/>
      </rPr>
      <t>58/</t>
    </r>
  </si>
  <si>
    <r>
      <t xml:space="preserve">         Ley Nº 30374</t>
    </r>
    <r>
      <rPr>
        <b/>
        <sz val="10"/>
        <rFont val="Arial"/>
        <family val="2"/>
      </rPr>
      <t xml:space="preserve"> </t>
    </r>
    <r>
      <rPr>
        <b/>
        <sz val="10"/>
        <color indexed="10"/>
        <rFont val="Arial"/>
        <family val="2"/>
      </rPr>
      <t>59</t>
    </r>
    <r>
      <rPr>
        <sz val="10"/>
        <color indexed="10"/>
        <rFont val="Arial"/>
        <family val="2"/>
      </rPr>
      <t>/</t>
    </r>
  </si>
  <si>
    <r>
      <t xml:space="preserve">         Ley Nº 30374 </t>
    </r>
    <r>
      <rPr>
        <b/>
        <sz val="10"/>
        <color indexed="10"/>
        <rFont val="Arial"/>
        <family val="2"/>
      </rPr>
      <t>60/</t>
    </r>
  </si>
  <si>
    <r>
      <t xml:space="preserve">         Ley Nº 30520 </t>
    </r>
    <r>
      <rPr>
        <b/>
        <sz val="8"/>
        <rFont val="Arial"/>
        <family val="2"/>
      </rPr>
      <t>1/</t>
    </r>
  </si>
  <si>
    <t xml:space="preserve">        D.S. Nº 260-2017-EF</t>
  </si>
  <si>
    <t>D.S. Nº 048-2017-EF</t>
  </si>
  <si>
    <t>Cartera de proyectos de inversión de infraestructura vial, priorizados por el MTC</t>
  </si>
  <si>
    <t>Garantía del Gobierno Nacional a los Bonos de Reconocimiento y Complementarios que emita la ONP en el año 2017</t>
  </si>
  <si>
    <t>D. S. Nº 316-2018-EF</t>
  </si>
  <si>
    <t>D. S. Nº 334-2018-EF</t>
  </si>
  <si>
    <t>Proyecto "Amplia.y Mej. Sist. Agua Potable y Alcant. Nueva Rinconada, Distritos San Juan de Miraflores y Villa María del Triunfo"</t>
  </si>
  <si>
    <t>Programa de Inversión “Modernización de la Prestación de los Servicios de Agua Potable y Saneamiento de las EPS EMAPACOP, SEDACUSCO, SEDAPAR, SEMAPA Barranca, EMAPA Huaral y EMAPA Huacho”</t>
  </si>
  <si>
    <t>Sedapal</t>
  </si>
  <si>
    <t>AATE/La República</t>
  </si>
  <si>
    <t>FONDES/La República</t>
  </si>
  <si>
    <t>MVCS/La República</t>
  </si>
  <si>
    <t>Sedapal/La República</t>
  </si>
  <si>
    <t>MVCS/
PNSU-OTASS</t>
  </si>
  <si>
    <t>MINEDU</t>
  </si>
  <si>
    <t xml:space="preserve">         D.S. Nº 075-2018-EF</t>
  </si>
  <si>
    <r>
      <rPr>
        <b/>
        <sz val="9"/>
        <color indexed="10"/>
        <rFont val="Arial"/>
        <family val="2"/>
      </rPr>
      <t>61/</t>
    </r>
    <r>
      <rPr>
        <b/>
        <sz val="9"/>
        <rFont val="Arial"/>
        <family val="2"/>
      </rPr>
      <t xml:space="preserve"> </t>
    </r>
    <r>
      <rPr>
        <sz val="9"/>
        <rFont val="Arial"/>
        <family val="2"/>
      </rPr>
      <t>Emisión autorizada, en uno o más tramos,  por la  Primera Disposición Complementaria Transitoria de la Ley Nº 30695. La citada emisión interna de bonos se sujeta a lo dispuesto en el Reglamento del Programa de Creadores de Mercado y en el Reglamento de Bonos Soberanos,vigentes.</t>
    </r>
  </si>
  <si>
    <r>
      <t xml:space="preserve">         Ley Nº 30695 </t>
    </r>
    <r>
      <rPr>
        <b/>
        <sz val="8"/>
        <color indexed="10"/>
        <rFont val="Arial"/>
        <family val="2"/>
      </rPr>
      <t>6</t>
    </r>
    <r>
      <rPr>
        <b/>
        <sz val="8"/>
        <color indexed="10"/>
        <rFont val="Arial"/>
        <family val="2"/>
      </rPr>
      <t>1/</t>
    </r>
  </si>
  <si>
    <r>
      <rPr>
        <b/>
        <sz val="9"/>
        <color indexed="10"/>
        <rFont val="Arial"/>
        <family val="2"/>
      </rPr>
      <t>6</t>
    </r>
    <r>
      <rPr>
        <b/>
        <sz val="9"/>
        <color indexed="10"/>
        <rFont val="Arial"/>
        <family val="2"/>
      </rPr>
      <t>2/</t>
    </r>
    <r>
      <rPr>
        <b/>
        <sz val="9"/>
        <rFont val="Arial"/>
        <family val="2"/>
      </rPr>
      <t xml:space="preserve"> </t>
    </r>
    <r>
      <rPr>
        <sz val="9"/>
        <rFont val="Arial"/>
        <family val="2"/>
      </rPr>
      <t>Al me</t>
    </r>
    <r>
      <rPr>
        <b/>
        <sz val="9"/>
        <rFont val="Arial"/>
        <family val="2"/>
      </rPr>
      <t xml:space="preserve">s </t>
    </r>
    <r>
      <rPr>
        <sz val="9"/>
        <rFont val="Arial"/>
        <family val="2"/>
      </rPr>
      <t xml:space="preserve">de diciembre se ha captado un monto de </t>
    </r>
    <r>
      <rPr>
        <sz val="9"/>
        <color indexed="10"/>
        <rFont val="Arial"/>
        <family val="2"/>
      </rPr>
      <t>S/ 3 500 976 000,00.</t>
    </r>
  </si>
  <si>
    <r>
      <rPr>
        <b/>
        <sz val="9"/>
        <color indexed="10"/>
        <rFont val="Arial"/>
        <family val="2"/>
      </rPr>
      <t>63/</t>
    </r>
    <r>
      <rPr>
        <b/>
        <sz val="9"/>
        <rFont val="Arial"/>
        <family val="2"/>
      </rPr>
      <t xml:space="preserve"> </t>
    </r>
    <r>
      <rPr>
        <sz val="9"/>
        <rFont val="Arial"/>
        <family val="2"/>
      </rPr>
      <t>Ley Nº 30736, Ley que autoriza la  transferencia de S/ 527 373 520,00 con cargo a la emisión interna de Bonos aprobada por la Primera Disposición Complementaria y Transitoria de la Ley 30695 para el proyecto Linea 2 del Metro de Lima, para financiar proyectos de inversión del MVCS.</t>
    </r>
  </si>
  <si>
    <r>
      <rPr>
        <b/>
        <sz val="9"/>
        <color indexed="10"/>
        <rFont val="Arial"/>
        <family val="2"/>
      </rPr>
      <t>64/</t>
    </r>
    <r>
      <rPr>
        <b/>
        <sz val="9"/>
        <rFont val="Arial"/>
        <family val="2"/>
      </rPr>
      <t xml:space="preserve"> </t>
    </r>
    <r>
      <rPr>
        <sz val="9"/>
        <rFont val="Arial"/>
        <family val="2"/>
      </rPr>
      <t>En el marco de lo dispuesto en el numeral 4,3 del artículo 4 de la Ley 30695, se reasignó un monto S/ 990,0 milloes (equivalente a USD 300,0 millones) del Destino "Apoyo a la Balnza de Pagos" del PAC interno, hacia el Destino "Apoyo a la Balanza de Pagos" del PAC Externo.</t>
    </r>
  </si>
  <si>
    <r>
      <t xml:space="preserve">         Ley Nº 30695 </t>
    </r>
    <r>
      <rPr>
        <b/>
        <sz val="8"/>
        <color indexed="10"/>
        <rFont val="Arial"/>
        <family val="2"/>
      </rPr>
      <t>61</t>
    </r>
    <r>
      <rPr>
        <b/>
        <sz val="8"/>
        <color indexed="10"/>
        <rFont val="Arial"/>
        <family val="2"/>
      </rPr>
      <t>/, 63/</t>
    </r>
  </si>
  <si>
    <r>
      <t xml:space="preserve">         Ley Nº 30695 </t>
    </r>
    <r>
      <rPr>
        <b/>
        <sz val="8"/>
        <color indexed="10"/>
        <rFont val="Arial"/>
        <family val="2"/>
      </rPr>
      <t>6</t>
    </r>
    <r>
      <rPr>
        <b/>
        <sz val="8"/>
        <color indexed="10"/>
        <rFont val="Arial"/>
        <family val="2"/>
      </rPr>
      <t>1/, 63/</t>
    </r>
  </si>
  <si>
    <r>
      <t xml:space="preserve">         Ley Nº 30695</t>
    </r>
    <r>
      <rPr>
        <b/>
        <sz val="9"/>
        <rFont val="Arial"/>
        <family val="2"/>
      </rPr>
      <t xml:space="preserve"> </t>
    </r>
    <r>
      <rPr>
        <b/>
        <sz val="8"/>
        <color indexed="10"/>
        <rFont val="Arial"/>
        <family val="2"/>
      </rPr>
      <t>6</t>
    </r>
    <r>
      <rPr>
        <b/>
        <sz val="8"/>
        <color indexed="10"/>
        <rFont val="Arial"/>
        <family val="2"/>
      </rPr>
      <t xml:space="preserve">1/, </t>
    </r>
    <r>
      <rPr>
        <b/>
        <sz val="8"/>
        <color indexed="10"/>
        <rFont val="Arial"/>
        <family val="2"/>
      </rPr>
      <t>6</t>
    </r>
    <r>
      <rPr>
        <b/>
        <sz val="8"/>
        <color indexed="10"/>
        <rFont val="Arial"/>
        <family val="2"/>
      </rPr>
      <t>2/, 64/</t>
    </r>
  </si>
  <si>
    <t xml:space="preserve">Garantía del Gobierno Nacional emisiones Bonos de Reconocimiento y Complementarios de la ONP en el año 2018 </t>
  </si>
  <si>
    <r>
      <rPr>
        <b/>
        <sz val="9"/>
        <color rgb="FFFF0000"/>
        <rFont val="Arial"/>
        <family val="2"/>
      </rPr>
      <t>65/</t>
    </r>
    <r>
      <rPr>
        <sz val="9"/>
        <rFont val="Arial"/>
        <family val="2"/>
      </rPr>
      <t xml:space="preserve"> La cancelación es de 7 años a partir del primer desembolso, que incluye 3 años de periodo de gracia, mediante cuota semestrales consecutivas y en lo posible iguales.</t>
    </r>
  </si>
  <si>
    <t>Adquisición de inmueble</t>
  </si>
  <si>
    <t>Compens. Econ. captura de Montesinos</t>
  </si>
  <si>
    <t>Bonos de Reconocimiento y Complementario" de la ONP</t>
  </si>
  <si>
    <t>Núcleo Básico de Defensa - Segundo Tramo</t>
  </si>
  <si>
    <t>Financiamiento de las expropiaciones e interferencias del Proyecto Construcción de la Línea 2 y Ramal Av. Faucett-Gambeta de la Red Básica del Metro de Lima y Callao, Provincias de Lima y Callao, Departamento de Lima</t>
  </si>
  <si>
    <t>Proyectos M. Provincial de Grau</t>
  </si>
  <si>
    <t xml:space="preserve">Financiamiento proyectos de inversión pública a cargo de los G. Regionales, G. Locales, en los Sectores salud, saneamiento, vivienda y construcción, educación y transporte. </t>
  </si>
  <si>
    <t>Programa para la Mejora de la Calidad y Pertinencia de los Servicios de Educación Superior Universitaria y Tecnológica a Nivel Nacional</t>
  </si>
  <si>
    <t>Amortizac.</t>
  </si>
  <si>
    <t>Monto en 
S/</t>
  </si>
  <si>
    <t>Monto en 
US$</t>
  </si>
  <si>
    <t>Período 
Gracia</t>
  </si>
  <si>
    <t>Tasa de 
Interés</t>
  </si>
  <si>
    <t>Unidad Ejecutora 
/ Emisor</t>
  </si>
  <si>
    <t>Fecha de 
Publicación</t>
  </si>
  <si>
    <t>Dispositivo 
Legal</t>
  </si>
  <si>
    <t>Doce proyectos de inversión a cargo del Sector Defensa.</t>
  </si>
  <si>
    <t>TEA 5,06%</t>
  </si>
  <si>
    <t>Garantía del Gobierno Nacional emisiones Bonos de Reconocimiento y Complementarios de la ONP en el año 2019.</t>
  </si>
  <si>
    <t>MTC/(GGRR,GGLL)La República</t>
  </si>
  <si>
    <t>MVCS (GGRR,GGLL)/La República</t>
  </si>
  <si>
    <t>GGRR-GGLL/La República</t>
  </si>
  <si>
    <t>D.S. Nº 188-2019-EF</t>
  </si>
  <si>
    <t xml:space="preserve">DS. Nº 091-2019-EF  </t>
  </si>
  <si>
    <r>
      <t xml:space="preserve">Ley Nº 30881 </t>
    </r>
    <r>
      <rPr>
        <b/>
        <sz val="9"/>
        <color rgb="FFFF0000"/>
        <rFont val="Arial"/>
        <family val="2"/>
      </rPr>
      <t>66</t>
    </r>
    <r>
      <rPr>
        <b/>
        <sz val="8"/>
        <color rgb="FFFF0000"/>
        <rFont val="Arial"/>
        <family val="2"/>
      </rPr>
      <t xml:space="preserve">/ </t>
    </r>
  </si>
  <si>
    <t>67/</t>
  </si>
  <si>
    <t>68/</t>
  </si>
  <si>
    <r>
      <rPr>
        <b/>
        <sz val="9"/>
        <color indexed="10"/>
        <rFont val="Arial"/>
        <family val="2"/>
      </rPr>
      <t>66/</t>
    </r>
    <r>
      <rPr>
        <b/>
        <sz val="9"/>
        <rFont val="Arial"/>
        <family val="2"/>
      </rPr>
      <t xml:space="preserve"> </t>
    </r>
    <r>
      <rPr>
        <sz val="9"/>
        <rFont val="Arial"/>
        <family val="2"/>
      </rPr>
      <t>Emisión autorizada, en uno o más tramos,  por el artpiculo 6 de la Ley Nº 30881. La citada emisión interna de bonos se sujeta a lo dispuesto en el Reglamento del Programa de Creadores de Mercado y en el Reglamento de Bonos Soberanos, vigentes.</t>
    </r>
  </si>
  <si>
    <r>
      <rPr>
        <b/>
        <sz val="9"/>
        <color indexed="10"/>
        <rFont val="Arial"/>
        <family val="2"/>
      </rPr>
      <t>67/</t>
    </r>
    <r>
      <rPr>
        <sz val="9"/>
        <rFont val="Arial"/>
        <family val="2"/>
      </rPr>
      <t xml:space="preserve"> Tasa de interés nominal anual fijada en la fecha de emisión.</t>
    </r>
  </si>
  <si>
    <r>
      <rPr>
        <b/>
        <sz val="9"/>
        <color indexed="10"/>
        <rFont val="Arial"/>
        <family val="2"/>
      </rPr>
      <t>68/</t>
    </r>
    <r>
      <rPr>
        <b/>
        <sz val="9"/>
        <rFont val="Arial"/>
        <family val="2"/>
      </rPr>
      <t xml:space="preserve"> </t>
    </r>
    <r>
      <rPr>
        <sz val="9"/>
        <rFont val="Arial"/>
        <family val="2"/>
      </rPr>
      <t xml:space="preserve">Se amortizará de acuerdo a las características de la  serie emitida. </t>
    </r>
  </si>
  <si>
    <t xml:space="preserve">         D.S. N° 277 - 2020 - EF </t>
  </si>
  <si>
    <r>
      <rPr>
        <b/>
        <sz val="9"/>
        <rFont val="Arial"/>
        <family val="2"/>
      </rPr>
      <t>Apruebase emisión de Bonos Soberanos</t>
    </r>
    <r>
      <rPr>
        <sz val="9"/>
        <rFont val="Arial"/>
        <family val="2"/>
      </rPr>
      <t>, a ser efectuada en uno o varios tramos, destinada a financiar una cartera de 49 PIP y 67 estudios de preinversión o fichas técnicas, cuya ejecución está a cargo de la MP de Antabamba, MD de Santa María de Chicmo, MP de Cotabambas, MD de Cotabambas, Challhuahuacho, Coyllurqui, Haquira, Mamara, Micaela Bastidas, San Juan de Chacña, Cotaruse y Sañayca.</t>
    </r>
  </si>
  <si>
    <t>Apruébase operación de endeudamiento interno, entre el MEF y el Banco de la Nación, destinada a financiar parcialmente once (11) proyectos de inversión a cargo del Ministerio de Defensa.</t>
  </si>
  <si>
    <r>
      <t xml:space="preserve">Apruébase la operación de endeudamiento interno, a través de la </t>
    </r>
    <r>
      <rPr>
        <b/>
        <sz val="9"/>
        <rFont val="Arial"/>
        <family val="2"/>
      </rPr>
      <t>emisión de Bonos Soberanos</t>
    </r>
    <r>
      <rPr>
        <sz val="9"/>
        <rFont val="Arial"/>
        <family val="2"/>
      </rPr>
      <t>, a ser efectuada en uno o varios tramos, destinada a financiar una cartera de ocho (8) proyectos de inversión, cuya ejecución está a cargo de la MDistrital de Anco Huallo, la MD de Tintay, la MD de El Porvenir, la MD de San Jerónimo y la MD de Talavera.</t>
    </r>
  </si>
  <si>
    <r>
      <t xml:space="preserve">Apruébase la operación de endeudamiento interno, a través de la </t>
    </r>
    <r>
      <rPr>
        <b/>
        <sz val="9"/>
        <rFont val="Arial"/>
        <family val="2"/>
      </rPr>
      <t>emisión de Bonos Soberanos,</t>
    </r>
    <r>
      <rPr>
        <sz val="9"/>
        <rFont val="Arial"/>
        <family val="2"/>
      </rPr>
      <t xml:space="preserve"> a ser efectuada en uno o varios tramos, destinada a financiar una cartera de seis (6) proyectos de inversión y dos (2) estudios de preinversión o fichas técnicas, cuya ejecución está a cargo de la MP de Páucar del Sara Sara, MD de Oyolo, MD de Huaccana y la MD de Lambrama.</t>
    </r>
  </si>
  <si>
    <r>
      <t>Apruébase la operación de endeudamiento interno, a través de la</t>
    </r>
    <r>
      <rPr>
        <b/>
        <sz val="9"/>
        <rFont val="Arial"/>
        <family val="2"/>
      </rPr>
      <t xml:space="preserve"> emisión de Bonos Soberanos</t>
    </r>
    <r>
      <rPr>
        <sz val="9"/>
        <rFont val="Arial"/>
        <family val="2"/>
      </rPr>
      <t>, a ser efectuada en uno o varios tramos, destinada a financiar una cartera de veinticuatro (24) proyectos de inversión y cinco (5) estudios de preinversión o fichas técnicas, cuya ejecución está a cargo del GR de Apurímac, MD de Curahuasi, MD de Huaquirca, MD de Juan Espinoza Medrano, MD de Huancarama, MD de Cotabambas, MD de Mara, MD de Curpahuasi, MD de San Javier de Alpabamba, MD de Marcabamba, MD de Lucanas, MD de Tumay Huaraca, MD Oropesa y la MP de Parinacochas.</t>
    </r>
  </si>
  <si>
    <t>Garantía del GN a los Bonos de Reconocimiento - BR, BR Complementarios, Bonos Complemetarios de Pensión Minima y Bonos Complementarios de Jubilación Adelantada que se emitiran durante el AF 2020.</t>
  </si>
  <si>
    <t>5 años 7 eses</t>
  </si>
  <si>
    <r>
      <t xml:space="preserve">D. S. N° 083-2021-EF     </t>
    </r>
    <r>
      <rPr>
        <b/>
        <sz val="9"/>
        <color theme="1"/>
        <rFont val="Arial"/>
        <family val="2"/>
      </rPr>
      <t xml:space="preserve"> </t>
    </r>
  </si>
  <si>
    <t>Moneda</t>
  </si>
  <si>
    <t>Monto Original</t>
  </si>
  <si>
    <t>Monto Expresado Soles</t>
  </si>
  <si>
    <t>USD</t>
  </si>
  <si>
    <t>Apoyo Balanza de Pagos 2020</t>
  </si>
  <si>
    <t>Apoyo Balanza de Pagos 2021</t>
  </si>
  <si>
    <t xml:space="preserve">    la estructura de repago aprobada) más un spread de 40 pbs.</t>
  </si>
  <si>
    <r>
      <t xml:space="preserve">D.U. N° 016-2019    </t>
    </r>
    <r>
      <rPr>
        <b/>
        <sz val="9"/>
        <color rgb="FFFF0000"/>
        <rFont val="Arial"/>
        <family val="2"/>
      </rPr>
      <t>69</t>
    </r>
    <r>
      <rPr>
        <b/>
        <sz val="8"/>
        <color rgb="FFFF0000"/>
        <rFont val="Arial"/>
        <family val="2"/>
      </rPr>
      <t>/</t>
    </r>
  </si>
  <si>
    <t>70/</t>
  </si>
  <si>
    <t>71/</t>
  </si>
  <si>
    <r>
      <t xml:space="preserve">         D.U. N° 016-2019     </t>
    </r>
    <r>
      <rPr>
        <sz val="9"/>
        <color rgb="FFFF0000"/>
        <rFont val="Arial"/>
        <family val="2"/>
      </rPr>
      <t>69</t>
    </r>
    <r>
      <rPr>
        <b/>
        <sz val="8"/>
        <color rgb="FFFF0000"/>
        <rFont val="Arial"/>
        <family val="2"/>
      </rPr>
      <t>/</t>
    </r>
    <r>
      <rPr>
        <sz val="9"/>
        <color rgb="FFFF0000"/>
        <rFont val="Arial"/>
        <family val="2"/>
      </rPr>
      <t xml:space="preserve">   </t>
    </r>
    <r>
      <rPr>
        <b/>
        <sz val="9"/>
        <color rgb="FFFF0000"/>
        <rFont val="Arial"/>
        <family val="2"/>
      </rPr>
      <t xml:space="preserve"> 72/</t>
    </r>
  </si>
  <si>
    <t>73/</t>
  </si>
  <si>
    <t>74/</t>
  </si>
  <si>
    <r>
      <t xml:space="preserve">D. S. N° 079-2021-EF  </t>
    </r>
    <r>
      <rPr>
        <b/>
        <sz val="9"/>
        <color theme="1"/>
        <rFont val="Arial"/>
        <family val="2"/>
      </rPr>
      <t>75/</t>
    </r>
  </si>
  <si>
    <r>
      <t xml:space="preserve">D. S. N° 097-2021-EF     </t>
    </r>
    <r>
      <rPr>
        <b/>
        <sz val="9"/>
        <color theme="1"/>
        <rFont val="Arial"/>
        <family val="2"/>
      </rPr>
      <t>75/</t>
    </r>
  </si>
  <si>
    <r>
      <t xml:space="preserve">D. S. N° 098-2021-EF     </t>
    </r>
    <r>
      <rPr>
        <b/>
        <sz val="9"/>
        <color theme="1"/>
        <rFont val="Arial"/>
        <family val="2"/>
      </rPr>
      <t>75/</t>
    </r>
  </si>
  <si>
    <r>
      <t xml:space="preserve">D. S. N° 123-2021-EF      </t>
    </r>
    <r>
      <rPr>
        <b/>
        <sz val="9"/>
        <color theme="1"/>
        <rFont val="Arial"/>
        <family val="2"/>
      </rPr>
      <t>75/</t>
    </r>
  </si>
  <si>
    <t>76/</t>
  </si>
  <si>
    <r>
      <rPr>
        <b/>
        <sz val="9"/>
        <color indexed="10"/>
        <rFont val="Arial"/>
        <family val="2"/>
      </rPr>
      <t>69/</t>
    </r>
    <r>
      <rPr>
        <b/>
        <sz val="9"/>
        <rFont val="Arial"/>
        <family val="2"/>
      </rPr>
      <t xml:space="preserve"> </t>
    </r>
    <r>
      <rPr>
        <sz val="9"/>
        <rFont val="Arial"/>
        <family val="2"/>
      </rPr>
      <t>Emisión autorizada, en uno o más tramos,  por el numeral 6.1 del articulo 6 del. D.U. N° 016-2019. La citada emisión interna de bonos se sujeta a lo dispuesto en el Reglamento del Programa de Creadores de Mercado y en el Reglamento de Bonos Soberanos, vigentes.</t>
    </r>
  </si>
  <si>
    <r>
      <rPr>
        <b/>
        <sz val="9"/>
        <color indexed="10"/>
        <rFont val="Arial"/>
        <family val="2"/>
      </rPr>
      <t>70/</t>
    </r>
    <r>
      <rPr>
        <sz val="9"/>
        <rFont val="Arial"/>
        <family val="2"/>
      </rPr>
      <t xml:space="preserve"> Tasa de interés nominal anual fijada en la fecha de emisión.</t>
    </r>
  </si>
  <si>
    <r>
      <rPr>
        <b/>
        <sz val="9"/>
        <color indexed="10"/>
        <rFont val="Arial"/>
        <family val="2"/>
      </rPr>
      <t>71/</t>
    </r>
    <r>
      <rPr>
        <b/>
        <sz val="9"/>
        <rFont val="Arial"/>
        <family val="2"/>
      </rPr>
      <t xml:space="preserve"> </t>
    </r>
    <r>
      <rPr>
        <sz val="9"/>
        <rFont val="Arial"/>
        <family val="2"/>
      </rPr>
      <t xml:space="preserve">Se amortizará de acuerdo a las características de la  serie emitida. </t>
    </r>
  </si>
  <si>
    <r>
      <rPr>
        <b/>
        <sz val="9"/>
        <color indexed="10"/>
        <rFont val="Arial"/>
        <family val="2"/>
      </rPr>
      <t>72/</t>
    </r>
    <r>
      <rPr>
        <b/>
        <sz val="9"/>
        <rFont val="Arial"/>
        <family val="2"/>
      </rPr>
      <t xml:space="preserve"> RM N° 136-2020-EF/52, Fecha promulgación: 15-04-2020. E</t>
    </r>
    <r>
      <rPr>
        <sz val="9"/>
        <rFont val="Arial"/>
        <family val="2"/>
      </rPr>
      <t xml:space="preserve">l numeral 6.1 del artículo 6 del DU N° 016-2019, aprueba la emisión interna de bonos que, en una o más colocaciones, puede efectuar el GN hasta por la suma de S/ 11 813 381 802,00, que forman parte del monto de las operaciones de endeudamiento a que se refieren los incisos 1 y 2 del numeral 3.2 del artículo 3 del citado DU;
</t>
    </r>
    <r>
      <rPr>
        <b/>
        <sz val="9"/>
        <color theme="1"/>
        <rFont val="Arial"/>
        <family val="2"/>
      </rPr>
      <t xml:space="preserve">Reasignación a Operación de Endeudamiento Externo: </t>
    </r>
    <r>
      <rPr>
        <b/>
        <sz val="9"/>
        <color rgb="FF0070C0"/>
        <rFont val="Arial"/>
        <family val="2"/>
      </rPr>
      <t>El numeral 6.2 del mismo artículo 6, dispone que en caso que los montos de endeudamiento previstos en los incisos 1 y 2 del numeral 3.2 del artículo 3 se reasignen a operaciones de endeudamiento externo, se aprueba la emisión externa de bonos que, en una o más colocaciones, puede efectuar el GN hasta por el monto resultante de la recomposición de los montos de endeudamiento previstos en el citado artículo 3;</t>
    </r>
    <r>
      <rPr>
        <sz val="9"/>
        <rFont val="Arial"/>
        <family val="2"/>
      </rPr>
      <t xml:space="preserve">
Conforme al numeral 3.3 del artículo 3 del acotado DU, el MEF, a través de la DGTP, está autorizado para efectuar reasignaciones entre los montos de endeudamiento previstos en el inciso 1 del numeral 3.1 y en el inciso 1 del numeral 3.2; así como reasignaciones entre los montos previstos en el inciso 2 del numeral 3.1 y en el inciso 2 del numeral 3.2, incluido el monto no colocado de la emisión aprobada en el numeral 6.1 del artículo 6 antes aludido, sin exceder la suma total del monto máximo de endeudamiento establecido por el DU</t>
    </r>
  </si>
  <si>
    <t>73/  Tasa de interés nominal anual fijada en la fecha de emisión.</t>
  </si>
  <si>
    <r>
      <t>74</t>
    </r>
    <r>
      <rPr>
        <sz val="9"/>
        <color theme="1"/>
        <rFont val="Arial"/>
        <family val="2"/>
      </rPr>
      <t xml:space="preserve">/  Se amortizará de acuerdo a las características del Bono emitido. </t>
    </r>
  </si>
  <si>
    <r>
      <rPr>
        <b/>
        <sz val="9"/>
        <rFont val="Arial"/>
        <family val="2"/>
      </rPr>
      <t>75</t>
    </r>
    <r>
      <rPr>
        <sz val="9"/>
        <rFont val="Arial"/>
        <family val="2"/>
      </rPr>
      <t>/  El MEF, a través DGTP, traspasa a las Municipalidades del Presente Decreto Supremo los recursos de la operación de endeudamiento interno que se aprueba, mediante un Convenio de Traspaso de Recursos, a ser suscrito por las entidades, el mismo que es aprobado mediante Resolución Ministerial.</t>
    </r>
  </si>
  <si>
    <r>
      <t>76</t>
    </r>
    <r>
      <rPr>
        <sz val="9"/>
        <rFont val="Arial"/>
        <family val="2"/>
      </rPr>
      <t>/ Por cada desembolso se fijará una tasa de interés, para lo cual se considerará la vida media como variable para su determinación. La tasa de interés del financiamiento estará compuesta por el rendimiento promedio ponderado de los bonos soberanos obtenido por interpolación, publicado el día anterior a la fecha del desembolso, equivalente a la vida media (según</t>
    </r>
  </si>
  <si>
    <t>BANACION</t>
  </si>
  <si>
    <t>DIRECCION GENERAL DEL TESORO PÚBLICO</t>
  </si>
  <si>
    <t>CONCERTACIONES INTERNAS   -     GOBIERNO CENTRAL  - 1990 - 2022</t>
  </si>
  <si>
    <t xml:space="preserve">   D. S. N° 179-2021-EF     </t>
  </si>
  <si>
    <t xml:space="preserve">   D. S. N° 238-2021-EF     </t>
  </si>
  <si>
    <t>19/05/201</t>
  </si>
  <si>
    <t>BONISTAS</t>
  </si>
  <si>
    <t>Garantia</t>
  </si>
  <si>
    <t>Emisión Interna de Bonos en una o mas colocaciones destinados a sectores economicos y sociales.</t>
  </si>
  <si>
    <t>Emisión Interna de Bonos en una o mas colocaciones destinados a apoyo a la balanza.</t>
  </si>
  <si>
    <t>Otórgase garantía del GN a los Bonos de Reconocimiento, Bonos de Reconocimiento Complementarios, Bonos Complementarios de Pensión Mínima y Bonos Complementarios de Jubilación Adelantada del Decreto Ley N° 19990, Ley del Sistema Nacional de Pensiones de la Seguridad Social, que se emitan durante el Año Fiscal 2021.</t>
  </si>
  <si>
    <t>Apruébase el otorgamiento de la Garantía del Gobierno Nacional, para cubrir la cartera de créditos de las empresas del Sistema Financiero que cumplan con las condiciones y requisitos para acceder al Programa de Garantía del Gobierno Nacional a las Empresas del Sistema Financiero aprobado mediante la R. M. Nº 178-2020-EF/15.</t>
  </si>
  <si>
    <t>Apruébase el otorgamiento de la Garantía del Gobierno Nacional, para cubrir la cartera de créditos destinados para capital de trabajo que cumplan con las condiciones y requisitos para acceder al Programa de Apoyo Empresarial a las micro y pequeñas empresas (PAE-MYPE) y que están establecidos en su Reglamento Operativo, aprobado mediante la Resolución Ministerial N° 101-2021-EF/15.</t>
  </si>
  <si>
    <t>Apruébese la emisión interna de bonos, en una o más colocaciones, por la suma de S/ 742 457 000, con cargo a la autorización para la emisión de bonos hasta por S/ 1 147 300 000,00, a que se refiere el segundo párrafo del numeral 3.1 del artículo 3 del Decreto de Urgencia N° 051-2020, incorporado por la Única Disposición Complementaria Modificatoria del Decreto de Urgencia N° 137-2020.</t>
  </si>
  <si>
    <t>Apruébese la operación de endeudamiento mediante la emisión interna de bonos, que en uno o varios tramos pueda efectuar el Gobierno Nacional hasta por S/ 1 679 000 000,00 para el financiamiento del Programa de Fortalecimiento Patrimonial de las Instituciones Especializadas en Microfinanzas aprobado mediante DU Nº 037-2021.</t>
  </si>
  <si>
    <t xml:space="preserve">   Ley N° 31086   </t>
  </si>
  <si>
    <t xml:space="preserve">   Ley N° 31086</t>
  </si>
  <si>
    <t xml:space="preserve">   D. S. N° 057-2021-EF      </t>
  </si>
  <si>
    <t xml:space="preserve">   D. S. N° 063-2021-EF    </t>
  </si>
  <si>
    <t xml:space="preserve">   D. S. N° 115-2021-EF    </t>
  </si>
  <si>
    <t>Garantias</t>
  </si>
  <si>
    <t>77/  Tasa de interés nominal anual fijada en la fecha de emisión.</t>
  </si>
  <si>
    <t xml:space="preserve">78/  Se amortizará de acuerdo a las características del Bono emitido. </t>
  </si>
  <si>
    <t>77/</t>
  </si>
  <si>
    <t>78/</t>
  </si>
  <si>
    <t>D.S. Nª 050-2022-EF</t>
  </si>
  <si>
    <t xml:space="preserve">D.S. Nª 069-2022-EF </t>
  </si>
  <si>
    <t>Bonistas ONP</t>
  </si>
  <si>
    <t>Garantía del Gobierno Nacional a los Bonos de Reconocimiento, Bonos de Reconocimiento Complementarios, Bonos Complementarios de Pensión
Mínima y Bonos Complementarios de Jubilación Adelantada durante el 2022.</t>
  </si>
  <si>
    <t xml:space="preserve">Ley Nª 31367  </t>
  </si>
  <si>
    <t>Destinada a financiar parcialmente la Etapa 1 - Frente 2 del Proyecto de Inversión “Ampliación y Mejoramiento de los Sistemas de Agua Potable y Alcantarillado de los Sectores 311 - 313 - 330 - 310 - 312- 314 - 300 - 307 - 319 - 324 y 301 - Nueva Rinconada - Distritos de SJM, VMT y VS”</t>
  </si>
  <si>
    <t xml:space="preserve">Financiar Proyectos de Inversion a diferentes sectores economicos y sociales   </t>
  </si>
  <si>
    <t xml:space="preserve">Financiar el servicio de Apoyo a la Balanza de Pagos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</si>
</sst>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dd\-mmm\-yy_)"/>
    <numFmt numFmtId="165" formatCode="#,##0.0"/>
    <numFmt numFmtId="166" formatCode="dd\-mm\-yy"/>
    <numFmt numFmtId="167" formatCode="0.0000%"/>
    <numFmt numFmtId="168" formatCode="0.0000"/>
    <numFmt numFmtId="169" formatCode="0.0%"/>
    <numFmt numFmtId="170" formatCode="d\-mmm\-yyyy"/>
  </numFmts>
  <fonts count="45" x14ac:knownFonts="1">
    <font>
      <sz val="10"/>
      <name val="Arial"/>
    </font>
    <font>
      <sz val="11"/>
      <color theme="1"/>
      <name val="Calibri"/>
      <family val="2"/>
      <scheme val="minor"/>
    </font>
    <font>
      <sz val="10"/>
      <name val="Arial"/>
      <family val="2"/>
    </font>
    <font>
      <b/>
      <sz val="12"/>
      <name val="Helv"/>
    </font>
    <font>
      <b/>
      <sz val="14"/>
      <name val="Helv"/>
    </font>
    <font>
      <b/>
      <sz val="10"/>
      <name val="Arial"/>
      <family val="2"/>
    </font>
    <font>
      <b/>
      <sz val="14"/>
      <name val="Arial"/>
      <family val="2"/>
    </font>
    <font>
      <b/>
      <u/>
      <sz val="12"/>
      <color indexed="12"/>
      <name val="Arial"/>
      <family val="2"/>
    </font>
    <font>
      <sz val="10"/>
      <name val="Arial"/>
      <family val="2"/>
    </font>
    <font>
      <b/>
      <sz val="16"/>
      <name val="Helv"/>
    </font>
    <font>
      <b/>
      <sz val="12"/>
      <name val="Arial"/>
      <family val="2"/>
    </font>
    <font>
      <b/>
      <u/>
      <sz val="9"/>
      <color indexed="16"/>
      <name val="Arial"/>
      <family val="2"/>
    </font>
    <font>
      <sz val="9"/>
      <color indexed="16"/>
      <name val="Arial"/>
      <family val="2"/>
    </font>
    <font>
      <b/>
      <u/>
      <sz val="10"/>
      <color indexed="16"/>
      <name val="Arial"/>
      <family val="2"/>
    </font>
    <font>
      <sz val="12"/>
      <name val="Arial"/>
      <family val="2"/>
    </font>
    <font>
      <b/>
      <sz val="9"/>
      <name val="Arial"/>
      <family val="2"/>
    </font>
    <font>
      <b/>
      <sz val="10"/>
      <color indexed="10"/>
      <name val="Arial"/>
      <family val="2"/>
    </font>
    <font>
      <sz val="9"/>
      <name val="Arial"/>
      <family val="2"/>
    </font>
    <font>
      <b/>
      <sz val="9"/>
      <color indexed="10"/>
      <name val="Arial"/>
      <family val="2"/>
    </font>
    <font>
      <u/>
      <sz val="10"/>
      <name val="Arial"/>
      <family val="2"/>
    </font>
    <font>
      <sz val="10"/>
      <color indexed="8"/>
      <name val="Arial"/>
      <family val="2"/>
    </font>
    <font>
      <b/>
      <u/>
      <sz val="10"/>
      <color indexed="10"/>
      <name val="Arial"/>
      <family val="2"/>
    </font>
    <font>
      <b/>
      <u/>
      <sz val="9"/>
      <color indexed="10"/>
      <name val="Arial"/>
      <family val="2"/>
    </font>
    <font>
      <b/>
      <sz val="8"/>
      <color indexed="10"/>
      <name val="Arial"/>
      <family val="2"/>
    </font>
    <font>
      <sz val="9"/>
      <name val="Arial"/>
      <family val="2"/>
    </font>
    <font>
      <sz val="10"/>
      <color indexed="10"/>
      <name val="Arial"/>
      <family val="2"/>
    </font>
    <font>
      <sz val="9"/>
      <color indexed="10"/>
      <name val="Arial"/>
      <family val="2"/>
    </font>
    <font>
      <sz val="9"/>
      <color indexed="8"/>
      <name val="Arial"/>
      <family val="2"/>
    </font>
    <font>
      <b/>
      <sz val="8"/>
      <name val="Arial"/>
      <family val="2"/>
    </font>
    <font>
      <b/>
      <sz val="9"/>
      <color rgb="FFFF0000"/>
      <name val="Arial"/>
      <family val="2"/>
    </font>
    <font>
      <sz val="9"/>
      <color rgb="FFFF0000"/>
      <name val="Arial"/>
      <family val="2"/>
    </font>
    <font>
      <b/>
      <sz val="10"/>
      <color rgb="FFFF0000"/>
      <name val="Arial"/>
      <family val="2"/>
    </font>
    <font>
      <b/>
      <sz val="8"/>
      <color rgb="FFFF0000"/>
      <name val="Arial"/>
      <family val="2"/>
    </font>
    <font>
      <sz val="8"/>
      <name val="Arial"/>
      <family val="2"/>
    </font>
    <font>
      <sz val="9"/>
      <color theme="1"/>
      <name val="Arial"/>
      <family val="2"/>
    </font>
    <font>
      <b/>
      <sz val="9"/>
      <color theme="1"/>
      <name val="Arial"/>
      <family val="2"/>
    </font>
    <font>
      <b/>
      <sz val="10"/>
      <color theme="1"/>
      <name val="Arial"/>
      <family val="2"/>
    </font>
    <font>
      <b/>
      <sz val="9"/>
      <color rgb="FF0070C0"/>
      <name val="Arial"/>
      <family val="2"/>
    </font>
    <font>
      <b/>
      <sz val="11"/>
      <color indexed="48"/>
      <name val="Arial"/>
      <family val="2"/>
    </font>
    <font>
      <sz val="10"/>
      <color theme="1"/>
      <name val="Arial"/>
      <family val="2"/>
    </font>
    <font>
      <sz val="12"/>
      <name val="Times New Roman"/>
      <family val="1"/>
    </font>
    <font>
      <sz val="12"/>
      <name val="Helv"/>
    </font>
    <font>
      <sz val="11"/>
      <name val="Arial"/>
      <family val="2"/>
    </font>
    <font>
      <b/>
      <sz val="11"/>
      <name val="Arial"/>
      <family val="2"/>
    </font>
    <font>
      <sz val="11"/>
      <color indexed="8"/>
      <name val="Calibri"/>
      <family val="2"/>
    </font>
  </fonts>
  <fills count="6">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theme="9" tint="0.79998168889431442"/>
        <bgColor indexed="64"/>
      </patternFill>
    </fill>
    <fill>
      <patternFill patternType="solid">
        <fgColor theme="0"/>
        <bgColor indexed="64"/>
      </patternFill>
    </fill>
  </fills>
  <borders count="27">
    <border>
      <left/>
      <right/>
      <top/>
      <bottom/>
      <diagonal/>
    </border>
    <border>
      <left/>
      <right/>
      <top/>
      <bottom style="double">
        <color indexed="64"/>
      </bottom>
      <diagonal/>
    </border>
    <border>
      <left/>
      <right style="double">
        <color indexed="64"/>
      </right>
      <top style="double">
        <color indexed="64"/>
      </top>
      <bottom/>
      <diagonal/>
    </border>
    <border>
      <left/>
      <right/>
      <top style="double">
        <color indexed="64"/>
      </top>
      <bottom/>
      <diagonal/>
    </border>
    <border>
      <left style="double">
        <color indexed="64"/>
      </left>
      <right style="double">
        <color indexed="64"/>
      </right>
      <top style="double">
        <color indexed="64"/>
      </top>
      <bottom/>
      <diagonal/>
    </border>
    <border>
      <left/>
      <right style="double">
        <color indexed="64"/>
      </right>
      <top/>
      <bottom style="double">
        <color indexed="64"/>
      </bottom>
      <diagonal/>
    </border>
    <border>
      <left style="double">
        <color indexed="64"/>
      </left>
      <right style="double">
        <color indexed="64"/>
      </right>
      <top/>
      <bottom style="double">
        <color indexed="64"/>
      </bottom>
      <diagonal/>
    </border>
    <border>
      <left style="double">
        <color indexed="64"/>
      </left>
      <right/>
      <top/>
      <bottom style="double">
        <color indexed="64"/>
      </bottom>
      <diagonal/>
    </border>
    <border>
      <left style="double">
        <color indexed="64"/>
      </left>
      <right/>
      <top style="double">
        <color indexed="64"/>
      </top>
      <bottom/>
      <diagonal/>
    </border>
    <border>
      <left style="double">
        <color indexed="64"/>
      </left>
      <right style="double">
        <color indexed="64"/>
      </right>
      <top/>
      <bottom/>
      <diagonal/>
    </border>
    <border>
      <left style="double">
        <color indexed="64"/>
      </left>
      <right/>
      <top/>
      <bottom/>
      <diagonal/>
    </border>
    <border>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theme="0" tint="-0.24994659260841701"/>
      </bottom>
      <diagonal/>
    </border>
    <border>
      <left/>
      <right/>
      <top/>
      <bottom style="thin">
        <color theme="0" tint="-0.24994659260841701"/>
      </bottom>
      <diagonal/>
    </border>
    <border>
      <left/>
      <right/>
      <top style="thin">
        <color indexed="64"/>
      </top>
      <bottom/>
      <diagonal/>
    </border>
    <border>
      <left/>
      <right style="thin">
        <color indexed="64"/>
      </right>
      <top style="thin">
        <color indexed="64"/>
      </top>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1" fillId="0" borderId="0"/>
    <xf numFmtId="0" fontId="40" fillId="0" borderId="0"/>
    <xf numFmtId="0" fontId="41" fillId="0" borderId="0"/>
    <xf numFmtId="9" fontId="44" fillId="0" borderId="0" applyFont="0" applyFill="0" applyBorder="0" applyAlignment="0" applyProtection="0"/>
    <xf numFmtId="9" fontId="40" fillId="0" borderId="0" applyFont="0" applyFill="0" applyBorder="0" applyAlignment="0" applyProtection="0"/>
  </cellStyleXfs>
  <cellXfs count="455">
    <xf numFmtId="0" fontId="0" fillId="0" borderId="0" xfId="0"/>
    <xf numFmtId="14" fontId="17" fillId="0" borderId="9" xfId="0" applyNumberFormat="1" applyFont="1" applyBorder="1" applyAlignment="1">
      <alignment horizontal="center" vertical="center"/>
    </xf>
    <xf numFmtId="0" fontId="17" fillId="0" borderId="9" xfId="0" applyFont="1" applyBorder="1" applyAlignment="1">
      <alignment horizontal="center" vertical="center"/>
    </xf>
    <xf numFmtId="14" fontId="17" fillId="0" borderId="6" xfId="0" applyNumberFormat="1" applyFont="1" applyBorder="1" applyAlignment="1">
      <alignment horizontal="center" vertical="center"/>
    </xf>
    <xf numFmtId="0" fontId="17" fillId="0" borderId="6" xfId="0" applyFont="1" applyBorder="1" applyAlignment="1">
      <alignment horizontal="center" vertical="center"/>
    </xf>
    <xf numFmtId="0" fontId="17" fillId="0" borderId="10" xfId="0" applyFont="1" applyBorder="1" applyAlignment="1">
      <alignment horizontal="center" vertical="center"/>
    </xf>
    <xf numFmtId="0" fontId="17" fillId="0" borderId="7" xfId="0" applyFont="1" applyBorder="1" applyAlignment="1">
      <alignment horizontal="center" vertical="center"/>
    </xf>
    <xf numFmtId="0" fontId="2" fillId="0" borderId="10" xfId="0" applyFont="1" applyBorder="1" applyAlignment="1">
      <alignment horizontal="left" vertical="center"/>
    </xf>
    <xf numFmtId="14" fontId="2" fillId="0" borderId="9" xfId="0" applyNumberFormat="1" applyFont="1" applyBorder="1" applyAlignment="1">
      <alignment horizontal="center" vertical="center"/>
    </xf>
    <xf numFmtId="0" fontId="2" fillId="0" borderId="9" xfId="0" applyFont="1" applyBorder="1" applyAlignment="1">
      <alignment horizontal="center" vertical="center"/>
    </xf>
    <xf numFmtId="14" fontId="2" fillId="0" borderId="6" xfId="0" applyNumberFormat="1"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vertical="center"/>
    </xf>
    <xf numFmtId="0" fontId="2" fillId="0" borderId="9" xfId="0" applyFont="1" applyBorder="1" applyAlignment="1">
      <alignment vertical="center"/>
    </xf>
    <xf numFmtId="10" fontId="2" fillId="0" borderId="9" xfId="1" applyNumberFormat="1" applyFont="1" applyBorder="1" applyAlignment="1">
      <alignment horizontal="center" vertical="center"/>
    </xf>
    <xf numFmtId="0" fontId="2" fillId="0" borderId="10" xfId="0" applyFont="1" applyBorder="1" applyAlignment="1">
      <alignment horizontal="center" vertical="center"/>
    </xf>
    <xf numFmtId="0" fontId="17" fillId="0" borderId="10" xfId="0" applyFont="1" applyBorder="1" applyAlignment="1">
      <alignment vertical="center"/>
    </xf>
    <xf numFmtId="14" fontId="17" fillId="0" borderId="0" xfId="0" applyNumberFormat="1" applyFont="1" applyAlignment="1">
      <alignment horizontal="center" vertical="center"/>
    </xf>
    <xf numFmtId="14" fontId="17" fillId="0" borderId="11" xfId="0" applyNumberFormat="1" applyFont="1" applyBorder="1" applyAlignment="1">
      <alignment horizontal="center" vertical="center"/>
    </xf>
    <xf numFmtId="0" fontId="17" fillId="0" borderId="9" xfId="0" applyFont="1" applyBorder="1" applyAlignment="1">
      <alignment vertical="center"/>
    </xf>
    <xf numFmtId="0" fontId="17" fillId="0" borderId="9" xfId="0" applyFont="1" applyBorder="1" applyAlignment="1">
      <alignment horizontal="center" vertical="center" wrapText="1"/>
    </xf>
    <xf numFmtId="14" fontId="17" fillId="0" borderId="5" xfId="0" applyNumberFormat="1" applyFont="1" applyBorder="1" applyAlignment="1">
      <alignment horizontal="center" vertical="center"/>
    </xf>
    <xf numFmtId="0" fontId="17" fillId="0" borderId="6" xfId="0" applyFont="1" applyBorder="1" applyAlignment="1">
      <alignment vertical="center"/>
    </xf>
    <xf numFmtId="0" fontId="3" fillId="0" borderId="0" xfId="0" applyFont="1" applyAlignment="1">
      <alignment vertical="center"/>
    </xf>
    <xf numFmtId="166" fontId="4" fillId="0" borderId="0" xfId="0" applyNumberFormat="1" applyFont="1" applyAlignment="1">
      <alignment horizontal="center" vertical="center"/>
    </xf>
    <xf numFmtId="0" fontId="6" fillId="0" borderId="0" xfId="0" applyFont="1" applyAlignment="1">
      <alignment horizontal="centerContinuous" vertical="center"/>
    </xf>
    <xf numFmtId="0" fontId="4" fillId="0" borderId="0" xfId="0" applyFont="1" applyAlignment="1">
      <alignment horizontal="centerContinuous" vertical="center"/>
    </xf>
    <xf numFmtId="0" fontId="0" fillId="0" borderId="0" xfId="0" applyAlignment="1">
      <alignment vertical="center"/>
    </xf>
    <xf numFmtId="0" fontId="0" fillId="0" borderId="0" xfId="0" applyAlignment="1">
      <alignment horizontal="left" vertical="center"/>
    </xf>
    <xf numFmtId="164" fontId="0" fillId="0" borderId="0" xfId="0" applyNumberFormat="1" applyAlignment="1">
      <alignment vertical="center"/>
    </xf>
    <xf numFmtId="10" fontId="0" fillId="0" borderId="0" xfId="0" applyNumberFormat="1" applyAlignment="1">
      <alignment vertical="center"/>
    </xf>
    <xf numFmtId="0" fontId="0" fillId="0" borderId="0" xfId="0" applyAlignment="1">
      <alignment horizontal="center" vertical="center"/>
    </xf>
    <xf numFmtId="3" fontId="0" fillId="0" borderId="0" xfId="0" applyNumberFormat="1" applyAlignment="1">
      <alignment vertical="center"/>
    </xf>
    <xf numFmtId="0" fontId="4" fillId="0" borderId="0" xfId="0" applyFont="1" applyAlignment="1">
      <alignment horizontal="left" vertical="center"/>
    </xf>
    <xf numFmtId="166" fontId="4" fillId="0" borderId="0" xfId="0" applyNumberFormat="1" applyFont="1" applyAlignment="1">
      <alignment vertical="center"/>
    </xf>
    <xf numFmtId="0" fontId="6" fillId="0" borderId="0" xfId="0" applyFont="1" applyAlignment="1">
      <alignment vertical="center"/>
    </xf>
    <xf numFmtId="0" fontId="4" fillId="0" borderId="0" xfId="0" applyFont="1" applyAlignment="1">
      <alignment vertical="center"/>
    </xf>
    <xf numFmtId="0" fontId="9" fillId="0" borderId="0" xfId="0" applyFont="1" applyAlignment="1">
      <alignment horizontal="center" vertical="center"/>
    </xf>
    <xf numFmtId="0" fontId="14" fillId="0" borderId="0" xfId="0" applyFont="1" applyAlignment="1">
      <alignment vertical="center"/>
    </xf>
    <xf numFmtId="0" fontId="3" fillId="0" borderId="0" xfId="0" applyFont="1" applyAlignment="1">
      <alignment horizontal="center" vertical="center"/>
    </xf>
    <xf numFmtId="0" fontId="12" fillId="0" borderId="0" xfId="0" applyFont="1" applyAlignment="1">
      <alignment vertical="center"/>
    </xf>
    <xf numFmtId="3" fontId="7" fillId="2" borderId="3" xfId="0" applyNumberFormat="1" applyFont="1" applyFill="1" applyBorder="1" applyAlignment="1">
      <alignment horizontal="right" vertical="center"/>
    </xf>
    <xf numFmtId="0" fontId="11" fillId="0" borderId="10" xfId="0" applyFont="1" applyBorder="1" applyAlignment="1">
      <alignment horizontal="left" vertical="center"/>
    </xf>
    <xf numFmtId="166" fontId="11" fillId="0" borderId="9" xfId="0" applyNumberFormat="1" applyFont="1" applyBorder="1" applyAlignment="1">
      <alignment horizontal="center" vertical="center"/>
    </xf>
    <xf numFmtId="0" fontId="0" fillId="0" borderId="9" xfId="0" applyBorder="1" applyAlignment="1">
      <alignment vertical="center"/>
    </xf>
    <xf numFmtId="0" fontId="11" fillId="0" borderId="9" xfId="0" applyFont="1" applyBorder="1" applyAlignment="1">
      <alignment vertical="center"/>
    </xf>
    <xf numFmtId="0" fontId="11" fillId="0" borderId="0" xfId="0" applyFont="1" applyAlignment="1">
      <alignment vertical="center"/>
    </xf>
    <xf numFmtId="3" fontId="13" fillId="2" borderId="0" xfId="0" applyNumberFormat="1" applyFont="1" applyFill="1" applyAlignment="1">
      <alignment horizontal="right" vertical="center"/>
    </xf>
    <xf numFmtId="3" fontId="11" fillId="2" borderId="0" xfId="0" applyNumberFormat="1" applyFont="1" applyFill="1" applyAlignment="1">
      <alignment horizontal="right" vertical="center"/>
    </xf>
    <xf numFmtId="0" fontId="0" fillId="0" borderId="10" xfId="0" applyBorder="1" applyAlignment="1">
      <alignment vertical="center"/>
    </xf>
    <xf numFmtId="166" fontId="0" fillId="0" borderId="9" xfId="0" applyNumberFormat="1" applyBorder="1" applyAlignment="1">
      <alignment horizontal="center" vertical="center"/>
    </xf>
    <xf numFmtId="14" fontId="0" fillId="0" borderId="9" xfId="0" applyNumberFormat="1" applyBorder="1" applyAlignment="1">
      <alignment horizontal="center" vertical="center"/>
    </xf>
    <xf numFmtId="3" fontId="0" fillId="2" borderId="0" xfId="0" applyNumberFormat="1" applyFill="1" applyAlignment="1">
      <alignment horizontal="right" vertical="center"/>
    </xf>
    <xf numFmtId="3" fontId="16" fillId="2" borderId="0" xfId="0" quotePrefix="1" applyNumberFormat="1" applyFont="1" applyFill="1" applyAlignment="1">
      <alignment horizontal="right" vertical="center"/>
    </xf>
    <xf numFmtId="0" fontId="8" fillId="0" borderId="9" xfId="0" applyFont="1" applyBorder="1" applyAlignment="1">
      <alignment vertical="center"/>
    </xf>
    <xf numFmtId="10" fontId="8" fillId="0" borderId="9" xfId="0" applyNumberFormat="1" applyFont="1" applyBorder="1" applyAlignment="1">
      <alignment horizontal="center" vertical="center"/>
    </xf>
    <xf numFmtId="0" fontId="8" fillId="0" borderId="9" xfId="0" applyFont="1" applyBorder="1" applyAlignment="1">
      <alignment horizontal="center" vertical="center"/>
    </xf>
    <xf numFmtId="15" fontId="8" fillId="0" borderId="9" xfId="0" applyNumberFormat="1" applyFont="1" applyBorder="1" applyAlignment="1">
      <alignment horizontal="center" vertical="center"/>
    </xf>
    <xf numFmtId="0" fontId="0" fillId="0" borderId="7" xfId="0" applyBorder="1" applyAlignment="1">
      <alignment vertical="center"/>
    </xf>
    <xf numFmtId="166" fontId="0" fillId="0" borderId="6" xfId="0" applyNumberFormat="1" applyBorder="1" applyAlignment="1">
      <alignment horizontal="center" vertical="center"/>
    </xf>
    <xf numFmtId="0" fontId="0" fillId="0" borderId="6" xfId="0" applyBorder="1" applyAlignment="1">
      <alignment vertical="center"/>
    </xf>
    <xf numFmtId="0" fontId="0" fillId="0" borderId="1" xfId="0" applyBorder="1" applyAlignment="1">
      <alignment vertical="center"/>
    </xf>
    <xf numFmtId="10" fontId="8" fillId="0" borderId="6" xfId="0" applyNumberFormat="1" applyFont="1" applyBorder="1" applyAlignment="1">
      <alignment horizontal="center" vertical="center"/>
    </xf>
    <xf numFmtId="0" fontId="8" fillId="0" borderId="6" xfId="0" applyFont="1" applyBorder="1" applyAlignment="1">
      <alignment horizontal="center" vertical="center"/>
    </xf>
    <xf numFmtId="3" fontId="0" fillId="2" borderId="1" xfId="0" applyNumberFormat="1" applyFill="1" applyBorder="1" applyAlignment="1">
      <alignment horizontal="right" vertical="center"/>
    </xf>
    <xf numFmtId="3" fontId="16" fillId="2" borderId="1" xfId="0" quotePrefix="1" applyNumberFormat="1" applyFont="1" applyFill="1" applyBorder="1" applyAlignment="1">
      <alignment horizontal="right" vertical="center"/>
    </xf>
    <xf numFmtId="14" fontId="0" fillId="0" borderId="6" xfId="0" applyNumberFormat="1" applyBorder="1" applyAlignment="1">
      <alignment horizontal="center" vertical="center"/>
    </xf>
    <xf numFmtId="0" fontId="16" fillId="0" borderId="9" xfId="0" quotePrefix="1" applyFont="1" applyBorder="1" applyAlignment="1">
      <alignment horizontal="center" vertical="center"/>
    </xf>
    <xf numFmtId="0" fontId="0" fillId="0" borderId="9" xfId="0" applyBorder="1" applyAlignment="1">
      <alignment horizontal="center" vertical="center"/>
    </xf>
    <xf numFmtId="3" fontId="0" fillId="2" borderId="0" xfId="0" applyNumberFormat="1" applyFill="1" applyAlignment="1">
      <alignment vertical="center"/>
    </xf>
    <xf numFmtId="0" fontId="0" fillId="2" borderId="0" xfId="0" applyFill="1" applyAlignment="1">
      <alignment vertical="center"/>
    </xf>
    <xf numFmtId="0" fontId="16" fillId="0" borderId="6" xfId="0" quotePrefix="1" applyFont="1" applyBorder="1" applyAlignment="1">
      <alignment horizontal="center" vertical="center"/>
    </xf>
    <xf numFmtId="0" fontId="0" fillId="0" borderId="6" xfId="0" applyBorder="1" applyAlignment="1">
      <alignment horizontal="center" vertical="center"/>
    </xf>
    <xf numFmtId="3" fontId="0" fillId="2" borderId="1" xfId="0" applyNumberFormat="1" applyFill="1" applyBorder="1" applyAlignment="1">
      <alignment vertical="center"/>
    </xf>
    <xf numFmtId="0" fontId="0" fillId="2" borderId="1" xfId="0" applyFill="1" applyBorder="1" applyAlignment="1">
      <alignment vertical="center"/>
    </xf>
    <xf numFmtId="0" fontId="7" fillId="0" borderId="0" xfId="0" applyFont="1" applyAlignment="1">
      <alignment vertical="center"/>
    </xf>
    <xf numFmtId="14" fontId="16" fillId="0" borderId="9" xfId="0" quotePrefix="1" applyNumberFormat="1" applyFont="1" applyBorder="1" applyAlignment="1">
      <alignment horizontal="center" vertical="center"/>
    </xf>
    <xf numFmtId="3" fontId="0" fillId="2" borderId="0" xfId="0" quotePrefix="1" applyNumberFormat="1" applyFill="1" applyAlignment="1">
      <alignment horizontal="right" vertical="center"/>
    </xf>
    <xf numFmtId="3" fontId="0" fillId="2" borderId="1" xfId="0" quotePrefix="1" applyNumberFormat="1" applyFill="1" applyBorder="1" applyAlignment="1">
      <alignment horizontal="right" vertical="center"/>
    </xf>
    <xf numFmtId="14" fontId="16" fillId="0" borderId="9" xfId="0" applyNumberFormat="1" applyFont="1" applyBorder="1" applyAlignment="1">
      <alignment horizontal="center" vertical="center"/>
    </xf>
    <xf numFmtId="0" fontId="7" fillId="0" borderId="10" xfId="0" applyFont="1" applyBorder="1" applyAlignment="1">
      <alignment horizontal="center" vertical="center"/>
    </xf>
    <xf numFmtId="166" fontId="7" fillId="0" borderId="9" xfId="0" applyNumberFormat="1" applyFont="1" applyBorder="1" applyAlignment="1">
      <alignment horizontal="center" vertical="center"/>
    </xf>
    <xf numFmtId="3" fontId="7" fillId="2" borderId="0" xfId="0" applyNumberFormat="1" applyFont="1" applyFill="1" applyAlignment="1">
      <alignment horizontal="right" vertical="center"/>
    </xf>
    <xf numFmtId="0" fontId="0" fillId="3" borderId="10" xfId="0" applyFill="1" applyBorder="1" applyAlignment="1">
      <alignment vertical="center"/>
    </xf>
    <xf numFmtId="0" fontId="16" fillId="0" borderId="9" xfId="0" applyFont="1" applyBorder="1" applyAlignment="1">
      <alignment horizontal="center" vertical="center"/>
    </xf>
    <xf numFmtId="3" fontId="0" fillId="2" borderId="10" xfId="0" quotePrefix="1" applyNumberFormat="1" applyFill="1" applyBorder="1" applyAlignment="1">
      <alignment horizontal="right" vertical="center"/>
    </xf>
    <xf numFmtId="3" fontId="0" fillId="2" borderId="10" xfId="0" applyNumberFormat="1" applyFill="1" applyBorder="1" applyAlignment="1">
      <alignment horizontal="right" vertical="center"/>
    </xf>
    <xf numFmtId="0" fontId="11" fillId="0" borderId="10" xfId="0" applyFont="1" applyBorder="1" applyAlignment="1">
      <alignment vertical="center"/>
    </xf>
    <xf numFmtId="3" fontId="13" fillId="2" borderId="10" xfId="0" applyNumberFormat="1" applyFont="1" applyFill="1" applyBorder="1" applyAlignment="1">
      <alignment horizontal="right" vertical="center"/>
    </xf>
    <xf numFmtId="3" fontId="0" fillId="2" borderId="7" xfId="0" quotePrefix="1" applyNumberFormat="1" applyFill="1" applyBorder="1" applyAlignment="1">
      <alignment horizontal="right" vertical="center"/>
    </xf>
    <xf numFmtId="3" fontId="0" fillId="2" borderId="11" xfId="0" applyNumberFormat="1" applyFill="1" applyBorder="1" applyAlignment="1">
      <alignment horizontal="right" vertical="center"/>
    </xf>
    <xf numFmtId="0" fontId="16" fillId="0" borderId="0" xfId="0" applyFont="1" applyAlignment="1">
      <alignment vertical="center"/>
    </xf>
    <xf numFmtId="0" fontId="11" fillId="0" borderId="9" xfId="0" applyFont="1" applyBorder="1" applyAlignment="1">
      <alignment horizontal="left" vertical="center"/>
    </xf>
    <xf numFmtId="166" fontId="0" fillId="0" borderId="0" xfId="0" applyNumberFormat="1" applyAlignment="1">
      <alignment horizontal="center" vertical="center"/>
    </xf>
    <xf numFmtId="0" fontId="0" fillId="0" borderId="0" xfId="0" quotePrefix="1" applyAlignment="1">
      <alignment horizontal="right" vertical="center"/>
    </xf>
    <xf numFmtId="166" fontId="0" fillId="0" borderId="1" xfId="0" applyNumberFormat="1" applyBorder="1" applyAlignment="1">
      <alignment horizontal="center" vertical="center"/>
    </xf>
    <xf numFmtId="10" fontId="16" fillId="0" borderId="6" xfId="0" applyNumberFormat="1" applyFont="1" applyBorder="1" applyAlignment="1">
      <alignment horizontal="center" vertical="center"/>
    </xf>
    <xf numFmtId="168" fontId="0" fillId="0" borderId="0" xfId="0" applyNumberFormat="1" applyAlignment="1">
      <alignment vertical="center"/>
    </xf>
    <xf numFmtId="0" fontId="13" fillId="0" borderId="9" xfId="0" applyFont="1" applyBorder="1" applyAlignment="1">
      <alignment vertical="center"/>
    </xf>
    <xf numFmtId="10" fontId="16" fillId="0" borderId="9" xfId="0" applyNumberFormat="1" applyFont="1" applyBorder="1" applyAlignment="1">
      <alignment horizontal="center" vertical="center"/>
    </xf>
    <xf numFmtId="0" fontId="0" fillId="0" borderId="0" xfId="0" quotePrefix="1" applyAlignment="1">
      <alignment horizontal="center" vertical="center"/>
    </xf>
    <xf numFmtId="0" fontId="0" fillId="0" borderId="9" xfId="0" quotePrefix="1" applyBorder="1" applyAlignment="1">
      <alignment horizontal="center" vertical="center"/>
    </xf>
    <xf numFmtId="14" fontId="0" fillId="0" borderId="0" xfId="0" applyNumberFormat="1" applyAlignment="1">
      <alignment horizontal="center" vertical="center"/>
    </xf>
    <xf numFmtId="166" fontId="0" fillId="0" borderId="11" xfId="0" applyNumberFormat="1" applyBorder="1" applyAlignment="1">
      <alignment horizontal="center" vertical="center"/>
    </xf>
    <xf numFmtId="0" fontId="8" fillId="0" borderId="6" xfId="0" applyFont="1" applyBorder="1" applyAlignment="1">
      <alignment vertical="center"/>
    </xf>
    <xf numFmtId="0" fontId="0" fillId="0" borderId="1" xfId="0" applyBorder="1" applyAlignment="1">
      <alignment horizontal="center" vertical="center"/>
    </xf>
    <xf numFmtId="0" fontId="0" fillId="0" borderId="6" xfId="0" quotePrefix="1" applyBorder="1" applyAlignment="1">
      <alignment horizontal="center" vertical="center"/>
    </xf>
    <xf numFmtId="0" fontId="0" fillId="0" borderId="1" xfId="0" quotePrefix="1" applyBorder="1" applyAlignment="1">
      <alignment horizontal="center" vertical="center"/>
    </xf>
    <xf numFmtId="3" fontId="0" fillId="2" borderId="5" xfId="0" applyNumberFormat="1" applyFill="1" applyBorder="1" applyAlignment="1">
      <alignment horizontal="right" vertical="center"/>
    </xf>
    <xf numFmtId="0" fontId="20" fillId="0" borderId="9" xfId="0" applyFont="1" applyBorder="1" applyAlignment="1">
      <alignment vertical="center"/>
    </xf>
    <xf numFmtId="3" fontId="5" fillId="0" borderId="9" xfId="0" applyNumberFormat="1" applyFont="1" applyBorder="1" applyAlignment="1">
      <alignment horizontal="center" vertical="center"/>
    </xf>
    <xf numFmtId="3" fontId="0" fillId="0" borderId="11" xfId="0" applyNumberFormat="1" applyBorder="1" applyAlignment="1">
      <alignment horizontal="center" vertical="center"/>
    </xf>
    <xf numFmtId="166" fontId="0" fillId="0" borderId="5" xfId="0" applyNumberFormat="1" applyBorder="1" applyAlignment="1">
      <alignment horizontal="center" vertical="center"/>
    </xf>
    <xf numFmtId="14" fontId="0" fillId="0" borderId="1" xfId="0" applyNumberFormat="1" applyBorder="1" applyAlignment="1">
      <alignment horizontal="center" vertical="center"/>
    </xf>
    <xf numFmtId="10" fontId="0" fillId="0" borderId="6" xfId="1" applyNumberFormat="1" applyFont="1" applyBorder="1" applyAlignment="1">
      <alignment horizontal="center" vertical="center"/>
    </xf>
    <xf numFmtId="3" fontId="5" fillId="0" borderId="6" xfId="0" applyNumberFormat="1" applyFont="1" applyBorder="1" applyAlignment="1">
      <alignment horizontal="center" vertical="center"/>
    </xf>
    <xf numFmtId="3" fontId="16" fillId="0" borderId="5" xfId="0" applyNumberFormat="1" applyFont="1" applyBorder="1" applyAlignment="1">
      <alignment horizontal="center" vertical="center"/>
    </xf>
    <xf numFmtId="10" fontId="0" fillId="0" borderId="9" xfId="1" applyNumberFormat="1" applyFont="1" applyBorder="1" applyAlignment="1">
      <alignment horizontal="center" vertical="center"/>
    </xf>
    <xf numFmtId="3" fontId="16" fillId="0" borderId="11" xfId="0" applyNumberFormat="1" applyFont="1" applyBorder="1" applyAlignment="1">
      <alignment horizontal="center" vertical="center"/>
    </xf>
    <xf numFmtId="0" fontId="13" fillId="0" borderId="10" xfId="0" applyFont="1" applyBorder="1" applyAlignment="1">
      <alignment vertical="center"/>
    </xf>
    <xf numFmtId="3" fontId="16" fillId="0" borderId="11" xfId="0" quotePrefix="1" applyNumberFormat="1" applyFont="1" applyBorder="1" applyAlignment="1">
      <alignment horizontal="center" vertical="center"/>
    </xf>
    <xf numFmtId="3" fontId="8" fillId="0" borderId="11" xfId="0" quotePrefix="1" applyNumberFormat="1" applyFont="1" applyBorder="1" applyAlignment="1">
      <alignment horizontal="center" vertical="center"/>
    </xf>
    <xf numFmtId="9" fontId="0" fillId="0" borderId="9" xfId="0" applyNumberFormat="1" applyBorder="1" applyAlignment="1">
      <alignment horizontal="center" vertical="center"/>
    </xf>
    <xf numFmtId="3" fontId="8" fillId="0" borderId="9" xfId="0" applyNumberFormat="1" applyFont="1" applyBorder="1" applyAlignment="1">
      <alignment horizontal="center" vertical="center"/>
    </xf>
    <xf numFmtId="0" fontId="0" fillId="0" borderId="11" xfId="0" applyBorder="1" applyAlignment="1">
      <alignment horizontal="center" vertical="center"/>
    </xf>
    <xf numFmtId="3" fontId="18" fillId="0" borderId="11" xfId="0" quotePrefix="1" applyNumberFormat="1" applyFont="1" applyBorder="1" applyAlignment="1">
      <alignment horizontal="center" vertical="center"/>
    </xf>
    <xf numFmtId="0" fontId="24" fillId="0" borderId="10" xfId="0" applyFont="1" applyBorder="1" applyAlignment="1">
      <alignment vertical="center"/>
    </xf>
    <xf numFmtId="10" fontId="24" fillId="0" borderId="10" xfId="1" applyNumberFormat="1" applyFont="1" applyBorder="1" applyAlignment="1">
      <alignment horizontal="center" vertical="center"/>
    </xf>
    <xf numFmtId="3" fontId="24" fillId="0" borderId="11" xfId="0" applyNumberFormat="1" applyFont="1" applyBorder="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3" fontId="2" fillId="2" borderId="0" xfId="0" applyNumberFormat="1" applyFont="1" applyFill="1" applyAlignment="1">
      <alignment horizontal="right" vertical="center"/>
    </xf>
    <xf numFmtId="3" fontId="31" fillId="0" borderId="11" xfId="0" quotePrefix="1" applyNumberFormat="1" applyFont="1" applyBorder="1" applyAlignment="1">
      <alignment horizontal="center" vertical="center"/>
    </xf>
    <xf numFmtId="3" fontId="2" fillId="2" borderId="10" xfId="0" quotePrefix="1" applyNumberFormat="1" applyFont="1" applyFill="1" applyBorder="1" applyAlignment="1">
      <alignment horizontal="right" vertical="center"/>
    </xf>
    <xf numFmtId="3" fontId="2" fillId="2" borderId="0" xfId="0" quotePrefix="1" applyNumberFormat="1" applyFont="1" applyFill="1" applyAlignment="1">
      <alignment horizontal="right" vertical="center"/>
    </xf>
    <xf numFmtId="3" fontId="2" fillId="0" borderId="11" xfId="0" applyNumberFormat="1" applyFont="1" applyBorder="1" applyAlignment="1">
      <alignment horizontal="center" vertical="center"/>
    </xf>
    <xf numFmtId="10" fontId="2" fillId="0" borderId="9" xfId="1" quotePrefix="1" applyNumberFormat="1" applyFont="1" applyFill="1" applyBorder="1" applyAlignment="1">
      <alignment horizontal="center" vertical="center"/>
    </xf>
    <xf numFmtId="3" fontId="2" fillId="0" borderId="9" xfId="0" applyNumberFormat="1" applyFont="1" applyBorder="1" applyAlignment="1">
      <alignment horizontal="center" vertical="center"/>
    </xf>
    <xf numFmtId="3" fontId="5" fillId="0" borderId="11" xfId="0" quotePrefix="1" applyNumberFormat="1" applyFont="1" applyBorder="1" applyAlignment="1">
      <alignment horizontal="center" vertical="center"/>
    </xf>
    <xf numFmtId="0" fontId="17" fillId="0" borderId="7" xfId="0" applyFont="1" applyBorder="1" applyAlignment="1">
      <alignment vertical="center"/>
    </xf>
    <xf numFmtId="10" fontId="17" fillId="0" borderId="6" xfId="1" applyNumberFormat="1" applyFont="1" applyBorder="1" applyAlignment="1">
      <alignment horizontal="center" vertical="center"/>
    </xf>
    <xf numFmtId="3" fontId="17" fillId="0" borderId="6" xfId="0" applyNumberFormat="1" applyFont="1" applyBorder="1" applyAlignment="1">
      <alignment horizontal="center" vertical="center"/>
    </xf>
    <xf numFmtId="3" fontId="15" fillId="0" borderId="5" xfId="0" quotePrefix="1" applyNumberFormat="1" applyFont="1" applyBorder="1" applyAlignment="1">
      <alignment horizontal="center" vertical="center"/>
    </xf>
    <xf numFmtId="10" fontId="17" fillId="0" borderId="9" xfId="1" applyNumberFormat="1" applyFont="1" applyBorder="1" applyAlignment="1">
      <alignment horizontal="center" vertical="center"/>
    </xf>
    <xf numFmtId="3" fontId="17" fillId="0" borderId="9" xfId="0" applyNumberFormat="1" applyFont="1" applyBorder="1" applyAlignment="1">
      <alignment horizontal="center" vertical="center"/>
    </xf>
    <xf numFmtId="3" fontId="15" fillId="0" borderId="11" xfId="0" quotePrefix="1" applyNumberFormat="1" applyFont="1" applyBorder="1" applyAlignment="1">
      <alignment horizontal="center" vertical="center"/>
    </xf>
    <xf numFmtId="3" fontId="5" fillId="0" borderId="11" xfId="0" applyNumberFormat="1" applyFont="1" applyBorder="1" applyAlignment="1">
      <alignment horizontal="center" vertical="center"/>
    </xf>
    <xf numFmtId="3" fontId="31" fillId="0" borderId="9" xfId="0" quotePrefix="1" applyNumberFormat="1" applyFont="1" applyBorder="1" applyAlignment="1">
      <alignment horizontal="center" vertical="center"/>
    </xf>
    <xf numFmtId="3" fontId="5" fillId="0" borderId="9" xfId="0" quotePrefix="1" applyNumberFormat="1" applyFont="1" applyBorder="1" applyAlignment="1">
      <alignment horizontal="center" vertical="center"/>
    </xf>
    <xf numFmtId="10" fontId="31" fillId="0" borderId="9" xfId="1" applyNumberFormat="1" applyFont="1" applyBorder="1" applyAlignment="1">
      <alignment horizontal="center" vertical="center"/>
    </xf>
    <xf numFmtId="10" fontId="31" fillId="0" borderId="9" xfId="1" applyNumberFormat="1" applyFont="1" applyFill="1" applyBorder="1" applyAlignment="1">
      <alignment horizontal="center" vertical="center"/>
    </xf>
    <xf numFmtId="3" fontId="31" fillId="0" borderId="9" xfId="0" applyNumberFormat="1" applyFont="1" applyBorder="1" applyAlignment="1">
      <alignment horizontal="center" vertical="center"/>
    </xf>
    <xf numFmtId="3" fontId="15" fillId="0" borderId="6" xfId="0" quotePrefix="1" applyNumberFormat="1" applyFont="1" applyBorder="1" applyAlignment="1">
      <alignment horizontal="center" vertical="center"/>
    </xf>
    <xf numFmtId="3" fontId="15" fillId="0" borderId="9" xfId="0" quotePrefix="1" applyNumberFormat="1" applyFont="1" applyBorder="1" applyAlignment="1">
      <alignment horizontal="center" vertical="center"/>
    </xf>
    <xf numFmtId="14" fontId="2" fillId="0" borderId="11" xfId="0" applyNumberFormat="1" applyFont="1" applyBorder="1" applyAlignment="1">
      <alignment horizontal="center" vertical="center"/>
    </xf>
    <xf numFmtId="0" fontId="2" fillId="0" borderId="9" xfId="0" applyFont="1" applyBorder="1" applyAlignment="1">
      <alignment horizontal="left" vertical="center"/>
    </xf>
    <xf numFmtId="0" fontId="2" fillId="0" borderId="11" xfId="0" applyFont="1" applyBorder="1" applyAlignment="1">
      <alignment horizontal="center" vertical="center"/>
    </xf>
    <xf numFmtId="10" fontId="2" fillId="0" borderId="10" xfId="1" applyNumberFormat="1" applyFont="1" applyBorder="1" applyAlignment="1">
      <alignment horizontal="center" vertical="center"/>
    </xf>
    <xf numFmtId="14" fontId="2" fillId="0" borderId="0" xfId="0" applyNumberFormat="1" applyFont="1" applyAlignment="1">
      <alignment horizontal="center" vertical="center"/>
    </xf>
    <xf numFmtId="3" fontId="2" fillId="0" borderId="10" xfId="0" quotePrefix="1" applyNumberFormat="1" applyFont="1" applyBorder="1" applyAlignment="1">
      <alignment horizontal="center" vertical="center"/>
    </xf>
    <xf numFmtId="3" fontId="31" fillId="0" borderId="11" xfId="0" applyNumberFormat="1" applyFont="1" applyBorder="1" applyAlignment="1">
      <alignment horizontal="center" vertical="center"/>
    </xf>
    <xf numFmtId="3" fontId="2" fillId="0" borderId="10" xfId="0" applyNumberFormat="1" applyFont="1" applyBorder="1" applyAlignment="1">
      <alignment horizontal="center" vertical="center"/>
    </xf>
    <xf numFmtId="10" fontId="2" fillId="0" borderId="10" xfId="1" applyNumberFormat="1" applyFont="1" applyFill="1" applyBorder="1" applyAlignment="1">
      <alignment horizontal="center" vertical="center"/>
    </xf>
    <xf numFmtId="0" fontId="2" fillId="0" borderId="0" xfId="0" applyFont="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10" fontId="17" fillId="0" borderId="7" xfId="1" applyNumberFormat="1" applyFont="1" applyFill="1" applyBorder="1" applyAlignment="1">
      <alignment horizontal="center" vertical="center"/>
    </xf>
    <xf numFmtId="3" fontId="29" fillId="0" borderId="5" xfId="0" applyNumberFormat="1" applyFont="1" applyBorder="1" applyAlignment="1">
      <alignment horizontal="center" vertical="center"/>
    </xf>
    <xf numFmtId="0" fontId="2" fillId="0" borderId="9" xfId="0" applyFont="1" applyBorder="1" applyAlignment="1">
      <alignment horizontal="center" vertical="center" wrapText="1"/>
    </xf>
    <xf numFmtId="10" fontId="2" fillId="0" borderId="9" xfId="1" applyNumberFormat="1" applyFont="1" applyFill="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vertical="center"/>
    </xf>
    <xf numFmtId="10" fontId="2" fillId="0" borderId="6" xfId="1" quotePrefix="1" applyNumberFormat="1" applyFont="1" applyFill="1" applyBorder="1" applyAlignment="1">
      <alignment horizontal="center" vertical="center"/>
    </xf>
    <xf numFmtId="3" fontId="2" fillId="0" borderId="6" xfId="0" applyNumberFormat="1" applyFont="1" applyBorder="1" applyAlignment="1">
      <alignment horizontal="center" vertical="center"/>
    </xf>
    <xf numFmtId="3" fontId="31" fillId="0" borderId="6" xfId="0" quotePrefix="1" applyNumberFormat="1" applyFont="1" applyBorder="1" applyAlignment="1">
      <alignment horizontal="center" vertical="center"/>
    </xf>
    <xf numFmtId="3" fontId="2" fillId="2" borderId="7" xfId="0" quotePrefix="1" applyNumberFormat="1" applyFont="1" applyFill="1" applyBorder="1" applyAlignment="1">
      <alignment horizontal="right" vertical="center"/>
    </xf>
    <xf numFmtId="3" fontId="2" fillId="2" borderId="1" xfId="0" applyNumberFormat="1" applyFont="1" applyFill="1" applyBorder="1" applyAlignment="1">
      <alignment horizontal="right" vertical="center"/>
    </xf>
    <xf numFmtId="10" fontId="17" fillId="0" borderId="9" xfId="1" quotePrefix="1" applyNumberFormat="1" applyFont="1" applyFill="1" applyBorder="1" applyAlignment="1">
      <alignment horizontal="center" vertical="center"/>
    </xf>
    <xf numFmtId="167" fontId="2" fillId="0" borderId="9" xfId="1" applyNumberFormat="1" applyFont="1" applyFill="1" applyBorder="1" applyAlignment="1">
      <alignment horizontal="center" vertical="center"/>
    </xf>
    <xf numFmtId="10" fontId="2" fillId="0" borderId="0" xfId="1" applyNumberFormat="1" applyFont="1" applyFill="1" applyBorder="1" applyAlignment="1">
      <alignment horizontal="center" vertical="center"/>
    </xf>
    <xf numFmtId="3" fontId="2" fillId="0" borderId="9" xfId="0" quotePrefix="1" applyNumberFormat="1" applyFont="1" applyBorder="1" applyAlignment="1">
      <alignment horizontal="center" vertical="center"/>
    </xf>
    <xf numFmtId="0" fontId="2" fillId="0" borderId="7" xfId="0" applyFont="1" applyBorder="1" applyAlignment="1">
      <alignment vertical="center"/>
    </xf>
    <xf numFmtId="10" fontId="2" fillId="0" borderId="6" xfId="1" applyNumberFormat="1" applyFont="1" applyFill="1" applyBorder="1" applyAlignment="1">
      <alignment horizontal="center" vertical="center"/>
    </xf>
    <xf numFmtId="165" fontId="2" fillId="0" borderId="6" xfId="0" applyNumberFormat="1" applyFont="1" applyBorder="1" applyAlignment="1">
      <alignment horizontal="center" vertical="center"/>
    </xf>
    <xf numFmtId="3" fontId="31" fillId="0" borderId="5" xfId="0" quotePrefix="1" applyNumberFormat="1" applyFont="1" applyBorder="1" applyAlignment="1">
      <alignment horizontal="center" vertical="center"/>
    </xf>
    <xf numFmtId="3" fontId="29" fillId="0" borderId="11" xfId="0" quotePrefix="1" applyNumberFormat="1" applyFont="1" applyBorder="1" applyAlignment="1">
      <alignment horizontal="center" vertical="center"/>
    </xf>
    <xf numFmtId="10" fontId="17" fillId="0" borderId="6" xfId="1" quotePrefix="1" applyNumberFormat="1" applyFont="1" applyFill="1" applyBorder="1" applyAlignment="1">
      <alignment horizontal="center" vertical="center"/>
    </xf>
    <xf numFmtId="3" fontId="29" fillId="0" borderId="5" xfId="0" quotePrefix="1" applyNumberFormat="1" applyFont="1" applyBorder="1" applyAlignment="1">
      <alignment horizontal="center" vertical="center"/>
    </xf>
    <xf numFmtId="3" fontId="5" fillId="0" borderId="0" xfId="0" quotePrefix="1" applyNumberFormat="1" applyFont="1" applyAlignment="1">
      <alignment horizontal="center" vertical="center"/>
    </xf>
    <xf numFmtId="0" fontId="18" fillId="0" borderId="0" xfId="0" applyFont="1" applyAlignment="1">
      <alignment vertical="center"/>
    </xf>
    <xf numFmtId="0" fontId="18" fillId="0" borderId="0" xfId="0" quotePrefix="1" applyFont="1" applyAlignment="1">
      <alignment vertical="center"/>
    </xf>
    <xf numFmtId="0" fontId="18" fillId="0" borderId="0" xfId="0" applyFont="1" applyAlignment="1">
      <alignment horizontal="left" vertical="center"/>
    </xf>
    <xf numFmtId="0" fontId="17" fillId="0" borderId="0" xfId="0" applyFont="1" applyAlignment="1">
      <alignment vertical="center"/>
    </xf>
    <xf numFmtId="0" fontId="19" fillId="0" borderId="0" xfId="0" applyFont="1" applyAlignment="1">
      <alignment vertical="center"/>
    </xf>
    <xf numFmtId="0" fontId="17" fillId="3" borderId="0" xfId="0" applyFont="1" applyFill="1" applyAlignment="1">
      <alignment vertical="center"/>
    </xf>
    <xf numFmtId="0" fontId="15" fillId="0" borderId="0" xfId="0" applyFont="1" applyAlignment="1">
      <alignment vertical="center"/>
    </xf>
    <xf numFmtId="0" fontId="30" fillId="0" borderId="0" xfId="0" quotePrefix="1" applyFont="1" applyAlignment="1">
      <alignment vertical="center"/>
    </xf>
    <xf numFmtId="4" fontId="21" fillId="0" borderId="0" xfId="0" applyNumberFormat="1" applyFont="1" applyAlignment="1">
      <alignment horizontal="right" vertical="center"/>
    </xf>
    <xf numFmtId="169" fontId="17" fillId="0" borderId="0" xfId="1" applyNumberFormat="1" applyFont="1" applyAlignment="1">
      <alignment vertical="center"/>
    </xf>
    <xf numFmtId="0" fontId="29" fillId="0" borderId="0" xfId="0" quotePrefix="1" applyFont="1" applyAlignment="1">
      <alignment vertical="center"/>
    </xf>
    <xf numFmtId="0" fontId="10" fillId="0" borderId="4" xfId="0" applyFont="1" applyBorder="1" applyAlignment="1">
      <alignment horizontal="center" vertical="center"/>
    </xf>
    <xf numFmtId="0" fontId="10" fillId="2" borderId="13" xfId="0" applyFont="1" applyFill="1" applyBorder="1" applyAlignment="1">
      <alignment horizontal="center" vertical="center" wrapText="1"/>
    </xf>
    <xf numFmtId="166" fontId="10" fillId="2" borderId="12" xfId="0" applyNumberFormat="1" applyFont="1" applyFill="1" applyBorder="1" applyAlignment="1">
      <alignment horizontal="center" vertical="center" wrapText="1"/>
    </xf>
    <xf numFmtId="0" fontId="10" fillId="2" borderId="12"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2"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0" borderId="8" xfId="0" applyFont="1" applyBorder="1" applyAlignment="1">
      <alignment horizontal="center" vertical="center"/>
    </xf>
    <xf numFmtId="166" fontId="10" fillId="0" borderId="4" xfId="0" applyNumberFormat="1" applyFont="1" applyBorder="1" applyAlignment="1">
      <alignment horizontal="center" vertical="center"/>
    </xf>
    <xf numFmtId="0" fontId="10" fillId="0" borderId="3" xfId="0" applyFont="1" applyBorder="1" applyAlignment="1">
      <alignment horizontal="center" vertical="center"/>
    </xf>
    <xf numFmtId="0" fontId="0" fillId="0" borderId="4" xfId="0" applyBorder="1" applyAlignment="1">
      <alignment horizontal="center" vertical="center" wrapText="1"/>
    </xf>
    <xf numFmtId="0" fontId="10" fillId="0" borderId="2" xfId="0" applyFont="1" applyBorder="1" applyAlignment="1">
      <alignment horizontal="center" vertical="center"/>
    </xf>
    <xf numFmtId="0" fontId="15" fillId="0" borderId="0" xfId="0" quotePrefix="1" applyFont="1"/>
    <xf numFmtId="0" fontId="17" fillId="0" borderId="0" xfId="0" applyFont="1"/>
    <xf numFmtId="0" fontId="34" fillId="0" borderId="9" xfId="0" applyFont="1" applyBorder="1" applyAlignment="1">
      <alignment horizontal="center" vertical="center"/>
    </xf>
    <xf numFmtId="10" fontId="36" fillId="0" borderId="9" xfId="0" applyNumberFormat="1" applyFont="1" applyBorder="1" applyAlignment="1">
      <alignment horizontal="center" vertical="center"/>
    </xf>
    <xf numFmtId="3" fontId="36" fillId="0" borderId="9" xfId="0" quotePrefix="1" applyNumberFormat="1" applyFont="1" applyBorder="1" applyAlignment="1">
      <alignment horizontal="center" vertical="center"/>
    </xf>
    <xf numFmtId="3" fontId="36" fillId="0" borderId="9" xfId="0" applyNumberFormat="1" applyFont="1" applyBorder="1" applyAlignment="1">
      <alignment horizontal="center" vertical="center"/>
    </xf>
    <xf numFmtId="0" fontId="5" fillId="4" borderId="16" xfId="0" applyFont="1" applyFill="1" applyBorder="1" applyAlignment="1">
      <alignment horizontal="center"/>
    </xf>
    <xf numFmtId="0" fontId="5" fillId="4" borderId="17" xfId="0" applyFont="1" applyFill="1" applyBorder="1" applyAlignment="1">
      <alignment horizontal="center"/>
    </xf>
    <xf numFmtId="0" fontId="0" fillId="4" borderId="18" xfId="0" applyFill="1" applyBorder="1"/>
    <xf numFmtId="0" fontId="2" fillId="0" borderId="19" xfId="0" applyFont="1" applyBorder="1" applyAlignment="1">
      <alignment horizontal="center" vertical="center"/>
    </xf>
    <xf numFmtId="4" fontId="17" fillId="0" borderId="20" xfId="0" applyNumberFormat="1" applyFont="1" applyBorder="1" applyAlignment="1">
      <alignment horizontal="right" vertical="center"/>
    </xf>
    <xf numFmtId="0" fontId="31" fillId="0" borderId="23" xfId="0" applyFont="1" applyBorder="1" applyAlignment="1">
      <alignment horizontal="center" vertical="center"/>
    </xf>
    <xf numFmtId="4" fontId="29" fillId="0" borderId="24" xfId="0" applyNumberFormat="1" applyFont="1" applyBorder="1" applyAlignment="1">
      <alignment horizontal="right" vertical="center"/>
    </xf>
    <xf numFmtId="0" fontId="17" fillId="5" borderId="0" xfId="0" applyFont="1" applyFill="1"/>
    <xf numFmtId="0" fontId="34" fillId="5" borderId="0" xfId="0" applyFont="1" applyFill="1"/>
    <xf numFmtId="170" fontId="17" fillId="0" borderId="9" xfId="0" quotePrefix="1" applyNumberFormat="1" applyFont="1" applyBorder="1" applyAlignment="1">
      <alignment horizontal="center" vertical="center"/>
    </xf>
    <xf numFmtId="0" fontId="4" fillId="0" borderId="0" xfId="0" applyFont="1" applyAlignment="1">
      <alignment horizontal="center" vertical="center"/>
    </xf>
    <xf numFmtId="0" fontId="7" fillId="0" borderId="9" xfId="0" applyFont="1" applyBorder="1" applyAlignment="1">
      <alignment horizontal="center" vertical="center"/>
    </xf>
    <xf numFmtId="0" fontId="11" fillId="0" borderId="9" xfId="0" applyFont="1" applyBorder="1" applyAlignment="1">
      <alignment horizontal="center" vertical="center"/>
    </xf>
    <xf numFmtId="0" fontId="17" fillId="0" borderId="0" xfId="0" applyFont="1" applyAlignment="1">
      <alignment horizontal="center" vertical="center"/>
    </xf>
    <xf numFmtId="0" fontId="17" fillId="0" borderId="0" xfId="0" applyFont="1" applyAlignment="1">
      <alignment horizontal="center"/>
    </xf>
    <xf numFmtId="0" fontId="0" fillId="0" borderId="0" xfId="0" applyAlignment="1">
      <alignment horizontal="center"/>
    </xf>
    <xf numFmtId="0" fontId="8" fillId="3" borderId="9" xfId="0" applyFont="1" applyFill="1" applyBorder="1" applyAlignment="1">
      <alignment horizontal="center" vertical="center"/>
    </xf>
    <xf numFmtId="10" fontId="0" fillId="0" borderId="9" xfId="0" quotePrefix="1" applyNumberFormat="1" applyBorder="1" applyAlignment="1">
      <alignment horizontal="center" vertical="center"/>
    </xf>
    <xf numFmtId="9" fontId="0" fillId="0" borderId="9" xfId="0" quotePrefix="1" applyNumberFormat="1" applyBorder="1" applyAlignment="1">
      <alignment horizontal="center" vertical="center"/>
    </xf>
    <xf numFmtId="18" fontId="0" fillId="0" borderId="9" xfId="0" applyNumberFormat="1" applyBorder="1" applyAlignment="1">
      <alignment horizontal="center" vertical="center"/>
    </xf>
    <xf numFmtId="10" fontId="0" fillId="0" borderId="6" xfId="0" applyNumberFormat="1" applyBorder="1" applyAlignment="1">
      <alignment horizontal="center" vertical="center"/>
    </xf>
    <xf numFmtId="10" fontId="0" fillId="0" borderId="9" xfId="0" applyNumberFormat="1" applyBorder="1" applyAlignment="1">
      <alignment horizontal="center" vertical="center"/>
    </xf>
    <xf numFmtId="14" fontId="16" fillId="0" borderId="1" xfId="0" applyNumberFormat="1" applyFont="1" applyBorder="1" applyAlignment="1">
      <alignment horizontal="center" vertical="center"/>
    </xf>
    <xf numFmtId="4" fontId="38" fillId="0" borderId="0" xfId="0" applyNumberFormat="1" applyFont="1" applyAlignment="1">
      <alignment horizontal="center"/>
    </xf>
    <xf numFmtId="15" fontId="4" fillId="0" borderId="0" xfId="0" applyNumberFormat="1" applyFont="1" applyAlignment="1">
      <alignment horizontal="center" vertical="center"/>
    </xf>
    <xf numFmtId="3" fontId="0" fillId="0" borderId="9" xfId="0" applyNumberFormat="1" applyBorder="1" applyAlignment="1">
      <alignment horizontal="center" vertical="center"/>
    </xf>
    <xf numFmtId="0" fontId="16" fillId="0" borderId="6" xfId="0" applyFont="1" applyBorder="1" applyAlignment="1">
      <alignment horizontal="center" vertical="center"/>
    </xf>
    <xf numFmtId="0" fontId="4" fillId="0" borderId="0" xfId="0" applyFont="1" applyAlignment="1">
      <alignment horizontal="left" vertical="center" indent="1"/>
    </xf>
    <xf numFmtId="0" fontId="10" fillId="2" borderId="12" xfId="0" applyFont="1" applyFill="1" applyBorder="1" applyAlignment="1">
      <alignment horizontal="left" vertical="center" indent="1"/>
    </xf>
    <xf numFmtId="0" fontId="10" fillId="0" borderId="4" xfId="0" applyFont="1" applyBorder="1" applyAlignment="1">
      <alignment horizontal="left" vertical="center" indent="1"/>
    </xf>
    <xf numFmtId="0" fontId="7" fillId="0" borderId="9" xfId="0" applyFont="1" applyBorder="1" applyAlignment="1">
      <alignment horizontal="left" vertical="center" indent="1"/>
    </xf>
    <xf numFmtId="0" fontId="11" fillId="0" borderId="9" xfId="0" applyFont="1" applyBorder="1" applyAlignment="1">
      <alignment horizontal="left" vertical="center" indent="1"/>
    </xf>
    <xf numFmtId="0" fontId="0" fillId="0" borderId="9" xfId="0" applyBorder="1" applyAlignment="1">
      <alignment horizontal="left" vertical="center" indent="1"/>
    </xf>
    <xf numFmtId="0" fontId="0" fillId="0" borderId="6" xfId="0" applyBorder="1" applyAlignment="1">
      <alignment horizontal="left" vertical="center" indent="1"/>
    </xf>
    <xf numFmtId="0" fontId="0" fillId="0" borderId="0" xfId="0" applyAlignment="1">
      <alignment horizontal="left" vertical="center" indent="1"/>
    </xf>
    <xf numFmtId="0" fontId="0" fillId="0" borderId="7" xfId="0" applyBorder="1" applyAlignment="1">
      <alignment horizontal="left" vertical="center" indent="1"/>
    </xf>
    <xf numFmtId="0" fontId="2" fillId="0" borderId="9" xfId="0" applyFont="1" applyBorder="1" applyAlignment="1">
      <alignment horizontal="left" vertical="center" indent="1"/>
    </xf>
    <xf numFmtId="0" fontId="8" fillId="0" borderId="9" xfId="0" applyFont="1" applyBorder="1" applyAlignment="1">
      <alignment horizontal="left" vertical="center" indent="1"/>
    </xf>
    <xf numFmtId="0" fontId="0" fillId="0" borderId="1" xfId="0" applyBorder="1" applyAlignment="1">
      <alignment horizontal="left" vertical="center" indent="1"/>
    </xf>
    <xf numFmtId="0" fontId="0" fillId="0" borderId="11" xfId="0" applyBorder="1" applyAlignment="1">
      <alignment horizontal="left" vertical="center" indent="1"/>
    </xf>
    <xf numFmtId="0" fontId="2" fillId="0" borderId="11" xfId="0" applyFont="1" applyBorder="1" applyAlignment="1">
      <alignment horizontal="left" vertical="center" indent="1"/>
    </xf>
    <xf numFmtId="0" fontId="0" fillId="0" borderId="5" xfId="0" applyBorder="1" applyAlignment="1">
      <alignment horizontal="left" vertical="center" indent="1"/>
    </xf>
    <xf numFmtId="0" fontId="24" fillId="0" borderId="11" xfId="0" applyFont="1" applyBorder="1" applyAlignment="1">
      <alignment horizontal="left" vertical="center" indent="1"/>
    </xf>
    <xf numFmtId="0" fontId="2" fillId="0" borderId="11" xfId="0" applyFont="1" applyBorder="1" applyAlignment="1">
      <alignment horizontal="left" vertical="center" wrapText="1" indent="1"/>
    </xf>
    <xf numFmtId="0" fontId="17" fillId="0" borderId="5" xfId="0" applyFont="1" applyBorder="1" applyAlignment="1">
      <alignment horizontal="left" vertical="center" indent="1"/>
    </xf>
    <xf numFmtId="0" fontId="17" fillId="0" borderId="11" xfId="0" applyFont="1" applyBorder="1" applyAlignment="1">
      <alignment horizontal="left" vertical="center" indent="1"/>
    </xf>
    <xf numFmtId="0" fontId="2" fillId="0" borderId="9" xfId="0" applyFont="1" applyBorder="1" applyAlignment="1">
      <alignment horizontal="left" vertical="center" wrapText="1" indent="1"/>
    </xf>
    <xf numFmtId="0" fontId="17" fillId="0" borderId="6" xfId="0" applyFont="1" applyBorder="1" applyAlignment="1">
      <alignment horizontal="left" vertical="center" indent="1"/>
    </xf>
    <xf numFmtId="0" fontId="17" fillId="0" borderId="6" xfId="0" applyFont="1" applyBorder="1" applyAlignment="1">
      <alignment horizontal="left" vertical="center" wrapText="1" indent="1"/>
    </xf>
    <xf numFmtId="0" fontId="2" fillId="0" borderId="5" xfId="0" applyFont="1" applyBorder="1" applyAlignment="1">
      <alignment horizontal="left" vertical="center" wrapText="1" indent="1"/>
    </xf>
    <xf numFmtId="0" fontId="17" fillId="0" borderId="5" xfId="0" applyFont="1" applyBorder="1" applyAlignment="1">
      <alignment horizontal="left" vertical="center" wrapText="1" indent="1"/>
    </xf>
    <xf numFmtId="0" fontId="17" fillId="0" borderId="11" xfId="0" applyFont="1" applyBorder="1" applyAlignment="1">
      <alignment horizontal="left" vertical="center" wrapText="1" indent="1"/>
    </xf>
    <xf numFmtId="0" fontId="17" fillId="0" borderId="0" xfId="0" applyFont="1" applyAlignment="1">
      <alignment horizontal="left" vertical="center" indent="1"/>
    </xf>
    <xf numFmtId="0" fontId="17" fillId="0" borderId="0" xfId="0" applyFont="1" applyAlignment="1">
      <alignment horizontal="left" indent="1"/>
    </xf>
    <xf numFmtId="0" fontId="0" fillId="0" borderId="0" xfId="0" applyAlignment="1">
      <alignment horizontal="left" indent="1"/>
    </xf>
    <xf numFmtId="0" fontId="0" fillId="4" borderId="18" xfId="0" applyFill="1" applyBorder="1" applyAlignment="1">
      <alignment horizontal="left" indent="1"/>
    </xf>
    <xf numFmtId="0" fontId="24" fillId="0" borderId="5" xfId="0" applyFont="1" applyBorder="1" applyAlignment="1">
      <alignment horizontal="left" vertical="center" indent="1"/>
    </xf>
    <xf numFmtId="0" fontId="39" fillId="0" borderId="0" xfId="0" applyFont="1" applyAlignment="1">
      <alignment vertical="center"/>
    </xf>
    <xf numFmtId="0" fontId="39" fillId="0" borderId="9" xfId="0" applyFont="1" applyBorder="1" applyAlignment="1">
      <alignment vertical="center"/>
    </xf>
    <xf numFmtId="3" fontId="39" fillId="2" borderId="10" xfId="0" quotePrefix="1" applyNumberFormat="1" applyFont="1" applyFill="1" applyBorder="1" applyAlignment="1">
      <alignment horizontal="right" vertical="center"/>
    </xf>
    <xf numFmtId="3" fontId="39" fillId="2" borderId="0" xfId="0" applyNumberFormat="1" applyFont="1" applyFill="1" applyAlignment="1">
      <alignment horizontal="right" vertical="center"/>
    </xf>
    <xf numFmtId="0" fontId="39" fillId="0" borderId="10" xfId="0" applyFont="1" applyBorder="1" applyAlignment="1">
      <alignment horizontal="center"/>
    </xf>
    <xf numFmtId="14" fontId="39" fillId="0" borderId="9" xfId="0" applyNumberFormat="1" applyFont="1" applyBorder="1" applyAlignment="1">
      <alignment horizontal="center" vertical="center"/>
    </xf>
    <xf numFmtId="0" fontId="39" fillId="0" borderId="9" xfId="0" applyFont="1" applyBorder="1" applyAlignment="1">
      <alignment horizontal="center" vertical="center"/>
    </xf>
    <xf numFmtId="0" fontId="39" fillId="0" borderId="11" xfId="0" applyFont="1" applyBorder="1" applyAlignment="1">
      <alignment horizontal="left" wrapText="1" indent="1"/>
    </xf>
    <xf numFmtId="0" fontId="39" fillId="0" borderId="10" xfId="0" applyFont="1" applyBorder="1" applyAlignment="1">
      <alignment horizontal="center" vertical="center"/>
    </xf>
    <xf numFmtId="0" fontId="39" fillId="0" borderId="0" xfId="0" applyFont="1" applyAlignment="1">
      <alignment horizontal="center"/>
    </xf>
    <xf numFmtId="0" fontId="39" fillId="0" borderId="11" xfId="0" applyFont="1" applyBorder="1" applyAlignment="1">
      <alignment horizontal="center"/>
    </xf>
    <xf numFmtId="0" fontId="4" fillId="0" borderId="0" xfId="0" applyFont="1" applyAlignment="1">
      <alignment horizontal="right" vertical="center" indent="1"/>
    </xf>
    <xf numFmtId="0" fontId="10" fillId="2" borderId="12" xfId="0" applyFont="1" applyFill="1" applyBorder="1" applyAlignment="1">
      <alignment horizontal="right" vertical="center" wrapText="1" indent="1"/>
    </xf>
    <xf numFmtId="3" fontId="7" fillId="2" borderId="4" xfId="0" applyNumberFormat="1" applyFont="1" applyFill="1" applyBorder="1" applyAlignment="1">
      <alignment horizontal="right" vertical="center" indent="1"/>
    </xf>
    <xf numFmtId="3" fontId="7" fillId="2" borderId="9" xfId="0" applyNumberFormat="1" applyFont="1" applyFill="1" applyBorder="1" applyAlignment="1">
      <alignment horizontal="right" vertical="center" indent="1"/>
    </xf>
    <xf numFmtId="3" fontId="13" fillId="2" borderId="9" xfId="0" applyNumberFormat="1" applyFont="1" applyFill="1" applyBorder="1" applyAlignment="1">
      <alignment horizontal="right" vertical="center" indent="1"/>
    </xf>
    <xf numFmtId="3" fontId="0" fillId="2" borderId="9" xfId="0" quotePrefix="1" applyNumberFormat="1" applyFill="1" applyBorder="1" applyAlignment="1">
      <alignment horizontal="right" vertical="center" indent="1"/>
    </xf>
    <xf numFmtId="3" fontId="0" fillId="2" borderId="6" xfId="0" quotePrefix="1" applyNumberFormat="1" applyFill="1" applyBorder="1" applyAlignment="1">
      <alignment horizontal="right" vertical="center" indent="1"/>
    </xf>
    <xf numFmtId="0" fontId="0" fillId="2" borderId="9" xfId="0" applyFill="1" applyBorder="1" applyAlignment="1">
      <alignment horizontal="right" vertical="center" indent="1"/>
    </xf>
    <xf numFmtId="0" fontId="0" fillId="2" borderId="6" xfId="0" applyFill="1" applyBorder="1" applyAlignment="1">
      <alignment horizontal="right" vertical="center" indent="1"/>
    </xf>
    <xf numFmtId="3" fontId="0" fillId="2" borderId="9" xfId="0" applyNumberFormat="1" applyFill="1" applyBorder="1" applyAlignment="1">
      <alignment horizontal="right" vertical="center" indent="1"/>
    </xf>
    <xf numFmtId="3" fontId="0" fillId="2" borderId="6" xfId="0" applyNumberFormat="1" applyFill="1" applyBorder="1" applyAlignment="1">
      <alignment horizontal="right" vertical="center" indent="1"/>
    </xf>
    <xf numFmtId="3" fontId="13" fillId="2" borderId="9" xfId="0" quotePrefix="1" applyNumberFormat="1" applyFont="1" applyFill="1" applyBorder="1" applyAlignment="1">
      <alignment horizontal="right" vertical="center" indent="1"/>
    </xf>
    <xf numFmtId="3" fontId="2" fillId="2" borderId="9" xfId="0" quotePrefix="1" applyNumberFormat="1" applyFont="1" applyFill="1" applyBorder="1" applyAlignment="1">
      <alignment horizontal="right" vertical="center" indent="1"/>
    </xf>
    <xf numFmtId="3" fontId="2" fillId="2" borderId="6" xfId="0" quotePrefix="1" applyNumberFormat="1" applyFont="1" applyFill="1" applyBorder="1" applyAlignment="1">
      <alignment horizontal="right" vertical="center" indent="1"/>
    </xf>
    <xf numFmtId="3" fontId="39" fillId="2" borderId="9" xfId="0" quotePrefix="1" applyNumberFormat="1" applyFont="1" applyFill="1" applyBorder="1" applyAlignment="1">
      <alignment horizontal="right" vertical="center" indent="1"/>
    </xf>
    <xf numFmtId="0" fontId="0" fillId="0" borderId="0" xfId="0" quotePrefix="1" applyAlignment="1">
      <alignment horizontal="right" vertical="center" indent="1"/>
    </xf>
    <xf numFmtId="0" fontId="0" fillId="0" borderId="0" xfId="0" applyAlignment="1">
      <alignment horizontal="right" vertical="center" indent="1"/>
    </xf>
    <xf numFmtId="3" fontId="17" fillId="0" borderId="0" xfId="0" applyNumberFormat="1" applyFont="1" applyAlignment="1">
      <alignment horizontal="right" vertical="center" indent="1"/>
    </xf>
    <xf numFmtId="3" fontId="0" fillId="0" borderId="0" xfId="0" applyNumberFormat="1" applyAlignment="1">
      <alignment horizontal="right" vertical="center" indent="1"/>
    </xf>
    <xf numFmtId="0" fontId="17" fillId="0" borderId="0" xfId="0" applyFont="1" applyAlignment="1">
      <alignment horizontal="right" vertical="center" indent="1"/>
    </xf>
    <xf numFmtId="0" fontId="17" fillId="0" borderId="0" xfId="0" applyFont="1" applyAlignment="1">
      <alignment horizontal="right" indent="1"/>
    </xf>
    <xf numFmtId="0" fontId="9" fillId="0" borderId="0" xfId="0" applyFont="1" applyAlignment="1">
      <alignment horizontal="center" vertical="center"/>
    </xf>
    <xf numFmtId="0" fontId="15" fillId="0" borderId="0" xfId="0" applyFont="1" applyAlignment="1">
      <alignment horizontal="justify" vertical="justify" wrapText="1"/>
    </xf>
    <xf numFmtId="0" fontId="0" fillId="0" borderId="0" xfId="0" applyAlignment="1">
      <alignment horizontal="justify" vertical="justify" wrapText="1"/>
    </xf>
    <xf numFmtId="0" fontId="33" fillId="0" borderId="21" xfId="0" applyFont="1" applyBorder="1" applyAlignment="1">
      <alignment horizontal="center"/>
    </xf>
    <xf numFmtId="0" fontId="33" fillId="0" borderId="22" xfId="0" applyFont="1" applyBorder="1" applyAlignment="1">
      <alignment horizontal="center"/>
    </xf>
    <xf numFmtId="0" fontId="33" fillId="0" borderId="25" xfId="0" applyFont="1" applyBorder="1" applyAlignment="1">
      <alignment horizontal="center"/>
    </xf>
    <xf numFmtId="0" fontId="33" fillId="0" borderId="26" xfId="0" applyFont="1" applyBorder="1" applyAlignment="1">
      <alignment horizontal="center"/>
    </xf>
    <xf numFmtId="0" fontId="15" fillId="0" borderId="0" xfId="0" applyFont="1" applyAlignment="1">
      <alignment horizontal="justify" wrapText="1"/>
    </xf>
    <xf numFmtId="0" fontId="0" fillId="0" borderId="0" xfId="0" applyAlignment="1">
      <alignment horizontal="justify" wrapText="1"/>
    </xf>
    <xf numFmtId="0" fontId="0" fillId="0" borderId="0" xfId="0" applyAlignment="1">
      <alignment wrapText="1"/>
    </xf>
    <xf numFmtId="0" fontId="15" fillId="0" borderId="0" xfId="0" applyFont="1" applyAlignment="1">
      <alignment horizontal="justify" vertical="center" wrapText="1"/>
    </xf>
    <xf numFmtId="0" fontId="0" fillId="0" borderId="0" xfId="0" applyAlignment="1">
      <alignment horizontal="justify" vertical="center" wrapText="1"/>
    </xf>
    <xf numFmtId="0" fontId="17" fillId="0" borderId="0" xfId="0" applyFont="1" applyAlignment="1">
      <alignment vertical="center" wrapText="1"/>
    </xf>
    <xf numFmtId="0" fontId="0" fillId="0" borderId="0" xfId="0" applyAlignment="1">
      <alignment vertical="center" wrapText="1"/>
    </xf>
    <xf numFmtId="0" fontId="17" fillId="0" borderId="0" xfId="0" applyFont="1" applyAlignment="1">
      <alignment horizontal="justify" vertical="center" wrapText="1"/>
    </xf>
    <xf numFmtId="0" fontId="2" fillId="0" borderId="0" xfId="0" applyFont="1" applyAlignment="1">
      <alignment horizontal="justify" vertical="center" wrapText="1"/>
    </xf>
    <xf numFmtId="0" fontId="3" fillId="0" borderId="1" xfId="0" applyFont="1" applyBorder="1" applyAlignment="1">
      <alignment horizontal="center" vertical="center"/>
    </xf>
    <xf numFmtId="0" fontId="15" fillId="0" borderId="0" xfId="0" applyFont="1" applyAlignment="1">
      <alignment vertical="center" wrapText="1"/>
    </xf>
    <xf numFmtId="0" fontId="17" fillId="0" borderId="0" xfId="0" applyFont="1" applyBorder="1" applyAlignment="1">
      <alignment horizontal="center" vertical="center"/>
    </xf>
    <xf numFmtId="0" fontId="0" fillId="0" borderId="0" xfId="0" applyBorder="1" applyAlignment="1">
      <alignment vertical="center"/>
    </xf>
    <xf numFmtId="10" fontId="17" fillId="0" borderId="0" xfId="1" quotePrefix="1" applyNumberFormat="1" applyFont="1" applyFill="1" applyBorder="1" applyAlignment="1">
      <alignment horizontal="center" vertical="center"/>
    </xf>
    <xf numFmtId="3" fontId="29" fillId="0" borderId="0" xfId="0" quotePrefix="1" applyNumberFormat="1" applyFont="1" applyBorder="1" applyAlignment="1">
      <alignment horizontal="center" vertical="center"/>
    </xf>
    <xf numFmtId="10" fontId="17" fillId="3" borderId="0" xfId="2" applyNumberFormat="1" applyFont="1" applyFill="1" applyBorder="1" applyAlignment="1">
      <alignment horizontal="center" vertical="top"/>
    </xf>
    <xf numFmtId="10" fontId="5" fillId="3" borderId="0" xfId="2" applyNumberFormat="1" applyFont="1" applyFill="1" applyBorder="1" applyAlignment="1">
      <alignment horizontal="center" vertical="top"/>
    </xf>
    <xf numFmtId="0" fontId="18" fillId="0" borderId="0" xfId="0" quotePrefix="1" applyFont="1" applyFill="1" applyBorder="1" applyAlignment="1">
      <alignment vertical="center"/>
    </xf>
    <xf numFmtId="166" fontId="0" fillId="0" borderId="0" xfId="0" applyNumberFormat="1" applyFill="1" applyBorder="1" applyAlignment="1">
      <alignment horizontal="center" vertical="center"/>
    </xf>
    <xf numFmtId="0" fontId="0" fillId="0" borderId="0" xfId="0" applyFill="1" applyBorder="1" applyAlignment="1">
      <alignment vertical="center"/>
    </xf>
    <xf numFmtId="0" fontId="0" fillId="0" borderId="0" xfId="0" applyFill="1" applyBorder="1" applyAlignment="1">
      <alignment horizontal="left" vertical="center" indent="1"/>
    </xf>
    <xf numFmtId="0" fontId="0" fillId="0" borderId="0" xfId="0" applyFill="1" applyBorder="1" applyAlignment="1">
      <alignment horizontal="center" vertical="center"/>
    </xf>
    <xf numFmtId="0" fontId="0" fillId="0" borderId="0" xfId="0" quotePrefix="1" applyFill="1" applyBorder="1" applyAlignment="1">
      <alignment horizontal="center" vertical="center"/>
    </xf>
    <xf numFmtId="0" fontId="17" fillId="0" borderId="0" xfId="0" applyFont="1" applyFill="1" applyBorder="1" applyAlignment="1">
      <alignment vertical="center"/>
    </xf>
    <xf numFmtId="0" fontId="0" fillId="0" borderId="0" xfId="0" applyFill="1" applyBorder="1" applyAlignment="1">
      <alignment horizontal="right" vertical="center" indent="1"/>
    </xf>
    <xf numFmtId="0" fontId="2" fillId="0" borderId="0" xfId="0" applyFont="1" applyAlignment="1">
      <alignment horizontal="left" vertical="center" indent="1"/>
    </xf>
    <xf numFmtId="0" fontId="2" fillId="3" borderId="0" xfId="0" applyFont="1" applyFill="1" applyAlignment="1">
      <alignment vertical="center"/>
    </xf>
    <xf numFmtId="0" fontId="17" fillId="0" borderId="8" xfId="0" applyFont="1" applyBorder="1" applyAlignment="1">
      <alignment vertical="center"/>
    </xf>
    <xf numFmtId="0" fontId="17" fillId="0" borderId="3" xfId="0" applyFont="1" applyBorder="1" applyAlignment="1">
      <alignment horizontal="center" vertical="center"/>
    </xf>
    <xf numFmtId="0" fontId="0" fillId="0" borderId="3" xfId="0" applyBorder="1" applyAlignment="1">
      <alignment vertical="center"/>
    </xf>
    <xf numFmtId="10" fontId="17" fillId="0" borderId="3" xfId="1" quotePrefix="1" applyNumberFormat="1" applyFont="1" applyFill="1" applyBorder="1" applyAlignment="1">
      <alignment horizontal="center" vertical="center"/>
    </xf>
    <xf numFmtId="3" fontId="29" fillId="0" borderId="3" xfId="0" quotePrefix="1" applyNumberFormat="1" applyFont="1" applyBorder="1" applyAlignment="1">
      <alignment horizontal="center" vertical="center"/>
    </xf>
    <xf numFmtId="3" fontId="17" fillId="3" borderId="0" xfId="3" applyNumberFormat="1" applyFont="1" applyFill="1" applyBorder="1" applyAlignment="1">
      <alignment horizontal="center" vertical="top"/>
    </xf>
    <xf numFmtId="0" fontId="42" fillId="3" borderId="3" xfId="3" applyFont="1" applyFill="1" applyBorder="1" applyAlignment="1">
      <alignment horizontal="center" vertical="top"/>
    </xf>
    <xf numFmtId="0" fontId="43" fillId="3" borderId="0" xfId="3" applyFont="1" applyFill="1" applyBorder="1" applyAlignment="1">
      <alignment horizontal="left" vertical="center" indent="1"/>
    </xf>
    <xf numFmtId="14" fontId="17" fillId="0" borderId="4" xfId="0" applyNumberFormat="1" applyFont="1" applyBorder="1" applyAlignment="1">
      <alignment horizontal="center" vertical="center"/>
    </xf>
    <xf numFmtId="14" fontId="17" fillId="3" borderId="9" xfId="4" applyNumberFormat="1" applyFont="1" applyFill="1" applyBorder="1" applyAlignment="1">
      <alignment horizontal="center" vertical="top"/>
    </xf>
    <xf numFmtId="0" fontId="17" fillId="0" borderId="4" xfId="0" applyFont="1" applyBorder="1" applyAlignment="1">
      <alignment horizontal="left" vertical="center" wrapText="1" indent="1"/>
    </xf>
    <xf numFmtId="0" fontId="17" fillId="0" borderId="9" xfId="0" applyFont="1" applyBorder="1" applyAlignment="1">
      <alignment horizontal="left" vertical="center" wrapText="1" indent="1"/>
    </xf>
    <xf numFmtId="0" fontId="17" fillId="3" borderId="9" xfId="4" applyFont="1" applyFill="1" applyBorder="1" applyAlignment="1">
      <alignment horizontal="left" vertical="top" wrapText="1"/>
    </xf>
    <xf numFmtId="0" fontId="17" fillId="0" borderId="4" xfId="0" applyFont="1" applyBorder="1" applyAlignment="1">
      <alignment horizontal="center" vertical="center"/>
    </xf>
    <xf numFmtId="0" fontId="17" fillId="3" borderId="9" xfId="4" applyFont="1" applyFill="1" applyBorder="1" applyAlignment="1">
      <alignment horizontal="center" vertical="top"/>
    </xf>
    <xf numFmtId="3" fontId="15" fillId="0" borderId="4" xfId="0" quotePrefix="1" applyNumberFormat="1" applyFont="1" applyBorder="1" applyAlignment="1">
      <alignment horizontal="center" vertical="center"/>
    </xf>
    <xf numFmtId="3" fontId="15" fillId="3" borderId="9" xfId="3" applyNumberFormat="1" applyFont="1" applyFill="1" applyBorder="1" applyAlignment="1">
      <alignment horizontal="center" vertical="top"/>
    </xf>
    <xf numFmtId="0" fontId="2" fillId="3" borderId="10" xfId="4" applyFont="1" applyFill="1" applyBorder="1" applyAlignment="1">
      <alignment vertical="top"/>
    </xf>
    <xf numFmtId="170" fontId="2" fillId="3" borderId="9" xfId="4" applyNumberFormat="1" applyFont="1" applyFill="1" applyBorder="1" applyAlignment="1">
      <alignment horizontal="center" vertical="top"/>
    </xf>
    <xf numFmtId="0" fontId="2" fillId="3" borderId="0" xfId="3" applyFont="1" applyFill="1" applyBorder="1" applyAlignment="1">
      <alignment horizontal="center" vertical="top"/>
    </xf>
    <xf numFmtId="0" fontId="2" fillId="3" borderId="9" xfId="4" applyFont="1" applyFill="1" applyBorder="1" applyAlignment="1">
      <alignment horizontal="center" vertical="top"/>
    </xf>
    <xf numFmtId="3" fontId="5" fillId="3" borderId="9" xfId="3" applyNumberFormat="1" applyFont="1" applyFill="1" applyBorder="1" applyAlignment="1">
      <alignment horizontal="center" vertical="top"/>
    </xf>
    <xf numFmtId="3" fontId="5" fillId="3" borderId="0" xfId="3" applyNumberFormat="1" applyFont="1" applyFill="1" applyBorder="1" applyAlignment="1">
      <alignment horizontal="center" vertical="top"/>
    </xf>
    <xf numFmtId="0" fontId="2" fillId="0" borderId="10" xfId="4" applyFont="1" applyBorder="1" applyAlignment="1">
      <alignment vertical="top"/>
    </xf>
    <xf numFmtId="0" fontId="2" fillId="3" borderId="0" xfId="3" applyFont="1" applyFill="1" applyBorder="1" applyAlignment="1">
      <alignment horizontal="center" vertical="top" wrapText="1"/>
    </xf>
    <xf numFmtId="0" fontId="2" fillId="0" borderId="7" xfId="4" applyFont="1" applyBorder="1" applyAlignment="1">
      <alignment vertical="top"/>
    </xf>
    <xf numFmtId="0" fontId="2" fillId="3" borderId="6" xfId="4" applyFont="1" applyFill="1" applyBorder="1" applyAlignment="1">
      <alignment horizontal="center" vertical="top"/>
    </xf>
    <xf numFmtId="10" fontId="5" fillId="3" borderId="1" xfId="2" applyNumberFormat="1" applyFont="1" applyFill="1" applyBorder="1" applyAlignment="1">
      <alignment horizontal="center" vertical="top"/>
    </xf>
    <xf numFmtId="3" fontId="5" fillId="3" borderId="6" xfId="3" applyNumberFormat="1" applyFont="1" applyFill="1" applyBorder="1" applyAlignment="1">
      <alignment horizontal="center" vertical="top"/>
    </xf>
    <xf numFmtId="3" fontId="5" fillId="3" borderId="1" xfId="3" applyNumberFormat="1" applyFont="1" applyFill="1" applyBorder="1" applyAlignment="1">
      <alignment horizontal="center" vertical="top"/>
    </xf>
    <xf numFmtId="0" fontId="2" fillId="0" borderId="0" xfId="0" applyFont="1" applyBorder="1" applyAlignment="1">
      <alignment vertical="top"/>
    </xf>
    <xf numFmtId="0" fontId="2" fillId="0" borderId="0" xfId="0" applyFont="1" applyBorder="1" applyAlignment="1">
      <alignment horizontal="center" vertical="top"/>
    </xf>
    <xf numFmtId="0" fontId="2" fillId="0" borderId="10" xfId="0" quotePrefix="1" applyFont="1" applyBorder="1" applyAlignment="1">
      <alignment horizontal="center" vertical="top"/>
    </xf>
    <xf numFmtId="0" fontId="2" fillId="0" borderId="11" xfId="0" quotePrefix="1" applyFont="1" applyBorder="1" applyAlignment="1">
      <alignment horizontal="center" vertical="top"/>
    </xf>
    <xf numFmtId="3" fontId="2" fillId="0" borderId="11" xfId="0" quotePrefix="1" applyNumberFormat="1" applyFont="1" applyBorder="1" applyAlignment="1">
      <alignment horizontal="right" vertical="top"/>
    </xf>
    <xf numFmtId="0" fontId="2" fillId="0" borderId="10" xfId="0" quotePrefix="1" applyFont="1" applyBorder="1" applyAlignment="1">
      <alignment horizontal="right" vertical="top"/>
    </xf>
    <xf numFmtId="0" fontId="2" fillId="0" borderId="11" xfId="0" quotePrefix="1" applyFont="1" applyBorder="1" applyAlignment="1">
      <alignment horizontal="right" vertical="top"/>
    </xf>
    <xf numFmtId="0" fontId="2" fillId="0" borderId="1" xfId="0" applyFont="1" applyBorder="1" applyAlignment="1">
      <alignment vertical="top"/>
    </xf>
    <xf numFmtId="0" fontId="2" fillId="0" borderId="1" xfId="0" applyFont="1" applyBorder="1" applyAlignment="1">
      <alignment horizontal="center" vertical="top"/>
    </xf>
    <xf numFmtId="0" fontId="2" fillId="0" borderId="7" xfId="0" quotePrefix="1" applyFont="1" applyBorder="1" applyAlignment="1">
      <alignment horizontal="right" vertical="top"/>
    </xf>
    <xf numFmtId="0" fontId="2" fillId="0" borderId="5" xfId="0" quotePrefix="1" applyFont="1" applyBorder="1" applyAlignment="1">
      <alignment horizontal="right" vertical="top"/>
    </xf>
    <xf numFmtId="3" fontId="2" fillId="0" borderId="5" xfId="0" quotePrefix="1" applyNumberFormat="1" applyFont="1" applyBorder="1" applyAlignment="1">
      <alignment horizontal="right" vertical="top"/>
    </xf>
    <xf numFmtId="0" fontId="2" fillId="3" borderId="9" xfId="4" applyFont="1" applyFill="1" applyBorder="1" applyAlignment="1">
      <alignment horizontal="left" vertical="top" wrapText="1" indent="1"/>
    </xf>
    <xf numFmtId="0" fontId="2" fillId="3" borderId="6" xfId="4" applyFont="1" applyFill="1" applyBorder="1" applyAlignment="1">
      <alignment horizontal="left" vertical="top" wrapText="1" indent="1"/>
    </xf>
    <xf numFmtId="3" fontId="0" fillId="0" borderId="8" xfId="0" quotePrefix="1" applyNumberFormat="1" applyFill="1" applyBorder="1" applyAlignment="1">
      <alignment horizontal="right" vertical="center"/>
    </xf>
    <xf numFmtId="3" fontId="0" fillId="0" borderId="2" xfId="0" applyNumberFormat="1" applyFill="1" applyBorder="1" applyAlignment="1">
      <alignment horizontal="right" vertical="center"/>
    </xf>
    <xf numFmtId="3" fontId="0" fillId="0" borderId="2" xfId="0" quotePrefix="1" applyNumberFormat="1" applyFill="1" applyBorder="1" applyAlignment="1">
      <alignment horizontal="right" vertical="center" indent="1"/>
    </xf>
    <xf numFmtId="3" fontId="0" fillId="0" borderId="10" xfId="0" quotePrefix="1" applyNumberFormat="1" applyFill="1" applyBorder="1" applyAlignment="1">
      <alignment horizontal="right" vertical="center"/>
    </xf>
    <xf numFmtId="3" fontId="0" fillId="0" borderId="11" xfId="0" applyNumberFormat="1" applyFill="1" applyBorder="1" applyAlignment="1">
      <alignment horizontal="right" vertical="center"/>
    </xf>
    <xf numFmtId="3" fontId="0" fillId="0" borderId="11" xfId="0" quotePrefix="1" applyNumberFormat="1" applyFill="1" applyBorder="1" applyAlignment="1">
      <alignment horizontal="right" vertical="center" indent="1"/>
    </xf>
    <xf numFmtId="3" fontId="2" fillId="0" borderId="10" xfId="0" quotePrefix="1" applyNumberFormat="1" applyFont="1" applyFill="1" applyBorder="1" applyAlignment="1">
      <alignment horizontal="right" vertical="top"/>
    </xf>
    <xf numFmtId="3" fontId="2" fillId="0" borderId="11" xfId="0" applyNumberFormat="1" applyFont="1" applyFill="1" applyBorder="1" applyAlignment="1">
      <alignment horizontal="right" vertical="top"/>
    </xf>
    <xf numFmtId="3" fontId="2" fillId="0" borderId="11" xfId="0" quotePrefix="1" applyNumberFormat="1" applyFont="1" applyFill="1" applyBorder="1" applyAlignment="1">
      <alignment horizontal="right" vertical="top"/>
    </xf>
    <xf numFmtId="170" fontId="39" fillId="0" borderId="9" xfId="4" applyNumberFormat="1" applyFont="1" applyBorder="1" applyAlignment="1">
      <alignment horizontal="center" vertical="top"/>
    </xf>
    <xf numFmtId="170" fontId="2" fillId="3" borderId="6" xfId="4" applyNumberFormat="1" applyFont="1" applyFill="1" applyBorder="1" applyAlignment="1">
      <alignment horizontal="center" vertical="top"/>
    </xf>
    <xf numFmtId="0" fontId="2" fillId="3" borderId="1" xfId="3" applyFont="1" applyFill="1" applyBorder="1" applyAlignment="1">
      <alignment horizontal="center" vertical="top"/>
    </xf>
    <xf numFmtId="3" fontId="7" fillId="0" borderId="9" xfId="0" applyNumberFormat="1" applyFont="1" applyFill="1" applyBorder="1" applyAlignment="1">
      <alignment vertical="center"/>
    </xf>
    <xf numFmtId="3" fontId="13" fillId="0" borderId="9" xfId="0" quotePrefix="1" applyNumberFormat="1" applyFont="1" applyFill="1" applyBorder="1" applyAlignment="1">
      <alignment vertical="center"/>
    </xf>
    <xf numFmtId="3" fontId="15" fillId="3" borderId="3" xfId="3" applyNumberFormat="1" applyFont="1" applyFill="1" applyBorder="1" applyAlignment="1">
      <alignment horizontal="center" vertical="top"/>
    </xf>
    <xf numFmtId="0" fontId="34" fillId="5" borderId="0" xfId="4" applyFont="1" applyFill="1" applyAlignment="1"/>
    <xf numFmtId="0" fontId="17" fillId="5" borderId="0" xfId="4" applyFont="1" applyFill="1" applyAlignment="1"/>
    <xf numFmtId="10" fontId="5" fillId="3" borderId="0" xfId="2" applyNumberFormat="1" applyFont="1" applyFill="1" applyBorder="1" applyAlignment="1">
      <alignment horizontal="center" vertical="top"/>
    </xf>
    <xf numFmtId="0" fontId="0" fillId="0" borderId="3" xfId="0" applyBorder="1" applyAlignment="1">
      <alignment horizontal="center" vertical="center"/>
    </xf>
    <xf numFmtId="0" fontId="42" fillId="3" borderId="8" xfId="4" applyFont="1" applyFill="1" applyBorder="1" applyAlignment="1">
      <alignment vertical="top"/>
    </xf>
    <xf numFmtId="0" fontId="42" fillId="3" borderId="0" xfId="4" applyFont="1" applyFill="1" applyAlignment="1">
      <alignment vertical="top"/>
    </xf>
    <xf numFmtId="170" fontId="42" fillId="3" borderId="0" xfId="4" applyNumberFormat="1" applyFont="1" applyFill="1" applyAlignment="1">
      <alignment horizontal="center" vertical="top"/>
    </xf>
    <xf numFmtId="0" fontId="42" fillId="3" borderId="0" xfId="3" applyFont="1" applyFill="1" applyAlignment="1">
      <alignment horizontal="left" vertical="center" wrapText="1"/>
    </xf>
    <xf numFmtId="0" fontId="42" fillId="3" borderId="0" xfId="4" applyFont="1" applyFill="1" applyAlignment="1">
      <alignment horizontal="center" vertical="top"/>
    </xf>
    <xf numFmtId="10" fontId="15" fillId="3" borderId="0" xfId="2" applyNumberFormat="1" applyFont="1" applyFill="1" applyBorder="1" applyAlignment="1">
      <alignment horizontal="center" vertical="top"/>
    </xf>
    <xf numFmtId="3" fontId="15" fillId="3" borderId="0" xfId="3" applyNumberFormat="1" applyFont="1" applyFill="1" applyAlignment="1">
      <alignment horizontal="center" vertical="top"/>
    </xf>
    <xf numFmtId="3" fontId="15" fillId="3" borderId="0" xfId="3" applyNumberFormat="1" applyFont="1" applyFill="1" applyAlignment="1">
      <alignment horizontal="center" vertical="top"/>
    </xf>
    <xf numFmtId="10" fontId="5" fillId="3" borderId="0" xfId="2" applyNumberFormat="1" applyFont="1" applyFill="1" applyBorder="1" applyAlignment="1">
      <alignment horizontal="center" vertical="top"/>
    </xf>
    <xf numFmtId="0" fontId="0" fillId="0" borderId="2" xfId="0" quotePrefix="1" applyBorder="1" applyAlignment="1">
      <alignment horizontal="right" vertical="top" indent="1"/>
    </xf>
    <xf numFmtId="14" fontId="42" fillId="3" borderId="4" xfId="4" applyNumberFormat="1" applyFont="1" applyFill="1" applyBorder="1" applyAlignment="1">
      <alignment horizontal="center" vertical="top"/>
    </xf>
    <xf numFmtId="166" fontId="0" fillId="0" borderId="9" xfId="0" applyNumberFormat="1" applyFill="1" applyBorder="1" applyAlignment="1">
      <alignment horizontal="center" vertical="center"/>
    </xf>
    <xf numFmtId="0" fontId="42" fillId="3" borderId="4" xfId="4" applyFont="1" applyFill="1" applyBorder="1" applyAlignment="1">
      <alignment horizontal="justify" vertical="top" wrapText="1"/>
    </xf>
    <xf numFmtId="0" fontId="0" fillId="0" borderId="9" xfId="0" applyFill="1" applyBorder="1" applyAlignment="1">
      <alignment horizontal="left" vertical="center" indent="1"/>
    </xf>
    <xf numFmtId="0" fontId="42" fillId="3" borderId="4" xfId="4" applyFont="1" applyFill="1" applyBorder="1" applyAlignment="1">
      <alignment horizontal="center" vertical="top"/>
    </xf>
    <xf numFmtId="0" fontId="0" fillId="0" borderId="9" xfId="0" applyFill="1" applyBorder="1" applyAlignment="1">
      <alignment horizontal="center" vertical="center"/>
    </xf>
    <xf numFmtId="3" fontId="15" fillId="3" borderId="4" xfId="3" applyNumberFormat="1" applyFont="1" applyFill="1" applyBorder="1" applyAlignment="1">
      <alignment horizontal="center" vertical="top"/>
    </xf>
    <xf numFmtId="0" fontId="0" fillId="0" borderId="8" xfId="0" quotePrefix="1" applyBorder="1" applyAlignment="1">
      <alignment horizontal="right" vertical="center"/>
    </xf>
    <xf numFmtId="0" fontId="0" fillId="0" borderId="2" xfId="0" quotePrefix="1" applyBorder="1" applyAlignment="1">
      <alignment horizontal="right" vertical="center"/>
    </xf>
    <xf numFmtId="0" fontId="0" fillId="0" borderId="10" xfId="0" quotePrefix="1" applyFill="1" applyBorder="1" applyAlignment="1">
      <alignment horizontal="right" vertical="center"/>
    </xf>
    <xf numFmtId="0" fontId="0" fillId="0" borderId="11" xfId="0" quotePrefix="1" applyFill="1" applyBorder="1" applyAlignment="1">
      <alignment horizontal="right" vertical="center"/>
    </xf>
    <xf numFmtId="0" fontId="39" fillId="3" borderId="10" xfId="4" applyFont="1" applyFill="1" applyBorder="1" applyAlignment="1">
      <alignment horizontal="center" vertical="top"/>
    </xf>
    <xf numFmtId="170" fontId="39" fillId="3" borderId="9" xfId="4" applyNumberFormat="1" applyFont="1" applyFill="1" applyBorder="1" applyAlignment="1">
      <alignment horizontal="center" vertical="top"/>
    </xf>
    <xf numFmtId="0" fontId="39" fillId="3" borderId="0" xfId="3" applyFont="1" applyFill="1" applyBorder="1" applyAlignment="1">
      <alignment horizontal="center" vertical="top"/>
    </xf>
    <xf numFmtId="0" fontId="39" fillId="3" borderId="9" xfId="3" applyFont="1" applyFill="1" applyBorder="1" applyAlignment="1">
      <alignment horizontal="left" vertical="top" wrapText="1" indent="1"/>
    </xf>
    <xf numFmtId="0" fontId="39" fillId="0" borderId="0" xfId="0" applyFont="1" applyFill="1" applyBorder="1" applyAlignment="1">
      <alignment vertical="top"/>
    </xf>
    <xf numFmtId="0" fontId="39" fillId="0" borderId="0" xfId="0" applyFont="1" applyFill="1" applyBorder="1" applyAlignment="1">
      <alignment horizontal="center" vertical="top"/>
    </xf>
    <xf numFmtId="0" fontId="39" fillId="3" borderId="9" xfId="3" applyFont="1" applyFill="1" applyBorder="1" applyAlignment="1">
      <alignment horizontal="center" vertical="top"/>
    </xf>
    <xf numFmtId="3" fontId="36" fillId="3" borderId="9" xfId="3" applyNumberFormat="1" applyFont="1" applyFill="1" applyBorder="1" applyAlignment="1">
      <alignment horizontal="center" vertical="top"/>
    </xf>
    <xf numFmtId="0" fontId="39" fillId="0" borderId="10" xfId="0" quotePrefix="1" applyFont="1" applyFill="1" applyBorder="1" applyAlignment="1">
      <alignment horizontal="right" vertical="top"/>
    </xf>
    <xf numFmtId="0" fontId="39" fillId="0" borderId="11" xfId="0" quotePrefix="1" applyFont="1" applyFill="1" applyBorder="1" applyAlignment="1">
      <alignment horizontal="right" vertical="top"/>
    </xf>
    <xf numFmtId="3" fontId="39" fillId="0" borderId="11" xfId="0" quotePrefix="1" applyNumberFormat="1" applyFont="1" applyFill="1" applyBorder="1" applyAlignment="1">
      <alignment horizontal="right" vertical="top"/>
    </xf>
    <xf numFmtId="0" fontId="39" fillId="0" borderId="0" xfId="0" applyFont="1" applyFill="1" applyBorder="1" applyAlignment="1">
      <alignment vertical="center"/>
    </xf>
    <xf numFmtId="0" fontId="39" fillId="3" borderId="10" xfId="3" applyFont="1" applyFill="1" applyBorder="1" applyAlignment="1">
      <alignment horizontal="center" vertical="top"/>
    </xf>
    <xf numFmtId="14" fontId="39" fillId="3" borderId="9" xfId="3" applyNumberFormat="1" applyFont="1" applyFill="1" applyBorder="1" applyAlignment="1">
      <alignment horizontal="center" vertical="top"/>
    </xf>
    <xf numFmtId="0" fontId="39" fillId="0" borderId="10" xfId="0" applyFont="1" applyFill="1" applyBorder="1" applyAlignment="1">
      <alignment vertical="top"/>
    </xf>
    <xf numFmtId="0" fontId="39" fillId="0" borderId="11" xfId="0" applyFont="1" applyFill="1" applyBorder="1" applyAlignment="1">
      <alignment vertical="top"/>
    </xf>
    <xf numFmtId="3" fontId="39" fillId="0" borderId="11" xfId="0" applyNumberFormat="1" applyFont="1" applyFill="1" applyBorder="1" applyAlignment="1">
      <alignment horizontal="right" vertical="top"/>
    </xf>
    <xf numFmtId="0" fontId="39" fillId="3" borderId="7" xfId="3" applyFont="1" applyFill="1" applyBorder="1" applyAlignment="1">
      <alignment horizontal="center" vertical="top"/>
    </xf>
    <xf numFmtId="14" fontId="39" fillId="3" borderId="6" xfId="3" applyNumberFormat="1" applyFont="1" applyFill="1" applyBorder="1" applyAlignment="1">
      <alignment horizontal="center" vertical="top"/>
    </xf>
    <xf numFmtId="0" fontId="39" fillId="3" borderId="1" xfId="3" applyFont="1" applyFill="1" applyBorder="1" applyAlignment="1">
      <alignment horizontal="center" vertical="top"/>
    </xf>
    <xf numFmtId="0" fontId="39" fillId="3" borderId="6" xfId="3" applyFont="1" applyFill="1" applyBorder="1" applyAlignment="1">
      <alignment horizontal="left" vertical="top" wrapText="1" indent="1"/>
    </xf>
    <xf numFmtId="0" fontId="39" fillId="0" borderId="1" xfId="0" applyFont="1" applyFill="1" applyBorder="1" applyAlignment="1">
      <alignment vertical="top"/>
    </xf>
    <xf numFmtId="0" fontId="39" fillId="0" borderId="1" xfId="0" applyFont="1" applyFill="1" applyBorder="1" applyAlignment="1">
      <alignment horizontal="center" vertical="top"/>
    </xf>
    <xf numFmtId="0" fontId="39" fillId="3" borderId="6" xfId="3" applyFont="1" applyFill="1" applyBorder="1" applyAlignment="1">
      <alignment horizontal="center" vertical="top"/>
    </xf>
    <xf numFmtId="3" fontId="36" fillId="3" borderId="1" xfId="4" applyNumberFormat="1" applyFont="1" applyFill="1" applyBorder="1" applyAlignment="1">
      <alignment horizontal="center" vertical="top"/>
    </xf>
    <xf numFmtId="3" fontId="36" fillId="3" borderId="6" xfId="3" applyNumberFormat="1" applyFont="1" applyFill="1" applyBorder="1" applyAlignment="1">
      <alignment horizontal="center" vertical="top"/>
    </xf>
    <xf numFmtId="0" fontId="39" fillId="0" borderId="7" xfId="0" applyFont="1" applyFill="1" applyBorder="1" applyAlignment="1">
      <alignment vertical="top"/>
    </xf>
    <xf numFmtId="0" fontId="39" fillId="0" borderId="5" xfId="0" applyFont="1" applyFill="1" applyBorder="1" applyAlignment="1">
      <alignment vertical="top"/>
    </xf>
    <xf numFmtId="3" fontId="39" fillId="0" borderId="5" xfId="0" applyNumberFormat="1" applyFont="1" applyFill="1" applyBorder="1" applyAlignment="1">
      <alignment horizontal="right" vertical="top"/>
    </xf>
  </cellXfs>
  <cellStyles count="9">
    <cellStyle name="Normal" xfId="0" builtinId="0"/>
    <cellStyle name="Normal 10" xfId="6" xr:uid="{3B3A0FDF-4731-4A21-A5C3-8ABD95F38E2F}"/>
    <cellStyle name="Normal 2" xfId="4" xr:uid="{84E7D11A-77EB-4C2B-B7AD-47D8ECDCA122}"/>
    <cellStyle name="Normal 2 2" xfId="3" xr:uid="{00000000-0005-0000-0000-000001000000}"/>
    <cellStyle name="Normal 2 3" xfId="5" xr:uid="{236DDE8C-F3EB-4325-A79C-86B92FDE03E1}"/>
    <cellStyle name="Porcentaje" xfId="1" builtinId="5"/>
    <cellStyle name="Porcentaje 2" xfId="7" xr:uid="{DC00DBFF-70D9-4E82-92A5-EDC65283BDA3}"/>
    <cellStyle name="Porcentual 2" xfId="2" xr:uid="{00000000-0005-0000-0000-000003000000}"/>
    <cellStyle name="Porcentual 2 2" xfId="8" xr:uid="{1422E493-0A7B-409E-9BDF-067F23C2A9E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H496"/>
  <sheetViews>
    <sheetView showGridLines="0" tabSelected="1" topLeftCell="A334" zoomScale="70" zoomScaleNormal="70" zoomScaleSheetLayoutView="84" workbookViewId="0">
      <selection activeCell="H341" sqref="H341"/>
    </sheetView>
  </sheetViews>
  <sheetFormatPr baseColWidth="10" defaultRowHeight="12.75" x14ac:dyDescent="0.2"/>
  <cols>
    <col min="1" max="1" width="4.42578125" style="27" customWidth="1"/>
    <col min="2" max="2" width="28.5703125" style="27" customWidth="1"/>
    <col min="3" max="3" width="14.5703125" style="93" customWidth="1"/>
    <col min="4" max="4" width="23.42578125" style="27" customWidth="1"/>
    <col min="5" max="5" width="79.7109375" style="253" customWidth="1"/>
    <col min="6" max="6" width="15.140625" style="27" hidden="1" customWidth="1"/>
    <col min="7" max="7" width="18.28515625" style="31" customWidth="1"/>
    <col min="8" max="8" width="22.85546875" style="31" customWidth="1"/>
    <col min="9" max="9" width="16.85546875" style="31" customWidth="1"/>
    <col min="10" max="10" width="9.85546875" style="31" customWidth="1"/>
    <col min="11" max="11" width="15.42578125" style="31" customWidth="1"/>
    <col min="12" max="12" width="14.28515625" style="27" customWidth="1"/>
    <col min="13" max="13" width="2.85546875" style="27" customWidth="1"/>
    <col min="14" max="14" width="18.7109375" style="303" customWidth="1"/>
    <col min="15" max="15" width="12.7109375" style="27" customWidth="1"/>
    <col min="16" max="16384" width="11.42578125" style="27"/>
  </cols>
  <sheetData>
    <row r="1" spans="2:34" ht="19.5" x14ac:dyDescent="0.2">
      <c r="B1" s="129" t="s">
        <v>74</v>
      </c>
      <c r="C1" s="24"/>
      <c r="D1" s="25"/>
      <c r="E1" s="246"/>
      <c r="F1" s="26"/>
      <c r="G1" s="229"/>
      <c r="H1" s="229"/>
      <c r="I1" s="229"/>
      <c r="J1" s="229"/>
      <c r="K1" s="229"/>
      <c r="L1" s="26"/>
      <c r="M1" s="26"/>
      <c r="N1" s="287"/>
      <c r="O1" s="26"/>
    </row>
    <row r="2" spans="2:34" ht="19.5" x14ac:dyDescent="0.2">
      <c r="B2" s="129" t="s">
        <v>607</v>
      </c>
      <c r="C2" s="24"/>
      <c r="D2" s="25"/>
      <c r="E2" s="246"/>
      <c r="F2" s="26"/>
      <c r="G2" s="229"/>
      <c r="H2" s="229"/>
      <c r="I2" s="229"/>
      <c r="J2" s="229"/>
      <c r="K2" s="229"/>
      <c r="L2" s="26"/>
      <c r="M2" s="26"/>
      <c r="N2" s="287"/>
      <c r="O2" s="26"/>
      <c r="Q2" s="28"/>
      <c r="R2" s="28"/>
      <c r="S2" s="29"/>
      <c r="U2" s="28"/>
      <c r="V2" s="28"/>
      <c r="W2" s="28"/>
      <c r="X2" s="28"/>
      <c r="Y2" s="28"/>
      <c r="Z2" s="30"/>
      <c r="AB2" s="28"/>
      <c r="AC2" s="28"/>
      <c r="AD2" s="28"/>
      <c r="AE2" s="29"/>
      <c r="AF2" s="31"/>
      <c r="AG2" s="32"/>
      <c r="AH2" s="32"/>
    </row>
    <row r="3" spans="2:34" ht="19.5" x14ac:dyDescent="0.2">
      <c r="B3" s="23"/>
      <c r="C3" s="24"/>
      <c r="D3" s="25"/>
      <c r="E3" s="246"/>
      <c r="F3" s="26"/>
      <c r="G3" s="229"/>
      <c r="H3" s="229"/>
      <c r="I3" s="229"/>
      <c r="J3" s="229"/>
      <c r="K3" s="243"/>
      <c r="L3" s="33"/>
      <c r="M3" s="26"/>
      <c r="N3" s="287"/>
      <c r="O3" s="26"/>
      <c r="Q3" s="28"/>
      <c r="R3" s="28"/>
      <c r="S3" s="29"/>
      <c r="U3" s="28"/>
      <c r="V3" s="28"/>
      <c r="W3" s="28"/>
      <c r="X3" s="28"/>
      <c r="Y3" s="28"/>
      <c r="Z3" s="30"/>
      <c r="AB3" s="28"/>
      <c r="AC3" s="28"/>
      <c r="AD3" s="28"/>
      <c r="AE3" s="29"/>
      <c r="AF3" s="31"/>
      <c r="AG3" s="32"/>
      <c r="AH3" s="32"/>
    </row>
    <row r="4" spans="2:34" ht="19.5" customHeight="1" x14ac:dyDescent="0.2">
      <c r="B4" s="23"/>
      <c r="C4" s="34"/>
      <c r="D4" s="35"/>
      <c r="E4" s="246"/>
      <c r="F4" s="36"/>
      <c r="G4" s="229"/>
      <c r="H4" s="229"/>
      <c r="I4" s="229"/>
      <c r="J4" s="229"/>
      <c r="K4" s="243"/>
      <c r="L4" s="36"/>
      <c r="M4" s="36"/>
      <c r="N4" s="287"/>
      <c r="O4" s="36"/>
      <c r="Q4" s="28"/>
      <c r="R4" s="28"/>
      <c r="S4" s="29"/>
      <c r="U4" s="28"/>
      <c r="V4" s="28"/>
      <c r="W4" s="28"/>
      <c r="X4" s="28"/>
      <c r="Y4" s="28"/>
      <c r="Z4" s="30"/>
      <c r="AB4" s="28"/>
      <c r="AC4" s="28"/>
      <c r="AD4" s="28"/>
      <c r="AE4" s="29"/>
      <c r="AF4" s="31"/>
      <c r="AG4" s="32"/>
      <c r="AH4" s="32"/>
    </row>
    <row r="5" spans="2:34" ht="19.5" customHeight="1" x14ac:dyDescent="0.2">
      <c r="B5" s="308" t="s">
        <v>608</v>
      </c>
      <c r="C5" s="308"/>
      <c r="D5" s="308"/>
      <c r="E5" s="308"/>
      <c r="F5" s="308"/>
      <c r="G5" s="308"/>
      <c r="H5" s="308"/>
      <c r="I5" s="308"/>
      <c r="J5" s="308"/>
      <c r="K5" s="308"/>
      <c r="L5" s="308"/>
      <c r="M5" s="308"/>
      <c r="N5" s="308"/>
      <c r="O5" s="37"/>
      <c r="Q5" s="28"/>
      <c r="R5" s="28"/>
      <c r="S5" s="29"/>
      <c r="U5" s="28"/>
      <c r="V5" s="28"/>
      <c r="W5" s="28"/>
      <c r="X5" s="28"/>
      <c r="Y5" s="28"/>
      <c r="Z5" s="30"/>
      <c r="AB5" s="28"/>
      <c r="AC5" s="28"/>
      <c r="AD5" s="28"/>
      <c r="AE5" s="29"/>
      <c r="AF5" s="31"/>
      <c r="AG5" s="32"/>
      <c r="AH5" s="32"/>
    </row>
    <row r="6" spans="2:34" s="38" customFormat="1" ht="19.5" x14ac:dyDescent="0.2">
      <c r="B6" s="308" t="s">
        <v>150</v>
      </c>
      <c r="C6" s="308"/>
      <c r="D6" s="308"/>
      <c r="E6" s="308"/>
      <c r="F6" s="308"/>
      <c r="G6" s="308"/>
      <c r="H6" s="308"/>
      <c r="I6" s="308"/>
      <c r="J6" s="308"/>
      <c r="K6" s="308"/>
      <c r="L6" s="308"/>
      <c r="M6" s="308"/>
      <c r="N6" s="308"/>
      <c r="O6" s="37"/>
    </row>
    <row r="7" spans="2:34" s="38" customFormat="1" ht="20.25" customHeight="1" thickBot="1" x14ac:dyDescent="0.25">
      <c r="B7" s="324" t="s">
        <v>289</v>
      </c>
      <c r="C7" s="324"/>
      <c r="D7" s="324"/>
      <c r="E7" s="324"/>
      <c r="F7" s="324"/>
      <c r="G7" s="324"/>
      <c r="H7" s="324"/>
      <c r="I7" s="324"/>
      <c r="J7" s="324"/>
      <c r="K7" s="324"/>
      <c r="L7" s="324"/>
      <c r="M7" s="324"/>
      <c r="N7" s="324"/>
      <c r="O7" s="39"/>
    </row>
    <row r="8" spans="2:34" ht="39" customHeight="1" thickTop="1" thickBot="1" x14ac:dyDescent="0.25">
      <c r="B8" s="201" t="s">
        <v>556</v>
      </c>
      <c r="C8" s="202" t="s">
        <v>555</v>
      </c>
      <c r="D8" s="203" t="s">
        <v>0</v>
      </c>
      <c r="E8" s="247" t="s">
        <v>114</v>
      </c>
      <c r="F8" s="204" t="s">
        <v>4</v>
      </c>
      <c r="G8" s="205" t="s">
        <v>1</v>
      </c>
      <c r="H8" s="206" t="s">
        <v>554</v>
      </c>
      <c r="I8" s="201" t="s">
        <v>553</v>
      </c>
      <c r="J8" s="206" t="s">
        <v>552</v>
      </c>
      <c r="K8" s="204" t="s">
        <v>549</v>
      </c>
      <c r="L8" s="207" t="s">
        <v>551</v>
      </c>
      <c r="M8" s="205"/>
      <c r="N8" s="288" t="s">
        <v>550</v>
      </c>
      <c r="O8" s="38"/>
    </row>
    <row r="9" spans="2:34" s="40" customFormat="1" ht="16.5" thickTop="1" x14ac:dyDescent="0.2">
      <c r="B9" s="208"/>
      <c r="C9" s="209"/>
      <c r="D9" s="200"/>
      <c r="E9" s="248"/>
      <c r="F9" s="210"/>
      <c r="G9" s="210"/>
      <c r="H9" s="211"/>
      <c r="I9" s="208"/>
      <c r="J9" s="200"/>
      <c r="K9" s="212"/>
      <c r="L9" s="41"/>
      <c r="M9" s="41"/>
      <c r="N9" s="289"/>
      <c r="O9" s="38"/>
    </row>
    <row r="10" spans="2:34" ht="15.75" x14ac:dyDescent="0.2">
      <c r="B10" s="80">
        <v>1990</v>
      </c>
      <c r="C10" s="81"/>
      <c r="D10" s="44"/>
      <c r="E10" s="249"/>
      <c r="F10" s="75"/>
      <c r="G10" s="230"/>
      <c r="H10" s="230"/>
      <c r="I10" s="230"/>
      <c r="J10" s="230"/>
      <c r="K10" s="230"/>
      <c r="L10" s="82">
        <f>+L11</f>
        <v>198092.5</v>
      </c>
      <c r="M10" s="82"/>
      <c r="N10" s="290">
        <f>+N11</f>
        <v>0</v>
      </c>
    </row>
    <row r="11" spans="2:34" x14ac:dyDescent="0.2">
      <c r="B11" s="42" t="s">
        <v>109</v>
      </c>
      <c r="C11" s="43"/>
      <c r="D11" s="44"/>
      <c r="E11" s="250"/>
      <c r="F11" s="46"/>
      <c r="G11" s="231"/>
      <c r="H11" s="231"/>
      <c r="I11" s="231"/>
      <c r="J11" s="231"/>
      <c r="K11" s="231"/>
      <c r="L11" s="47">
        <f>SUM(L12:L17)</f>
        <v>198092.5</v>
      </c>
      <c r="M11" s="48"/>
      <c r="N11" s="291">
        <f>SUM(N12:N17)</f>
        <v>0</v>
      </c>
      <c r="O11" s="40"/>
    </row>
    <row r="12" spans="2:34" ht="15" x14ac:dyDescent="0.2">
      <c r="B12" s="49" t="s">
        <v>94</v>
      </c>
      <c r="C12" s="50">
        <v>32912</v>
      </c>
      <c r="D12" s="2" t="s">
        <v>322</v>
      </c>
      <c r="E12" s="251" t="s">
        <v>95</v>
      </c>
      <c r="F12" s="27" t="s">
        <v>96</v>
      </c>
      <c r="G12" s="68" t="s">
        <v>97</v>
      </c>
      <c r="H12" s="68" t="s">
        <v>97</v>
      </c>
      <c r="I12" s="68" t="s">
        <v>98</v>
      </c>
      <c r="J12" s="68" t="s">
        <v>99</v>
      </c>
      <c r="K12" s="51" t="s">
        <v>100</v>
      </c>
      <c r="L12" s="52">
        <v>8880</v>
      </c>
      <c r="M12" s="53" t="s">
        <v>138</v>
      </c>
      <c r="N12" s="292">
        <v>0</v>
      </c>
      <c r="P12" s="38"/>
    </row>
    <row r="13" spans="2:34" ht="15" x14ac:dyDescent="0.2">
      <c r="B13" s="54" t="s">
        <v>134</v>
      </c>
      <c r="C13" s="50">
        <v>32933</v>
      </c>
      <c r="D13" s="2" t="s">
        <v>322</v>
      </c>
      <c r="E13" s="251" t="s">
        <v>131</v>
      </c>
      <c r="F13" s="27" t="s">
        <v>41</v>
      </c>
      <c r="G13" s="68" t="s">
        <v>2</v>
      </c>
      <c r="H13" s="68" t="s">
        <v>133</v>
      </c>
      <c r="I13" s="55" t="s">
        <v>132</v>
      </c>
      <c r="J13" s="68" t="s">
        <v>25</v>
      </c>
      <c r="K13" s="56" t="s">
        <v>115</v>
      </c>
      <c r="L13" s="52">
        <f>100000000/1000</f>
        <v>100000</v>
      </c>
      <c r="M13" s="53"/>
      <c r="N13" s="292"/>
      <c r="P13" s="38"/>
    </row>
    <row r="14" spans="2:34" ht="15" x14ac:dyDescent="0.2">
      <c r="B14" s="54" t="s">
        <v>135</v>
      </c>
      <c r="C14" s="50">
        <v>32933</v>
      </c>
      <c r="D14" s="2" t="s">
        <v>322</v>
      </c>
      <c r="E14" s="251" t="s">
        <v>131</v>
      </c>
      <c r="F14" s="27" t="s">
        <v>41</v>
      </c>
      <c r="G14" s="68" t="s">
        <v>2</v>
      </c>
      <c r="H14" s="68" t="s">
        <v>133</v>
      </c>
      <c r="I14" s="55" t="s">
        <v>132</v>
      </c>
      <c r="J14" s="68" t="s">
        <v>25</v>
      </c>
      <c r="K14" s="56" t="s">
        <v>115</v>
      </c>
      <c r="L14" s="52">
        <f>22750000/1000</f>
        <v>22750</v>
      </c>
      <c r="M14" s="53"/>
      <c r="N14" s="292"/>
      <c r="O14" s="38"/>
      <c r="P14" s="38"/>
    </row>
    <row r="15" spans="2:34" ht="15" x14ac:dyDescent="0.2">
      <c r="B15" s="49" t="s">
        <v>119</v>
      </c>
      <c r="C15" s="50">
        <v>32933</v>
      </c>
      <c r="D15" s="2" t="s">
        <v>322</v>
      </c>
      <c r="E15" s="251" t="s">
        <v>120</v>
      </c>
      <c r="F15" s="27" t="s">
        <v>41</v>
      </c>
      <c r="G15" s="68" t="s">
        <v>2</v>
      </c>
      <c r="H15" s="68" t="s">
        <v>124</v>
      </c>
      <c r="I15" s="68" t="s">
        <v>121</v>
      </c>
      <c r="J15" s="68" t="s">
        <v>122</v>
      </c>
      <c r="K15" s="51" t="s">
        <v>123</v>
      </c>
      <c r="L15" s="52">
        <v>20000</v>
      </c>
      <c r="M15" s="53"/>
      <c r="N15" s="292"/>
      <c r="O15" s="38"/>
      <c r="P15" s="38"/>
    </row>
    <row r="16" spans="2:34" ht="15" x14ac:dyDescent="0.2">
      <c r="B16" s="49" t="s">
        <v>139</v>
      </c>
      <c r="C16" s="57">
        <v>33010</v>
      </c>
      <c r="D16" s="2" t="s">
        <v>322</v>
      </c>
      <c r="E16" s="251" t="s">
        <v>137</v>
      </c>
      <c r="F16" s="27" t="s">
        <v>41</v>
      </c>
      <c r="G16" s="68" t="s">
        <v>2</v>
      </c>
      <c r="H16" s="68" t="s">
        <v>133</v>
      </c>
      <c r="I16" s="55" t="s">
        <v>132</v>
      </c>
      <c r="J16" s="56" t="s">
        <v>25</v>
      </c>
      <c r="K16" s="56" t="s">
        <v>115</v>
      </c>
      <c r="L16" s="52">
        <f>34462500/1000</f>
        <v>34462.5</v>
      </c>
      <c r="M16" s="53"/>
      <c r="N16" s="292"/>
      <c r="O16" s="38"/>
    </row>
    <row r="17" spans="2:15" ht="15.75" thickBot="1" x14ac:dyDescent="0.25">
      <c r="B17" s="58" t="s">
        <v>157</v>
      </c>
      <c r="C17" s="59">
        <v>33046</v>
      </c>
      <c r="D17" s="2" t="s">
        <v>322</v>
      </c>
      <c r="E17" s="252" t="s">
        <v>136</v>
      </c>
      <c r="F17" s="61" t="s">
        <v>41</v>
      </c>
      <c r="G17" s="72" t="s">
        <v>2</v>
      </c>
      <c r="H17" s="72" t="s">
        <v>133</v>
      </c>
      <c r="I17" s="62" t="s">
        <v>132</v>
      </c>
      <c r="J17" s="72" t="s">
        <v>25</v>
      </c>
      <c r="K17" s="63" t="s">
        <v>115</v>
      </c>
      <c r="L17" s="64">
        <f>12000000/1000</f>
        <v>12000</v>
      </c>
      <c r="M17" s="65"/>
      <c r="N17" s="293"/>
      <c r="O17" s="38"/>
    </row>
    <row r="18" spans="2:15" s="40" customFormat="1" ht="16.5" thickTop="1" x14ac:dyDescent="0.2">
      <c r="B18" s="208"/>
      <c r="C18" s="209"/>
      <c r="D18" s="200"/>
      <c r="E18" s="248"/>
      <c r="F18" s="210"/>
      <c r="G18" s="210"/>
      <c r="H18" s="211"/>
      <c r="I18" s="208"/>
      <c r="J18" s="200"/>
      <c r="K18" s="212"/>
      <c r="L18" s="41"/>
      <c r="M18" s="41"/>
      <c r="N18" s="289"/>
      <c r="O18" s="38"/>
    </row>
    <row r="19" spans="2:15" ht="15.75" x14ac:dyDescent="0.2">
      <c r="B19" s="80">
        <v>1991</v>
      </c>
      <c r="C19" s="81"/>
      <c r="D19" s="44"/>
      <c r="E19" s="249"/>
      <c r="F19" s="75"/>
      <c r="G19" s="230"/>
      <c r="H19" s="230"/>
      <c r="I19" s="230"/>
      <c r="J19" s="230"/>
      <c r="K19" s="230"/>
      <c r="L19" s="82">
        <f>+L20</f>
        <v>0</v>
      </c>
      <c r="M19" s="82"/>
      <c r="N19" s="290">
        <f>+N20</f>
        <v>3000</v>
      </c>
    </row>
    <row r="20" spans="2:15" x14ac:dyDescent="0.2">
      <c r="B20" s="42" t="s">
        <v>110</v>
      </c>
      <c r="C20" s="43"/>
      <c r="D20" s="45"/>
      <c r="E20" s="250"/>
      <c r="F20" s="46"/>
      <c r="G20" s="231"/>
      <c r="H20" s="231"/>
      <c r="I20" s="231"/>
      <c r="J20" s="231"/>
      <c r="K20" s="231"/>
      <c r="L20" s="47">
        <f>+L21</f>
        <v>0</v>
      </c>
      <c r="M20" s="48"/>
      <c r="N20" s="291">
        <f>+N21</f>
        <v>3000</v>
      </c>
      <c r="O20" s="40"/>
    </row>
    <row r="21" spans="2:15" x14ac:dyDescent="0.2">
      <c r="B21" s="49" t="s">
        <v>101</v>
      </c>
      <c r="C21" s="50">
        <v>33602</v>
      </c>
      <c r="D21" s="44" t="s">
        <v>6</v>
      </c>
      <c r="E21" s="251" t="s">
        <v>102</v>
      </c>
      <c r="F21" s="27" t="s">
        <v>8</v>
      </c>
      <c r="G21" s="68" t="s">
        <v>2</v>
      </c>
      <c r="H21" s="68" t="s">
        <v>8</v>
      </c>
      <c r="I21" s="68" t="s">
        <v>103</v>
      </c>
      <c r="J21" s="68" t="s">
        <v>43</v>
      </c>
      <c r="K21" s="51" t="s">
        <v>83</v>
      </c>
      <c r="L21" s="52">
        <v>0</v>
      </c>
      <c r="M21" s="52"/>
      <c r="N21" s="292">
        <v>3000</v>
      </c>
    </row>
    <row r="22" spans="2:15" ht="13.5" thickBot="1" x14ac:dyDescent="0.25">
      <c r="B22" s="58"/>
      <c r="C22" s="59"/>
      <c r="D22" s="60"/>
      <c r="E22" s="252"/>
      <c r="F22" s="61"/>
      <c r="G22" s="72"/>
      <c r="H22" s="72"/>
      <c r="I22" s="72"/>
      <c r="J22" s="72"/>
      <c r="K22" s="66"/>
      <c r="L22" s="64"/>
      <c r="M22" s="64"/>
      <c r="N22" s="293"/>
    </row>
    <row r="23" spans="2:15" s="40" customFormat="1" ht="16.5" thickTop="1" x14ac:dyDescent="0.2">
      <c r="B23" s="208"/>
      <c r="C23" s="209"/>
      <c r="D23" s="200"/>
      <c r="E23" s="248"/>
      <c r="F23" s="210"/>
      <c r="G23" s="210"/>
      <c r="H23" s="211"/>
      <c r="I23" s="208"/>
      <c r="J23" s="200"/>
      <c r="K23" s="212"/>
      <c r="L23" s="41"/>
      <c r="M23" s="41"/>
      <c r="N23" s="289"/>
      <c r="O23" s="38"/>
    </row>
    <row r="24" spans="2:15" ht="15.75" x14ac:dyDescent="0.2">
      <c r="B24" s="80">
        <v>1992</v>
      </c>
      <c r="C24" s="81"/>
      <c r="D24" s="44"/>
      <c r="E24" s="249"/>
      <c r="F24" s="75"/>
      <c r="G24" s="230"/>
      <c r="H24" s="230"/>
      <c r="I24" s="230"/>
      <c r="J24" s="230"/>
      <c r="K24" s="230"/>
      <c r="L24" s="82">
        <f>+L25</f>
        <v>35000</v>
      </c>
      <c r="M24" s="82"/>
      <c r="N24" s="290">
        <f>+N25</f>
        <v>0</v>
      </c>
    </row>
    <row r="25" spans="2:15" x14ac:dyDescent="0.2">
      <c r="B25" s="42" t="s">
        <v>109</v>
      </c>
      <c r="C25" s="43"/>
      <c r="D25" s="45"/>
      <c r="E25" s="250"/>
      <c r="F25" s="46"/>
      <c r="G25" s="231"/>
      <c r="H25" s="231"/>
      <c r="I25" s="231"/>
      <c r="J25" s="231"/>
      <c r="K25" s="231"/>
      <c r="L25" s="47">
        <f>SUM(L26:L27)</f>
        <v>35000</v>
      </c>
      <c r="M25" s="48"/>
      <c r="N25" s="291">
        <f>SUM(N26:N27)</f>
        <v>0</v>
      </c>
      <c r="O25" s="40"/>
    </row>
    <row r="26" spans="2:15" x14ac:dyDescent="0.2">
      <c r="B26" s="49" t="s">
        <v>117</v>
      </c>
      <c r="C26" s="50">
        <v>33936</v>
      </c>
      <c r="D26" s="2" t="s">
        <v>322</v>
      </c>
      <c r="E26" s="251" t="s">
        <v>113</v>
      </c>
      <c r="F26" s="27" t="s">
        <v>41</v>
      </c>
      <c r="G26" s="68" t="s">
        <v>42</v>
      </c>
      <c r="H26" s="68" t="s">
        <v>111</v>
      </c>
      <c r="I26" s="67" t="s">
        <v>140</v>
      </c>
      <c r="J26" s="68" t="s">
        <v>112</v>
      </c>
      <c r="K26" s="68" t="s">
        <v>115</v>
      </c>
      <c r="L26" s="69">
        <v>23000</v>
      </c>
      <c r="M26" s="70"/>
      <c r="N26" s="294"/>
    </row>
    <row r="27" spans="2:15" ht="13.5" thickBot="1" x14ac:dyDescent="0.25">
      <c r="B27" s="58" t="s">
        <v>118</v>
      </c>
      <c r="C27" s="59">
        <v>33936</v>
      </c>
      <c r="D27" s="2" t="s">
        <v>322</v>
      </c>
      <c r="E27" s="252" t="s">
        <v>116</v>
      </c>
      <c r="F27" s="61" t="s">
        <v>41</v>
      </c>
      <c r="G27" s="72" t="s">
        <v>42</v>
      </c>
      <c r="H27" s="72" t="s">
        <v>111</v>
      </c>
      <c r="I27" s="71" t="s">
        <v>140</v>
      </c>
      <c r="J27" s="72" t="s">
        <v>112</v>
      </c>
      <c r="K27" s="72" t="s">
        <v>115</v>
      </c>
      <c r="L27" s="73">
        <v>12000</v>
      </c>
      <c r="M27" s="74"/>
      <c r="N27" s="295"/>
    </row>
    <row r="28" spans="2:15" s="40" customFormat="1" ht="16.5" thickTop="1" x14ac:dyDescent="0.2">
      <c r="B28" s="208"/>
      <c r="C28" s="209"/>
      <c r="D28" s="200"/>
      <c r="E28" s="248"/>
      <c r="F28" s="210"/>
      <c r="G28" s="210"/>
      <c r="H28" s="211"/>
      <c r="I28" s="208"/>
      <c r="J28" s="200"/>
      <c r="K28" s="212"/>
      <c r="L28" s="41"/>
      <c r="M28" s="41"/>
      <c r="N28" s="289"/>
      <c r="O28" s="38"/>
    </row>
    <row r="29" spans="2:15" ht="15.75" x14ac:dyDescent="0.2">
      <c r="B29" s="80">
        <v>1994</v>
      </c>
      <c r="C29" s="81"/>
      <c r="D29" s="44"/>
      <c r="E29" s="249"/>
      <c r="F29" s="75"/>
      <c r="G29" s="230"/>
      <c r="H29" s="230"/>
      <c r="I29" s="230"/>
      <c r="J29" s="230"/>
      <c r="K29" s="230"/>
      <c r="L29" s="82">
        <f>+L30</f>
        <v>0</v>
      </c>
      <c r="M29" s="82"/>
      <c r="N29" s="290">
        <f>+N30</f>
        <v>618000</v>
      </c>
    </row>
    <row r="30" spans="2:15" x14ac:dyDescent="0.2">
      <c r="B30" s="42" t="s">
        <v>110</v>
      </c>
      <c r="C30" s="43"/>
      <c r="D30" s="45"/>
      <c r="E30" s="250"/>
      <c r="F30" s="46"/>
      <c r="G30" s="231"/>
      <c r="H30" s="231"/>
      <c r="I30" s="231"/>
      <c r="J30" s="231"/>
      <c r="K30" s="231"/>
      <c r="L30" s="47">
        <f>+L31</f>
        <v>0</v>
      </c>
      <c r="M30" s="48"/>
      <c r="N30" s="291">
        <f>SUM(N31:N32)</f>
        <v>618000</v>
      </c>
      <c r="O30" s="40"/>
    </row>
    <row r="31" spans="2:15" x14ac:dyDescent="0.2">
      <c r="B31" s="49" t="s">
        <v>104</v>
      </c>
      <c r="C31" s="50">
        <v>34485</v>
      </c>
      <c r="D31" s="44" t="s">
        <v>6</v>
      </c>
      <c r="E31" s="251" t="s">
        <v>106</v>
      </c>
      <c r="F31" s="27" t="s">
        <v>8</v>
      </c>
      <c r="G31" s="68" t="s">
        <v>2</v>
      </c>
      <c r="H31" s="68" t="s">
        <v>8</v>
      </c>
      <c r="I31" s="51" t="s">
        <v>16</v>
      </c>
      <c r="J31" s="68" t="s">
        <v>105</v>
      </c>
      <c r="K31" s="51" t="s">
        <v>88</v>
      </c>
      <c r="L31" s="52">
        <v>0</v>
      </c>
      <c r="M31" s="52"/>
      <c r="N31" s="292">
        <v>200000</v>
      </c>
    </row>
    <row r="32" spans="2:15" s="75" customFormat="1" ht="16.5" thickBot="1" x14ac:dyDescent="0.25">
      <c r="B32" s="58" t="s">
        <v>104</v>
      </c>
      <c r="C32" s="59">
        <v>34485</v>
      </c>
      <c r="D32" s="60" t="s">
        <v>6</v>
      </c>
      <c r="E32" s="252" t="s">
        <v>107</v>
      </c>
      <c r="F32" s="61" t="s">
        <v>8</v>
      </c>
      <c r="G32" s="72" t="s">
        <v>2</v>
      </c>
      <c r="H32" s="72" t="s">
        <v>8</v>
      </c>
      <c r="I32" s="66" t="s">
        <v>108</v>
      </c>
      <c r="J32" s="72" t="s">
        <v>105</v>
      </c>
      <c r="K32" s="66" t="s">
        <v>108</v>
      </c>
      <c r="L32" s="64">
        <v>0</v>
      </c>
      <c r="M32" s="64"/>
      <c r="N32" s="293">
        <v>418000</v>
      </c>
      <c r="O32" s="27"/>
    </row>
    <row r="33" spans="2:15" s="40" customFormat="1" ht="16.5" thickTop="1" x14ac:dyDescent="0.2">
      <c r="B33" s="208"/>
      <c r="C33" s="209"/>
      <c r="D33" s="200"/>
      <c r="E33" s="248"/>
      <c r="F33" s="210"/>
      <c r="G33" s="210"/>
      <c r="H33" s="211"/>
      <c r="I33" s="208"/>
      <c r="J33" s="200"/>
      <c r="K33" s="212"/>
      <c r="L33" s="41"/>
      <c r="M33" s="41"/>
      <c r="N33" s="289"/>
      <c r="O33" s="38"/>
    </row>
    <row r="34" spans="2:15" ht="15.75" x14ac:dyDescent="0.2">
      <c r="B34" s="80">
        <v>1995</v>
      </c>
      <c r="C34" s="81"/>
      <c r="D34" s="44"/>
      <c r="E34" s="249"/>
      <c r="F34" s="75"/>
      <c r="G34" s="230"/>
      <c r="H34" s="230"/>
      <c r="I34" s="230"/>
      <c r="J34" s="230"/>
      <c r="K34" s="230"/>
      <c r="L34" s="82">
        <f>+L35</f>
        <v>60000</v>
      </c>
      <c r="M34" s="82"/>
      <c r="N34" s="290">
        <f>+N35</f>
        <v>453000</v>
      </c>
    </row>
    <row r="35" spans="2:15" x14ac:dyDescent="0.2">
      <c r="B35" s="42" t="s">
        <v>110</v>
      </c>
      <c r="C35" s="43"/>
      <c r="D35" s="45"/>
      <c r="E35" s="250"/>
      <c r="F35" s="46"/>
      <c r="G35" s="231"/>
      <c r="H35" s="231"/>
      <c r="I35" s="231"/>
      <c r="J35" s="231"/>
      <c r="K35" s="231"/>
      <c r="L35" s="47">
        <f>SUM(L36:L38)</f>
        <v>60000</v>
      </c>
      <c r="M35" s="48"/>
      <c r="N35" s="291">
        <f>SUM(N36:N38)</f>
        <v>453000</v>
      </c>
      <c r="O35" s="40"/>
    </row>
    <row r="36" spans="2:15" x14ac:dyDescent="0.2">
      <c r="B36" s="49" t="s">
        <v>5</v>
      </c>
      <c r="C36" s="50">
        <v>34751</v>
      </c>
      <c r="D36" s="44" t="s">
        <v>6</v>
      </c>
      <c r="E36" s="251" t="s">
        <v>7</v>
      </c>
      <c r="F36" s="27" t="s">
        <v>8</v>
      </c>
      <c r="G36" s="68" t="s">
        <v>2</v>
      </c>
      <c r="H36" s="68" t="s">
        <v>2</v>
      </c>
      <c r="I36" s="68" t="s">
        <v>13</v>
      </c>
      <c r="J36" s="101" t="s">
        <v>11</v>
      </c>
      <c r="K36" s="76" t="s">
        <v>141</v>
      </c>
      <c r="L36" s="52">
        <v>60000</v>
      </c>
      <c r="M36" s="77" t="s">
        <v>11</v>
      </c>
      <c r="N36" s="294"/>
    </row>
    <row r="37" spans="2:15" x14ac:dyDescent="0.2">
      <c r="B37" s="49" t="s">
        <v>9</v>
      </c>
      <c r="C37" s="50">
        <v>34864</v>
      </c>
      <c r="D37" s="9" t="s">
        <v>351</v>
      </c>
      <c r="E37" s="253" t="s">
        <v>177</v>
      </c>
      <c r="F37" s="27" t="s">
        <v>8</v>
      </c>
      <c r="G37" s="68" t="s">
        <v>2</v>
      </c>
      <c r="H37" s="68" t="s">
        <v>2</v>
      </c>
      <c r="I37" s="101" t="s">
        <v>11</v>
      </c>
      <c r="J37" s="101" t="s">
        <v>11</v>
      </c>
      <c r="K37" s="101" t="s">
        <v>11</v>
      </c>
      <c r="L37" s="77">
        <v>0</v>
      </c>
      <c r="M37" s="77"/>
      <c r="N37" s="296">
        <v>200000</v>
      </c>
    </row>
    <row r="38" spans="2:15" s="75" customFormat="1" ht="16.5" thickBot="1" x14ac:dyDescent="0.25">
      <c r="B38" s="58" t="s">
        <v>12</v>
      </c>
      <c r="C38" s="59">
        <v>35063</v>
      </c>
      <c r="D38" s="9" t="s">
        <v>351</v>
      </c>
      <c r="E38" s="254" t="s">
        <v>177</v>
      </c>
      <c r="F38" s="61" t="s">
        <v>8</v>
      </c>
      <c r="G38" s="72" t="s">
        <v>2</v>
      </c>
      <c r="H38" s="72" t="s">
        <v>2</v>
      </c>
      <c r="I38" s="106" t="s">
        <v>11</v>
      </c>
      <c r="J38" s="106" t="s">
        <v>11</v>
      </c>
      <c r="K38" s="106" t="s">
        <v>11</v>
      </c>
      <c r="L38" s="78">
        <v>0</v>
      </c>
      <c r="M38" s="78"/>
      <c r="N38" s="297">
        <v>253000</v>
      </c>
      <c r="O38" s="27"/>
    </row>
    <row r="39" spans="2:15" s="40" customFormat="1" ht="16.5" thickTop="1" x14ac:dyDescent="0.2">
      <c r="B39" s="208"/>
      <c r="C39" s="209"/>
      <c r="D39" s="200"/>
      <c r="E39" s="248"/>
      <c r="F39" s="210"/>
      <c r="G39" s="210"/>
      <c r="H39" s="211"/>
      <c r="I39" s="208"/>
      <c r="J39" s="200"/>
      <c r="K39" s="212"/>
      <c r="L39" s="41"/>
      <c r="M39" s="41"/>
      <c r="N39" s="289"/>
      <c r="O39" s="38"/>
    </row>
    <row r="40" spans="2:15" ht="15.75" x14ac:dyDescent="0.2">
      <c r="B40" s="80">
        <v>1996</v>
      </c>
      <c r="C40" s="81"/>
      <c r="D40" s="44"/>
      <c r="E40" s="249"/>
      <c r="F40" s="75"/>
      <c r="G40" s="230"/>
      <c r="H40" s="230"/>
      <c r="I40" s="230"/>
      <c r="J40" s="230"/>
      <c r="K40" s="230"/>
      <c r="L40" s="82">
        <f>+L41</f>
        <v>0</v>
      </c>
      <c r="M40" s="82"/>
      <c r="N40" s="290">
        <f>+N41</f>
        <v>1542405.476</v>
      </c>
    </row>
    <row r="41" spans="2:15" x14ac:dyDescent="0.2">
      <c r="B41" s="42" t="s">
        <v>110</v>
      </c>
      <c r="C41" s="43"/>
      <c r="D41" s="45"/>
      <c r="E41" s="250"/>
      <c r="F41" s="46"/>
      <c r="G41" s="231"/>
      <c r="H41" s="231"/>
      <c r="I41" s="231"/>
      <c r="J41" s="231"/>
      <c r="K41" s="231"/>
      <c r="L41" s="47">
        <f>+L42</f>
        <v>0</v>
      </c>
      <c r="M41" s="48"/>
      <c r="N41" s="291">
        <f>SUM(N42:N44)</f>
        <v>1542405.476</v>
      </c>
      <c r="O41" s="40"/>
    </row>
    <row r="42" spans="2:15" x14ac:dyDescent="0.2">
      <c r="B42" s="49" t="s">
        <v>18</v>
      </c>
      <c r="C42" s="50">
        <v>35271</v>
      </c>
      <c r="D42" s="44" t="s">
        <v>6</v>
      </c>
      <c r="E42" s="253" t="s">
        <v>177</v>
      </c>
      <c r="F42" s="27" t="s">
        <v>8</v>
      </c>
      <c r="G42" s="68" t="s">
        <v>2</v>
      </c>
      <c r="H42" s="68" t="s">
        <v>2</v>
      </c>
      <c r="I42" s="68">
        <v>0</v>
      </c>
      <c r="J42" s="101" t="s">
        <v>11</v>
      </c>
      <c r="K42" s="101" t="s">
        <v>11</v>
      </c>
      <c r="L42" s="52"/>
      <c r="M42" s="52"/>
      <c r="N42" s="296">
        <v>887549.47600000002</v>
      </c>
    </row>
    <row r="43" spans="2:15" x14ac:dyDescent="0.2">
      <c r="B43" s="49" t="s">
        <v>14</v>
      </c>
      <c r="C43" s="50">
        <v>35430</v>
      </c>
      <c r="D43" s="44" t="s">
        <v>6</v>
      </c>
      <c r="E43" s="251" t="s">
        <v>15</v>
      </c>
      <c r="F43" s="27" t="s">
        <v>8</v>
      </c>
      <c r="G43" s="68" t="s">
        <v>2</v>
      </c>
      <c r="H43" s="68" t="s">
        <v>2</v>
      </c>
      <c r="I43" s="68" t="s">
        <v>16</v>
      </c>
      <c r="J43" s="68"/>
      <c r="K43" s="79" t="s">
        <v>142</v>
      </c>
      <c r="L43" s="52"/>
      <c r="M43" s="52"/>
      <c r="N43" s="296">
        <v>384000</v>
      </c>
    </row>
    <row r="44" spans="2:15" s="75" customFormat="1" ht="16.5" thickBot="1" x14ac:dyDescent="0.25">
      <c r="B44" s="58" t="s">
        <v>17</v>
      </c>
      <c r="C44" s="59">
        <v>35426</v>
      </c>
      <c r="D44" s="11" t="s">
        <v>351</v>
      </c>
      <c r="E44" s="253" t="s">
        <v>177</v>
      </c>
      <c r="F44" s="61" t="s">
        <v>8</v>
      </c>
      <c r="G44" s="72" t="s">
        <v>2</v>
      </c>
      <c r="H44" s="72" t="s">
        <v>2</v>
      </c>
      <c r="I44" s="72">
        <v>0</v>
      </c>
      <c r="J44" s="106" t="s">
        <v>11</v>
      </c>
      <c r="K44" s="106" t="s">
        <v>11</v>
      </c>
      <c r="L44" s="64"/>
      <c r="M44" s="64"/>
      <c r="N44" s="297">
        <v>270856</v>
      </c>
      <c r="O44" s="27"/>
    </row>
    <row r="45" spans="2:15" s="40" customFormat="1" ht="16.5" thickTop="1" x14ac:dyDescent="0.2">
      <c r="B45" s="208"/>
      <c r="C45" s="209"/>
      <c r="D45" s="200"/>
      <c r="E45" s="248"/>
      <c r="F45" s="210"/>
      <c r="G45" s="210"/>
      <c r="H45" s="211"/>
      <c r="I45" s="208"/>
      <c r="J45" s="200"/>
      <c r="K45" s="212"/>
      <c r="L45" s="41"/>
      <c r="M45" s="41"/>
      <c r="N45" s="289"/>
      <c r="O45" s="38"/>
    </row>
    <row r="46" spans="2:15" ht="15.75" x14ac:dyDescent="0.2">
      <c r="B46" s="80">
        <v>1997</v>
      </c>
      <c r="C46" s="81"/>
      <c r="D46" s="44"/>
      <c r="E46" s="249"/>
      <c r="F46" s="75"/>
      <c r="G46" s="230"/>
      <c r="H46" s="230"/>
      <c r="I46" s="230"/>
      <c r="J46" s="230"/>
      <c r="K46" s="230"/>
      <c r="L46" s="82">
        <f>+L47+L55</f>
        <v>592569.00399999996</v>
      </c>
      <c r="M46" s="82"/>
      <c r="N46" s="290">
        <f>+N47+N55</f>
        <v>1285896</v>
      </c>
    </row>
    <row r="47" spans="2:15" x14ac:dyDescent="0.2">
      <c r="B47" s="42" t="s">
        <v>109</v>
      </c>
      <c r="C47" s="43"/>
      <c r="D47" s="45"/>
      <c r="E47" s="250"/>
      <c r="F47" s="46"/>
      <c r="G47" s="231"/>
      <c r="H47" s="231"/>
      <c r="I47" s="231"/>
      <c r="J47" s="231"/>
      <c r="K47" s="231"/>
      <c r="L47" s="47">
        <f>SUM(L48:L53)</f>
        <v>592569.00399999996</v>
      </c>
      <c r="M47" s="48"/>
      <c r="N47" s="291">
        <f>SUM(N48:N53)</f>
        <v>0</v>
      </c>
      <c r="O47" s="40"/>
    </row>
    <row r="48" spans="2:15" x14ac:dyDescent="0.2">
      <c r="B48" s="49" t="s">
        <v>19</v>
      </c>
      <c r="C48" s="50">
        <v>35493</v>
      </c>
      <c r="D48" s="2" t="s">
        <v>22</v>
      </c>
      <c r="E48" s="251" t="s">
        <v>20</v>
      </c>
      <c r="F48" s="27" t="s">
        <v>8</v>
      </c>
      <c r="G48" s="68" t="s">
        <v>2</v>
      </c>
      <c r="H48" s="68" t="s">
        <v>2</v>
      </c>
      <c r="I48" s="68" t="s">
        <v>24</v>
      </c>
      <c r="J48" s="238" t="s">
        <v>25</v>
      </c>
      <c r="K48" s="68" t="s">
        <v>26</v>
      </c>
      <c r="L48" s="52">
        <v>438000</v>
      </c>
      <c r="M48" s="52"/>
      <c r="N48" s="292">
        <v>0</v>
      </c>
    </row>
    <row r="49" spans="2:15" x14ac:dyDescent="0.2">
      <c r="B49" s="49" t="s">
        <v>21</v>
      </c>
      <c r="C49" s="50">
        <v>35523</v>
      </c>
      <c r="D49" s="2" t="s">
        <v>22</v>
      </c>
      <c r="E49" s="251" t="s">
        <v>23</v>
      </c>
      <c r="F49" s="27" t="s">
        <v>8</v>
      </c>
      <c r="G49" s="68" t="s">
        <v>2</v>
      </c>
      <c r="H49" s="68" t="s">
        <v>2</v>
      </c>
      <c r="I49" s="122">
        <v>0.06</v>
      </c>
      <c r="J49" s="68">
        <v>0</v>
      </c>
      <c r="K49" s="68">
        <v>1.5</v>
      </c>
      <c r="L49" s="52">
        <v>130551.84</v>
      </c>
      <c r="M49" s="52"/>
      <c r="N49" s="292">
        <v>0</v>
      </c>
    </row>
    <row r="50" spans="2:15" x14ac:dyDescent="0.2">
      <c r="B50" s="49" t="s">
        <v>27</v>
      </c>
      <c r="C50" s="50">
        <v>35691</v>
      </c>
      <c r="D50" s="2" t="s">
        <v>22</v>
      </c>
      <c r="E50" s="251" t="s">
        <v>28</v>
      </c>
      <c r="F50" s="27" t="s">
        <v>30</v>
      </c>
      <c r="G50" s="68" t="s">
        <v>2</v>
      </c>
      <c r="H50" s="68" t="s">
        <v>31</v>
      </c>
      <c r="I50" s="235" t="s">
        <v>76</v>
      </c>
      <c r="J50" s="238" t="s">
        <v>25</v>
      </c>
      <c r="K50" s="68" t="s">
        <v>26</v>
      </c>
      <c r="L50" s="52">
        <v>3817.1640000000002</v>
      </c>
      <c r="M50" s="52"/>
      <c r="N50" s="292">
        <v>0</v>
      </c>
    </row>
    <row r="51" spans="2:15" x14ac:dyDescent="0.2">
      <c r="B51" s="49" t="s">
        <v>27</v>
      </c>
      <c r="C51" s="50">
        <v>35691</v>
      </c>
      <c r="D51" s="2" t="s">
        <v>22</v>
      </c>
      <c r="E51" s="251" t="s">
        <v>28</v>
      </c>
      <c r="F51" s="27" t="s">
        <v>30</v>
      </c>
      <c r="G51" s="68" t="s">
        <v>2</v>
      </c>
      <c r="H51" s="68" t="s">
        <v>31</v>
      </c>
      <c r="I51" s="68" t="s">
        <v>32</v>
      </c>
      <c r="J51" s="238" t="s">
        <v>25</v>
      </c>
      <c r="K51" s="68" t="s">
        <v>26</v>
      </c>
      <c r="L51" s="52">
        <v>2200</v>
      </c>
      <c r="M51" s="52"/>
      <c r="N51" s="292">
        <v>0</v>
      </c>
    </row>
    <row r="52" spans="2:15" s="40" customFormat="1" x14ac:dyDescent="0.2">
      <c r="B52" s="49" t="s">
        <v>33</v>
      </c>
      <c r="C52" s="50">
        <v>35691</v>
      </c>
      <c r="D52" s="2" t="s">
        <v>22</v>
      </c>
      <c r="E52" s="251" t="s">
        <v>34</v>
      </c>
      <c r="F52" s="27" t="s">
        <v>30</v>
      </c>
      <c r="G52" s="68" t="s">
        <v>2</v>
      </c>
      <c r="H52" s="68" t="s">
        <v>31</v>
      </c>
      <c r="I52" s="68" t="s">
        <v>37</v>
      </c>
      <c r="J52" s="68" t="s">
        <v>36</v>
      </c>
      <c r="K52" s="68" t="s">
        <v>35</v>
      </c>
      <c r="L52" s="52">
        <v>9000</v>
      </c>
      <c r="M52" s="52"/>
      <c r="N52" s="292">
        <v>0</v>
      </c>
      <c r="O52" s="27"/>
    </row>
    <row r="53" spans="2:15" x14ac:dyDescent="0.2">
      <c r="B53" s="49" t="s">
        <v>75</v>
      </c>
      <c r="C53" s="50">
        <v>35783</v>
      </c>
      <c r="D53" s="2" t="s">
        <v>22</v>
      </c>
      <c r="E53" s="251" t="s">
        <v>34</v>
      </c>
      <c r="F53" s="27" t="s">
        <v>30</v>
      </c>
      <c r="G53" s="68" t="s">
        <v>2</v>
      </c>
      <c r="H53" s="68" t="s">
        <v>31</v>
      </c>
      <c r="I53" s="68" t="s">
        <v>37</v>
      </c>
      <c r="J53" s="68" t="s">
        <v>36</v>
      </c>
      <c r="K53" s="68" t="s">
        <v>35</v>
      </c>
      <c r="L53" s="77">
        <v>9000</v>
      </c>
      <c r="M53" s="77"/>
      <c r="N53" s="296">
        <v>0</v>
      </c>
    </row>
    <row r="54" spans="2:15" x14ac:dyDescent="0.2">
      <c r="B54" s="49"/>
      <c r="C54" s="50"/>
      <c r="D54" s="44"/>
      <c r="E54" s="251"/>
      <c r="G54" s="68"/>
      <c r="H54" s="68"/>
      <c r="I54" s="68"/>
      <c r="J54" s="68"/>
      <c r="K54" s="68"/>
      <c r="L54" s="77"/>
      <c r="M54" s="77"/>
      <c r="N54" s="296"/>
    </row>
    <row r="55" spans="2:15" x14ac:dyDescent="0.2">
      <c r="B55" s="42" t="s">
        <v>110</v>
      </c>
      <c r="C55" s="43"/>
      <c r="D55" s="45"/>
      <c r="E55" s="250"/>
      <c r="F55" s="46"/>
      <c r="G55" s="231"/>
      <c r="H55" s="231"/>
      <c r="I55" s="231"/>
      <c r="J55" s="231"/>
      <c r="K55" s="231"/>
      <c r="L55" s="47">
        <f>+L56</f>
        <v>0</v>
      </c>
      <c r="M55" s="48"/>
      <c r="N55" s="291">
        <f>+N56</f>
        <v>1285896</v>
      </c>
      <c r="O55" s="40"/>
    </row>
    <row r="56" spans="2:15" s="75" customFormat="1" ht="16.5" thickBot="1" x14ac:dyDescent="0.25">
      <c r="B56" s="58" t="s">
        <v>38</v>
      </c>
      <c r="C56" s="59">
        <v>35663</v>
      </c>
      <c r="D56" s="9" t="s">
        <v>351</v>
      </c>
      <c r="E56" s="253" t="s">
        <v>177</v>
      </c>
      <c r="F56" s="61" t="s">
        <v>8</v>
      </c>
      <c r="G56" s="72" t="s">
        <v>2</v>
      </c>
      <c r="H56" s="72" t="s">
        <v>2</v>
      </c>
      <c r="I56" s="72">
        <v>0</v>
      </c>
      <c r="J56" s="106" t="s">
        <v>11</v>
      </c>
      <c r="K56" s="106" t="s">
        <v>11</v>
      </c>
      <c r="L56" s="78">
        <v>0</v>
      </c>
      <c r="M56" s="78"/>
      <c r="N56" s="297">
        <v>1285896</v>
      </c>
      <c r="O56" s="27"/>
    </row>
    <row r="57" spans="2:15" s="40" customFormat="1" ht="16.5" thickTop="1" x14ac:dyDescent="0.2">
      <c r="B57" s="208"/>
      <c r="C57" s="209"/>
      <c r="D57" s="200"/>
      <c r="E57" s="248"/>
      <c r="F57" s="210"/>
      <c r="G57" s="210"/>
      <c r="H57" s="211"/>
      <c r="I57" s="208"/>
      <c r="J57" s="200"/>
      <c r="K57" s="212"/>
      <c r="L57" s="41"/>
      <c r="M57" s="41"/>
      <c r="N57" s="289"/>
      <c r="O57" s="38"/>
    </row>
    <row r="58" spans="2:15" ht="15.75" x14ac:dyDescent="0.2">
      <c r="B58" s="80">
        <v>1998</v>
      </c>
      <c r="C58" s="81"/>
      <c r="D58" s="44"/>
      <c r="E58" s="249"/>
      <c r="F58" s="75"/>
      <c r="G58" s="230"/>
      <c r="H58" s="230"/>
      <c r="I58" s="230"/>
      <c r="J58" s="230"/>
      <c r="K58" s="230"/>
      <c r="L58" s="82">
        <f>+L59+L65</f>
        <v>447031.2536</v>
      </c>
      <c r="M58" s="82"/>
      <c r="N58" s="290">
        <f>+N59+N65</f>
        <v>800000</v>
      </c>
    </row>
    <row r="59" spans="2:15" x14ac:dyDescent="0.2">
      <c r="B59" s="42" t="s">
        <v>109</v>
      </c>
      <c r="C59" s="43"/>
      <c r="D59" s="45"/>
      <c r="E59" s="250"/>
      <c r="F59" s="46"/>
      <c r="G59" s="231"/>
      <c r="H59" s="231"/>
      <c r="I59" s="231"/>
      <c r="J59" s="231"/>
      <c r="K59" s="231"/>
      <c r="L59" s="47">
        <f>SUM(L60:L63)</f>
        <v>147031.2536</v>
      </c>
      <c r="M59" s="48"/>
      <c r="N59" s="291">
        <f>SUM(N60:N63)</f>
        <v>0</v>
      </c>
      <c r="O59" s="40"/>
    </row>
    <row r="60" spans="2:15" x14ac:dyDescent="0.2">
      <c r="B60" s="49" t="s">
        <v>40</v>
      </c>
      <c r="C60" s="50">
        <v>35868</v>
      </c>
      <c r="D60" s="2" t="s">
        <v>22</v>
      </c>
      <c r="E60" s="251" t="s">
        <v>41</v>
      </c>
      <c r="F60" s="27" t="s">
        <v>41</v>
      </c>
      <c r="G60" s="68" t="s">
        <v>2</v>
      </c>
      <c r="H60" s="68" t="s">
        <v>42</v>
      </c>
      <c r="I60" s="68" t="s">
        <v>45</v>
      </c>
      <c r="J60" s="68" t="s">
        <v>43</v>
      </c>
      <c r="K60" s="68" t="s">
        <v>44</v>
      </c>
      <c r="L60" s="77">
        <v>13200</v>
      </c>
      <c r="M60" s="77"/>
      <c r="N60" s="296"/>
    </row>
    <row r="61" spans="2:15" x14ac:dyDescent="0.2">
      <c r="B61" s="49" t="s">
        <v>46</v>
      </c>
      <c r="C61" s="50">
        <v>35983</v>
      </c>
      <c r="D61" s="2" t="s">
        <v>22</v>
      </c>
      <c r="E61" s="251" t="s">
        <v>47</v>
      </c>
      <c r="F61" s="27" t="s">
        <v>3</v>
      </c>
      <c r="G61" s="68" t="s">
        <v>2</v>
      </c>
      <c r="H61" s="68" t="s">
        <v>29</v>
      </c>
      <c r="I61" s="68" t="s">
        <v>76</v>
      </c>
      <c r="J61" s="101"/>
      <c r="K61" s="79" t="s">
        <v>143</v>
      </c>
      <c r="L61" s="77">
        <v>2000</v>
      </c>
      <c r="M61" s="77"/>
      <c r="N61" s="296"/>
    </row>
    <row r="62" spans="2:15" s="40" customFormat="1" x14ac:dyDescent="0.2">
      <c r="B62" s="49" t="s">
        <v>144</v>
      </c>
      <c r="C62" s="50">
        <v>36167</v>
      </c>
      <c r="D62" s="2" t="s">
        <v>22</v>
      </c>
      <c r="E62" s="251" t="s">
        <v>52</v>
      </c>
      <c r="F62" s="27" t="s">
        <v>8</v>
      </c>
      <c r="G62" s="68" t="s">
        <v>2</v>
      </c>
      <c r="H62" s="68" t="s">
        <v>2</v>
      </c>
      <c r="I62" s="68"/>
      <c r="J62" s="101"/>
      <c r="K62" s="101"/>
      <c r="L62" s="77">
        <v>126004</v>
      </c>
      <c r="M62" s="77"/>
      <c r="N62" s="296"/>
      <c r="O62" s="27"/>
    </row>
    <row r="63" spans="2:15" x14ac:dyDescent="0.2">
      <c r="B63" s="49" t="s">
        <v>48</v>
      </c>
      <c r="C63" s="50">
        <v>36160</v>
      </c>
      <c r="D63" s="44" t="s">
        <v>49</v>
      </c>
      <c r="E63" s="255" t="s">
        <v>541</v>
      </c>
      <c r="F63" s="27" t="s">
        <v>50</v>
      </c>
      <c r="G63" s="68" t="s">
        <v>2</v>
      </c>
      <c r="H63" s="68" t="s">
        <v>51</v>
      </c>
      <c r="I63" s="122">
        <v>0.04</v>
      </c>
      <c r="J63" s="101">
        <v>0</v>
      </c>
      <c r="K63" s="68" t="s">
        <v>77</v>
      </c>
      <c r="L63" s="77">
        <v>5827.2536</v>
      </c>
      <c r="M63" s="77"/>
      <c r="N63" s="296"/>
    </row>
    <row r="64" spans="2:15" x14ac:dyDescent="0.2">
      <c r="B64" s="49"/>
      <c r="C64" s="50"/>
      <c r="D64" s="44"/>
      <c r="E64" s="251"/>
      <c r="G64" s="68"/>
      <c r="H64" s="68"/>
      <c r="I64" s="122"/>
      <c r="J64" s="101"/>
      <c r="K64" s="68"/>
      <c r="L64" s="77"/>
      <c r="M64" s="77"/>
      <c r="N64" s="296"/>
    </row>
    <row r="65" spans="2:15" x14ac:dyDescent="0.2">
      <c r="B65" s="42" t="s">
        <v>110</v>
      </c>
      <c r="C65" s="43"/>
      <c r="D65" s="45"/>
      <c r="E65" s="250"/>
      <c r="F65" s="46"/>
      <c r="G65" s="231"/>
      <c r="H65" s="231"/>
      <c r="I65" s="231"/>
      <c r="J65" s="231"/>
      <c r="K65" s="231"/>
      <c r="L65" s="47">
        <f>SUM(L66:M68)</f>
        <v>300000</v>
      </c>
      <c r="M65" s="48"/>
      <c r="N65" s="291">
        <f>SUM(N66:N68)</f>
        <v>800000</v>
      </c>
      <c r="O65" s="40"/>
    </row>
    <row r="66" spans="2:15" x14ac:dyDescent="0.2">
      <c r="B66" s="49" t="s">
        <v>53</v>
      </c>
      <c r="C66" s="50">
        <v>36011</v>
      </c>
      <c r="D66" s="9" t="s">
        <v>351</v>
      </c>
      <c r="E66" s="253" t="s">
        <v>177</v>
      </c>
      <c r="F66" s="27" t="s">
        <v>8</v>
      </c>
      <c r="G66" s="68" t="s">
        <v>2</v>
      </c>
      <c r="H66" s="68" t="s">
        <v>2</v>
      </c>
      <c r="I66" s="101" t="s">
        <v>11</v>
      </c>
      <c r="J66" s="101" t="s">
        <v>11</v>
      </c>
      <c r="K66" s="101" t="s">
        <v>11</v>
      </c>
      <c r="L66" s="77"/>
      <c r="M66" s="77"/>
      <c r="N66" s="296">
        <v>800000</v>
      </c>
    </row>
    <row r="67" spans="2:15" x14ac:dyDescent="0.2">
      <c r="B67" s="83" t="s">
        <v>54</v>
      </c>
      <c r="C67" s="50">
        <v>36135</v>
      </c>
      <c r="D67" s="44" t="s">
        <v>39</v>
      </c>
      <c r="E67" s="251" t="s">
        <v>93</v>
      </c>
      <c r="F67" s="27" t="s">
        <v>8</v>
      </c>
      <c r="G67" s="68" t="s">
        <v>2</v>
      </c>
      <c r="H67" s="68" t="s">
        <v>2</v>
      </c>
      <c r="I67" s="68" t="s">
        <v>78</v>
      </c>
      <c r="J67" s="101"/>
      <c r="K67" s="238" t="s">
        <v>79</v>
      </c>
      <c r="L67" s="77">
        <v>150000</v>
      </c>
      <c r="M67" s="77"/>
      <c r="N67" s="296"/>
    </row>
    <row r="68" spans="2:15" s="75" customFormat="1" ht="16.5" thickBot="1" x14ac:dyDescent="0.25">
      <c r="B68" s="58" t="s">
        <v>145</v>
      </c>
      <c r="C68" s="59">
        <v>36160</v>
      </c>
      <c r="D68" s="60" t="s">
        <v>39</v>
      </c>
      <c r="E68" s="252" t="s">
        <v>93</v>
      </c>
      <c r="F68" s="61" t="s">
        <v>8</v>
      </c>
      <c r="G68" s="72" t="s">
        <v>2</v>
      </c>
      <c r="H68" s="72" t="s">
        <v>2</v>
      </c>
      <c r="I68" s="72" t="s">
        <v>78</v>
      </c>
      <c r="J68" s="106"/>
      <c r="K68" s="72" t="s">
        <v>80</v>
      </c>
      <c r="L68" s="78">
        <v>150000</v>
      </c>
      <c r="M68" s="78"/>
      <c r="N68" s="297"/>
      <c r="O68" s="27"/>
    </row>
    <row r="69" spans="2:15" s="40" customFormat="1" ht="16.5" thickTop="1" x14ac:dyDescent="0.2">
      <c r="B69" s="208"/>
      <c r="C69" s="209"/>
      <c r="D69" s="200"/>
      <c r="E69" s="248"/>
      <c r="F69" s="210"/>
      <c r="G69" s="210"/>
      <c r="H69" s="211"/>
      <c r="I69" s="208"/>
      <c r="J69" s="200"/>
      <c r="K69" s="212"/>
      <c r="L69" s="41"/>
      <c r="M69" s="41"/>
      <c r="N69" s="289"/>
      <c r="O69" s="38"/>
    </row>
    <row r="70" spans="2:15" ht="15.75" x14ac:dyDescent="0.2">
      <c r="B70" s="80">
        <v>1999</v>
      </c>
      <c r="C70" s="81"/>
      <c r="D70" s="44"/>
      <c r="E70" s="249"/>
      <c r="F70" s="75"/>
      <c r="G70" s="230"/>
      <c r="H70" s="230"/>
      <c r="I70" s="230"/>
      <c r="J70" s="230"/>
      <c r="K70" s="230"/>
      <c r="L70" s="82">
        <f>+L71+L78</f>
        <v>1411896.75</v>
      </c>
      <c r="M70" s="82"/>
      <c r="N70" s="290">
        <f>+N71+N78</f>
        <v>801597</v>
      </c>
    </row>
    <row r="71" spans="2:15" x14ac:dyDescent="0.2">
      <c r="B71" s="42" t="s">
        <v>109</v>
      </c>
      <c r="C71" s="43"/>
      <c r="D71" s="45"/>
      <c r="E71" s="250"/>
      <c r="F71" s="46"/>
      <c r="G71" s="231"/>
      <c r="H71" s="231"/>
      <c r="I71" s="231"/>
      <c r="J71" s="231"/>
      <c r="K71" s="231"/>
      <c r="L71" s="47">
        <f>SUM(L72:L76)</f>
        <v>542896.75</v>
      </c>
      <c r="M71" s="48"/>
      <c r="N71" s="291">
        <f>SUM(N72:N75)</f>
        <v>0</v>
      </c>
      <c r="O71" s="40"/>
    </row>
    <row r="72" spans="2:15" x14ac:dyDescent="0.2">
      <c r="B72" s="49" t="s">
        <v>55</v>
      </c>
      <c r="C72" s="50">
        <v>36209</v>
      </c>
      <c r="D72" s="2" t="s">
        <v>322</v>
      </c>
      <c r="E72" s="251" t="s">
        <v>41</v>
      </c>
      <c r="F72" s="27" t="s">
        <v>41</v>
      </c>
      <c r="G72" s="68" t="s">
        <v>2</v>
      </c>
      <c r="H72" s="68" t="s">
        <v>42</v>
      </c>
      <c r="I72" s="68" t="s">
        <v>81</v>
      </c>
      <c r="J72" s="68" t="s">
        <v>43</v>
      </c>
      <c r="K72" s="68" t="s">
        <v>44</v>
      </c>
      <c r="L72" s="77">
        <v>4200</v>
      </c>
      <c r="M72" s="77"/>
      <c r="N72" s="292"/>
    </row>
    <row r="73" spans="2:15" x14ac:dyDescent="0.2">
      <c r="B73" s="54" t="s">
        <v>146</v>
      </c>
      <c r="C73" s="50">
        <v>36336</v>
      </c>
      <c r="D73" s="2" t="s">
        <v>322</v>
      </c>
      <c r="E73" s="256" t="s">
        <v>147</v>
      </c>
      <c r="F73" s="27" t="s">
        <v>41</v>
      </c>
      <c r="G73" s="68" t="s">
        <v>2</v>
      </c>
      <c r="H73" s="31" t="s">
        <v>124</v>
      </c>
      <c r="I73" s="84" t="s">
        <v>148</v>
      </c>
      <c r="K73" s="84" t="s">
        <v>149</v>
      </c>
      <c r="L73" s="77">
        <f>36018750/1000</f>
        <v>36018.75</v>
      </c>
      <c r="M73" s="77"/>
      <c r="N73" s="292"/>
    </row>
    <row r="74" spans="2:15" s="40" customFormat="1" x14ac:dyDescent="0.2">
      <c r="B74" s="49" t="s">
        <v>57</v>
      </c>
      <c r="C74" s="50">
        <v>36496</v>
      </c>
      <c r="D74" s="2" t="s">
        <v>322</v>
      </c>
      <c r="E74" s="251" t="s">
        <v>62</v>
      </c>
      <c r="F74" s="27" t="s">
        <v>8</v>
      </c>
      <c r="G74" s="68" t="s">
        <v>2</v>
      </c>
      <c r="H74" s="68" t="s">
        <v>8</v>
      </c>
      <c r="I74" s="68" t="s">
        <v>82</v>
      </c>
      <c r="J74" s="68" t="s">
        <v>43</v>
      </c>
      <c r="K74" s="68" t="s">
        <v>44</v>
      </c>
      <c r="L74" s="77">
        <v>217000</v>
      </c>
      <c r="M74" s="77"/>
      <c r="N74" s="292"/>
      <c r="O74" s="27"/>
    </row>
    <row r="75" spans="2:15" x14ac:dyDescent="0.2">
      <c r="B75" s="49" t="s">
        <v>56</v>
      </c>
      <c r="C75" s="50">
        <v>36496</v>
      </c>
      <c r="D75" s="2" t="s">
        <v>322</v>
      </c>
      <c r="E75" s="251" t="s">
        <v>63</v>
      </c>
      <c r="F75" s="27" t="s">
        <v>67</v>
      </c>
      <c r="G75" s="68" t="s">
        <v>2</v>
      </c>
      <c r="H75" s="68" t="s">
        <v>68</v>
      </c>
      <c r="I75" s="122">
        <v>0.1</v>
      </c>
      <c r="J75" s="68" t="s">
        <v>25</v>
      </c>
      <c r="K75" s="68" t="s">
        <v>83</v>
      </c>
      <c r="L75" s="77">
        <v>90000</v>
      </c>
      <c r="M75" s="77"/>
      <c r="N75" s="294"/>
    </row>
    <row r="76" spans="2:15" x14ac:dyDescent="0.2">
      <c r="B76" s="49" t="s">
        <v>151</v>
      </c>
      <c r="C76" s="50">
        <v>36341</v>
      </c>
      <c r="D76" s="44"/>
      <c r="E76" s="251" t="s">
        <v>152</v>
      </c>
      <c r="F76" s="27" t="s">
        <v>8</v>
      </c>
      <c r="G76" s="68" t="s">
        <v>2</v>
      </c>
      <c r="H76" s="68" t="s">
        <v>8</v>
      </c>
      <c r="I76" s="68" t="s">
        <v>153</v>
      </c>
      <c r="J76" s="68"/>
      <c r="K76" s="68" t="s">
        <v>155</v>
      </c>
      <c r="L76" s="77">
        <v>195678</v>
      </c>
      <c r="M76" s="77"/>
      <c r="N76" s="294"/>
    </row>
    <row r="77" spans="2:15" x14ac:dyDescent="0.2">
      <c r="B77" s="49"/>
      <c r="C77" s="50"/>
      <c r="D77" s="44"/>
      <c r="E77" s="251"/>
      <c r="G77" s="68"/>
      <c r="H77" s="68"/>
      <c r="I77" s="68"/>
      <c r="J77" s="68"/>
      <c r="K77" s="68"/>
      <c r="L77" s="77"/>
      <c r="M77" s="77"/>
      <c r="N77" s="294"/>
    </row>
    <row r="78" spans="2:15" x14ac:dyDescent="0.2">
      <c r="B78" s="42" t="s">
        <v>110</v>
      </c>
      <c r="C78" s="43"/>
      <c r="D78" s="45"/>
      <c r="E78" s="250"/>
      <c r="F78" s="46"/>
      <c r="G78" s="231"/>
      <c r="H78" s="231"/>
      <c r="I78" s="231"/>
      <c r="J78" s="231"/>
      <c r="K78" s="231"/>
      <c r="L78" s="47">
        <f>SUM(L79:M82)</f>
        <v>869000</v>
      </c>
      <c r="M78" s="48"/>
      <c r="N78" s="291">
        <f>SUM(N79:N82)</f>
        <v>801597</v>
      </c>
      <c r="O78" s="40"/>
    </row>
    <row r="79" spans="2:15" x14ac:dyDescent="0.2">
      <c r="B79" s="49" t="s">
        <v>58</v>
      </c>
      <c r="C79" s="50">
        <v>36330</v>
      </c>
      <c r="D79" s="44" t="s">
        <v>64</v>
      </c>
      <c r="E79" s="251" t="s">
        <v>65</v>
      </c>
      <c r="F79" s="27" t="s">
        <v>8</v>
      </c>
      <c r="G79" s="68" t="s">
        <v>2</v>
      </c>
      <c r="H79" s="68" t="s">
        <v>8</v>
      </c>
      <c r="I79" s="68" t="s">
        <v>86</v>
      </c>
      <c r="J79" s="68" t="s">
        <v>84</v>
      </c>
      <c r="K79" s="68" t="s">
        <v>85</v>
      </c>
      <c r="L79" s="77">
        <v>400000</v>
      </c>
      <c r="M79" s="77"/>
      <c r="N79" s="292"/>
    </row>
    <row r="80" spans="2:15" x14ac:dyDescent="0.2">
      <c r="B80" s="49" t="s">
        <v>59</v>
      </c>
      <c r="C80" s="50">
        <v>36349</v>
      </c>
      <c r="D80" s="9" t="s">
        <v>351</v>
      </c>
      <c r="E80" s="253" t="s">
        <v>177</v>
      </c>
      <c r="F80" s="27" t="s">
        <v>8</v>
      </c>
      <c r="G80" s="68" t="s">
        <v>2</v>
      </c>
      <c r="H80" s="68" t="s">
        <v>8</v>
      </c>
      <c r="I80" s="68">
        <v>0</v>
      </c>
      <c r="J80" s="101" t="s">
        <v>11</v>
      </c>
      <c r="K80" s="68"/>
      <c r="L80" s="77">
        <v>0</v>
      </c>
      <c r="M80" s="77"/>
      <c r="N80" s="296">
        <v>801597</v>
      </c>
    </row>
    <row r="81" spans="2:15" x14ac:dyDescent="0.2">
      <c r="B81" s="49" t="s">
        <v>60</v>
      </c>
      <c r="C81" s="50">
        <v>36355</v>
      </c>
      <c r="D81" s="44" t="s">
        <v>64</v>
      </c>
      <c r="E81" s="251" t="s">
        <v>66</v>
      </c>
      <c r="F81" s="27" t="s">
        <v>8</v>
      </c>
      <c r="G81" s="68" t="s">
        <v>2</v>
      </c>
      <c r="H81" s="68" t="s">
        <v>8</v>
      </c>
      <c r="I81" s="68" t="s">
        <v>87</v>
      </c>
      <c r="J81" s="101"/>
      <c r="K81" s="68" t="s">
        <v>88</v>
      </c>
      <c r="L81" s="77">
        <v>200000</v>
      </c>
      <c r="M81" s="77"/>
      <c r="N81" s="292"/>
    </row>
    <row r="82" spans="2:15" s="75" customFormat="1" ht="16.5" thickBot="1" x14ac:dyDescent="0.25">
      <c r="B82" s="58" t="s">
        <v>61</v>
      </c>
      <c r="C82" s="59">
        <v>36510</v>
      </c>
      <c r="D82" s="60" t="s">
        <v>64</v>
      </c>
      <c r="E82" s="252" t="s">
        <v>89</v>
      </c>
      <c r="F82" s="61" t="s">
        <v>8</v>
      </c>
      <c r="G82" s="72" t="s">
        <v>2</v>
      </c>
      <c r="H82" s="72" t="s">
        <v>8</v>
      </c>
      <c r="I82" s="72" t="s">
        <v>154</v>
      </c>
      <c r="J82" s="72" t="s">
        <v>90</v>
      </c>
      <c r="K82" s="72" t="s">
        <v>91</v>
      </c>
      <c r="L82" s="78">
        <v>269000</v>
      </c>
      <c r="M82" s="78"/>
      <c r="N82" s="293"/>
      <c r="O82" s="27"/>
    </row>
    <row r="83" spans="2:15" s="40" customFormat="1" ht="16.5" thickTop="1" x14ac:dyDescent="0.2">
      <c r="B83" s="208"/>
      <c r="C83" s="209"/>
      <c r="D83" s="200"/>
      <c r="E83" s="248"/>
      <c r="F83" s="210"/>
      <c r="G83" s="210"/>
      <c r="H83" s="211"/>
      <c r="I83" s="208"/>
      <c r="J83" s="200"/>
      <c r="K83" s="212"/>
      <c r="L83" s="41"/>
      <c r="M83" s="41"/>
      <c r="N83" s="289"/>
      <c r="O83" s="38"/>
    </row>
    <row r="84" spans="2:15" ht="15.75" x14ac:dyDescent="0.2">
      <c r="B84" s="80">
        <v>2000</v>
      </c>
      <c r="C84" s="81"/>
      <c r="D84" s="44"/>
      <c r="E84" s="249"/>
      <c r="F84" s="75"/>
      <c r="G84" s="230"/>
      <c r="H84" s="230"/>
      <c r="I84" s="230"/>
      <c r="J84" s="230"/>
      <c r="K84" s="230"/>
      <c r="L84" s="82">
        <f>+L85+L89</f>
        <v>758450</v>
      </c>
      <c r="M84" s="82"/>
      <c r="N84" s="290">
        <f>+N85+N89</f>
        <v>544546</v>
      </c>
    </row>
    <row r="85" spans="2:15" s="40" customFormat="1" x14ac:dyDescent="0.2">
      <c r="B85" s="42" t="s">
        <v>109</v>
      </c>
      <c r="C85" s="43"/>
      <c r="D85" s="45"/>
      <c r="E85" s="250"/>
      <c r="F85" s="46"/>
      <c r="G85" s="231"/>
      <c r="H85" s="231"/>
      <c r="I85" s="231"/>
      <c r="J85" s="231"/>
      <c r="K85" s="231"/>
      <c r="L85" s="47">
        <f>+L86</f>
        <v>58450</v>
      </c>
      <c r="M85" s="48"/>
      <c r="N85" s="291">
        <f>+N86+N87</f>
        <v>0</v>
      </c>
    </row>
    <row r="86" spans="2:15" x14ac:dyDescent="0.2">
      <c r="B86" s="49" t="s">
        <v>72</v>
      </c>
      <c r="C86" s="50">
        <v>36798</v>
      </c>
      <c r="D86" s="44" t="s">
        <v>22</v>
      </c>
      <c r="E86" s="251" t="s">
        <v>73</v>
      </c>
      <c r="F86" s="49" t="s">
        <v>8</v>
      </c>
      <c r="G86" s="68" t="s">
        <v>2</v>
      </c>
      <c r="H86" s="68" t="s">
        <v>8</v>
      </c>
      <c r="I86" s="68" t="s">
        <v>92</v>
      </c>
      <c r="J86" s="68" t="s">
        <v>43</v>
      </c>
      <c r="K86" s="244" t="s">
        <v>44</v>
      </c>
      <c r="L86" s="85">
        <v>58450</v>
      </c>
      <c r="M86" s="77"/>
      <c r="N86" s="296"/>
    </row>
    <row r="87" spans="2:15" x14ac:dyDescent="0.2">
      <c r="B87" s="49" t="s">
        <v>125</v>
      </c>
      <c r="C87" s="50">
        <v>36863</v>
      </c>
      <c r="D87" s="44" t="s">
        <v>64</v>
      </c>
      <c r="E87" s="251" t="s">
        <v>129</v>
      </c>
      <c r="F87" s="49" t="s">
        <v>8</v>
      </c>
      <c r="G87" s="68" t="s">
        <v>2</v>
      </c>
      <c r="H87" s="68" t="s">
        <v>8</v>
      </c>
      <c r="I87" s="68" t="s">
        <v>92</v>
      </c>
      <c r="J87" s="68" t="s">
        <v>156</v>
      </c>
      <c r="K87" s="101"/>
      <c r="L87" s="86">
        <v>200000</v>
      </c>
      <c r="M87" s="52"/>
      <c r="N87" s="292"/>
    </row>
    <row r="88" spans="2:15" x14ac:dyDescent="0.2">
      <c r="B88" s="49"/>
      <c r="C88" s="50"/>
      <c r="D88" s="44"/>
      <c r="E88" s="251"/>
      <c r="F88" s="49"/>
      <c r="G88" s="68"/>
      <c r="H88" s="68"/>
      <c r="I88" s="68"/>
      <c r="J88" s="68"/>
      <c r="K88" s="101"/>
      <c r="L88" s="86"/>
      <c r="M88" s="52"/>
      <c r="N88" s="292"/>
    </row>
    <row r="89" spans="2:15" x14ac:dyDescent="0.2">
      <c r="B89" s="42" t="s">
        <v>110</v>
      </c>
      <c r="C89" s="43"/>
      <c r="D89" s="45"/>
      <c r="E89" s="250"/>
      <c r="F89" s="87"/>
      <c r="G89" s="231"/>
      <c r="H89" s="231"/>
      <c r="I89" s="231"/>
      <c r="J89" s="231"/>
      <c r="K89" s="231"/>
      <c r="L89" s="88">
        <f>SUM(L90:L93)</f>
        <v>700000</v>
      </c>
      <c r="M89" s="48"/>
      <c r="N89" s="291">
        <f>SUM(N90:N93)</f>
        <v>544546</v>
      </c>
      <c r="O89" s="40"/>
    </row>
    <row r="90" spans="2:15" x14ac:dyDescent="0.2">
      <c r="B90" s="49" t="s">
        <v>69</v>
      </c>
      <c r="C90" s="50">
        <v>36688</v>
      </c>
      <c r="D90" s="9" t="s">
        <v>351</v>
      </c>
      <c r="E90" s="253" t="s">
        <v>177</v>
      </c>
      <c r="F90" s="49" t="s">
        <v>8</v>
      </c>
      <c r="G90" s="68" t="s">
        <v>2</v>
      </c>
      <c r="H90" s="68" t="s">
        <v>8</v>
      </c>
      <c r="I90" s="101">
        <v>0</v>
      </c>
      <c r="J90" s="101" t="s">
        <v>11</v>
      </c>
      <c r="K90" s="101"/>
      <c r="L90" s="85"/>
      <c r="M90" s="77"/>
      <c r="N90" s="292">
        <v>544546</v>
      </c>
    </row>
    <row r="91" spans="2:15" x14ac:dyDescent="0.2">
      <c r="B91" s="49" t="s">
        <v>126</v>
      </c>
      <c r="C91" s="50">
        <v>36754</v>
      </c>
      <c r="D91" s="44" t="s">
        <v>64</v>
      </c>
      <c r="E91" s="251" t="s">
        <v>70</v>
      </c>
      <c r="F91" s="49" t="s">
        <v>8</v>
      </c>
      <c r="G91" s="68" t="s">
        <v>2</v>
      </c>
      <c r="H91" s="68" t="s">
        <v>8</v>
      </c>
      <c r="I91" s="236">
        <v>0.08</v>
      </c>
      <c r="J91" s="236"/>
      <c r="K91" s="68" t="s">
        <v>130</v>
      </c>
      <c r="L91" s="85">
        <v>500000</v>
      </c>
      <c r="M91" s="77"/>
      <c r="N91" s="292"/>
    </row>
    <row r="92" spans="2:15" x14ac:dyDescent="0.2">
      <c r="B92" s="49" t="s">
        <v>127</v>
      </c>
      <c r="C92" s="50">
        <v>36808</v>
      </c>
      <c r="D92" s="44" t="s">
        <v>64</v>
      </c>
      <c r="E92" s="251" t="s">
        <v>71</v>
      </c>
      <c r="F92" s="49" t="s">
        <v>8</v>
      </c>
      <c r="G92" s="68" t="s">
        <v>2</v>
      </c>
      <c r="H92" s="68" t="s">
        <v>8</v>
      </c>
      <c r="I92" s="101" t="s">
        <v>11</v>
      </c>
      <c r="J92" s="101" t="s">
        <v>11</v>
      </c>
      <c r="K92" s="68" t="s">
        <v>169</v>
      </c>
      <c r="L92" s="86"/>
      <c r="M92" s="52"/>
      <c r="N92" s="292"/>
    </row>
    <row r="93" spans="2:15" ht="13.5" thickBot="1" x14ac:dyDescent="0.25">
      <c r="B93" s="58" t="s">
        <v>125</v>
      </c>
      <c r="C93" s="59">
        <v>36857</v>
      </c>
      <c r="D93" s="60" t="s">
        <v>64</v>
      </c>
      <c r="E93" s="252" t="s">
        <v>128</v>
      </c>
      <c r="F93" s="58" t="s">
        <v>8</v>
      </c>
      <c r="G93" s="72" t="s">
        <v>2</v>
      </c>
      <c r="H93" s="72" t="s">
        <v>8</v>
      </c>
      <c r="I93" s="72">
        <v>0</v>
      </c>
      <c r="J93" s="239" t="s">
        <v>156</v>
      </c>
      <c r="K93" s="72"/>
      <c r="L93" s="89">
        <v>200000</v>
      </c>
      <c r="M93" s="64"/>
      <c r="N93" s="293"/>
    </row>
    <row r="94" spans="2:15" s="40" customFormat="1" ht="16.5" thickTop="1" x14ac:dyDescent="0.2">
      <c r="B94" s="208"/>
      <c r="C94" s="209"/>
      <c r="D94" s="200"/>
      <c r="E94" s="248"/>
      <c r="F94" s="210"/>
      <c r="G94" s="210"/>
      <c r="H94" s="211"/>
      <c r="I94" s="208"/>
      <c r="J94" s="200"/>
      <c r="K94" s="212"/>
      <c r="L94" s="41"/>
      <c r="M94" s="41"/>
      <c r="N94" s="289"/>
      <c r="O94" s="38"/>
    </row>
    <row r="95" spans="2:15" ht="15.75" x14ac:dyDescent="0.2">
      <c r="B95" s="80">
        <v>2001</v>
      </c>
      <c r="C95" s="81"/>
      <c r="D95" s="44"/>
      <c r="E95" s="249"/>
      <c r="F95" s="75"/>
      <c r="G95" s="230"/>
      <c r="H95" s="230"/>
      <c r="I95" s="230"/>
      <c r="J95" s="230"/>
      <c r="K95" s="230"/>
      <c r="L95" s="82">
        <f>+L96+L100</f>
        <v>5000</v>
      </c>
      <c r="M95" s="82"/>
      <c r="N95" s="290">
        <f>+N96+N100</f>
        <v>1656335</v>
      </c>
    </row>
    <row r="96" spans="2:15" x14ac:dyDescent="0.2">
      <c r="B96" s="42" t="s">
        <v>109</v>
      </c>
      <c r="C96" s="50"/>
      <c r="D96" s="44"/>
      <c r="E96" s="251"/>
      <c r="F96" s="49"/>
      <c r="G96" s="68"/>
      <c r="H96" s="68"/>
      <c r="I96" s="68"/>
      <c r="J96" s="240"/>
      <c r="K96" s="68"/>
      <c r="L96" s="47">
        <f>+L97+L98</f>
        <v>5000</v>
      </c>
      <c r="M96" s="90"/>
      <c r="N96" s="291">
        <f>+N97+N98</f>
        <v>117750</v>
      </c>
    </row>
    <row r="97" spans="2:15" x14ac:dyDescent="0.2">
      <c r="B97" s="49" t="s">
        <v>158</v>
      </c>
      <c r="C97" s="50">
        <v>36997</v>
      </c>
      <c r="D97" s="68" t="s">
        <v>322</v>
      </c>
      <c r="E97" s="255" t="s">
        <v>542</v>
      </c>
      <c r="F97" s="49" t="s">
        <v>41</v>
      </c>
      <c r="G97" s="68" t="s">
        <v>2</v>
      </c>
      <c r="H97" s="68" t="s">
        <v>124</v>
      </c>
      <c r="I97" s="68" t="s">
        <v>82</v>
      </c>
      <c r="J97" s="68" t="s">
        <v>164</v>
      </c>
      <c r="K97" s="68" t="s">
        <v>85</v>
      </c>
      <c r="L97" s="85">
        <v>5000</v>
      </c>
      <c r="M97" s="52"/>
      <c r="N97" s="292">
        <f>+L97*3.55</f>
        <v>17750</v>
      </c>
    </row>
    <row r="98" spans="2:15" x14ac:dyDescent="0.2">
      <c r="B98" s="49" t="s">
        <v>162</v>
      </c>
      <c r="C98" s="50">
        <v>37074</v>
      </c>
      <c r="D98" s="68" t="s">
        <v>322</v>
      </c>
      <c r="E98" s="251" t="s">
        <v>176</v>
      </c>
      <c r="F98" s="49" t="s">
        <v>8</v>
      </c>
      <c r="G98" s="68" t="s">
        <v>2</v>
      </c>
      <c r="H98" s="68" t="s">
        <v>8</v>
      </c>
      <c r="I98" s="236">
        <v>1.4999999999999999E-2</v>
      </c>
      <c r="J98" s="68" t="s">
        <v>163</v>
      </c>
      <c r="K98" s="68" t="s">
        <v>165</v>
      </c>
      <c r="L98" s="85"/>
      <c r="M98" s="52"/>
      <c r="N98" s="292">
        <v>100000</v>
      </c>
    </row>
    <row r="99" spans="2:15" x14ac:dyDescent="0.2">
      <c r="B99" s="49"/>
      <c r="C99" s="50"/>
      <c r="D99" s="68"/>
      <c r="E99" s="251"/>
      <c r="F99" s="49"/>
      <c r="G99" s="68"/>
      <c r="H99" s="68"/>
      <c r="I99" s="236"/>
      <c r="J99" s="68"/>
      <c r="K99" s="68"/>
      <c r="L99" s="85"/>
      <c r="M99" s="52"/>
      <c r="N99" s="292"/>
    </row>
    <row r="100" spans="2:15" x14ac:dyDescent="0.2">
      <c r="B100" s="42" t="s">
        <v>110</v>
      </c>
      <c r="C100" s="50"/>
      <c r="D100" s="68"/>
      <c r="E100" s="251"/>
      <c r="F100" s="49"/>
      <c r="G100" s="68"/>
      <c r="H100" s="68"/>
      <c r="I100" s="68"/>
      <c r="J100" s="240"/>
      <c r="K100" s="68"/>
      <c r="L100" s="88">
        <f>SUM(L101:L104)</f>
        <v>0</v>
      </c>
      <c r="M100" s="52"/>
      <c r="N100" s="291">
        <f>SUM(N101:N104)</f>
        <v>1538585</v>
      </c>
    </row>
    <row r="101" spans="2:15" x14ac:dyDescent="0.2">
      <c r="B101" s="49" t="s">
        <v>159</v>
      </c>
      <c r="C101" s="50">
        <v>36924</v>
      </c>
      <c r="D101" s="9" t="s">
        <v>351</v>
      </c>
      <c r="E101" s="251" t="s">
        <v>160</v>
      </c>
      <c r="F101" s="49" t="s">
        <v>8</v>
      </c>
      <c r="G101" s="68" t="s">
        <v>2</v>
      </c>
      <c r="H101" s="68" t="s">
        <v>8</v>
      </c>
      <c r="I101" s="84" t="s">
        <v>180</v>
      </c>
      <c r="J101" s="101" t="s">
        <v>11</v>
      </c>
      <c r="K101" s="67"/>
      <c r="L101" s="85"/>
      <c r="M101" s="52"/>
      <c r="N101" s="292">
        <v>500000</v>
      </c>
    </row>
    <row r="102" spans="2:15" x14ac:dyDescent="0.2">
      <c r="B102" s="49" t="s">
        <v>166</v>
      </c>
      <c r="C102" s="50">
        <v>37137</v>
      </c>
      <c r="D102" s="9" t="s">
        <v>351</v>
      </c>
      <c r="E102" s="251" t="s">
        <v>167</v>
      </c>
      <c r="F102" s="49" t="s">
        <v>8</v>
      </c>
      <c r="G102" s="68" t="s">
        <v>2</v>
      </c>
      <c r="H102" s="68" t="s">
        <v>8</v>
      </c>
      <c r="I102" s="84" t="s">
        <v>180</v>
      </c>
      <c r="J102" s="101" t="s">
        <v>11</v>
      </c>
      <c r="K102" s="67"/>
      <c r="L102" s="85"/>
      <c r="M102" s="52"/>
      <c r="N102" s="292">
        <v>700000</v>
      </c>
    </row>
    <row r="103" spans="2:15" x14ac:dyDescent="0.2">
      <c r="B103" s="49" t="s">
        <v>161</v>
      </c>
      <c r="C103" s="50">
        <v>36960</v>
      </c>
      <c r="D103" s="68" t="s">
        <v>64</v>
      </c>
      <c r="E103" s="251" t="s">
        <v>175</v>
      </c>
      <c r="F103" s="49" t="s">
        <v>8</v>
      </c>
      <c r="G103" s="68" t="s">
        <v>2</v>
      </c>
      <c r="H103" s="68" t="s">
        <v>8</v>
      </c>
      <c r="I103" s="68" t="s">
        <v>92</v>
      </c>
      <c r="J103" s="101" t="s">
        <v>11</v>
      </c>
      <c r="K103" s="68" t="s">
        <v>156</v>
      </c>
      <c r="L103" s="85"/>
      <c r="M103" s="52"/>
      <c r="N103" s="292">
        <v>119225</v>
      </c>
      <c r="O103" s="91" t="s">
        <v>170</v>
      </c>
    </row>
    <row r="104" spans="2:15" ht="13.5" thickBot="1" x14ac:dyDescent="0.25">
      <c r="B104" s="58" t="s">
        <v>168</v>
      </c>
      <c r="C104" s="59">
        <v>37001</v>
      </c>
      <c r="D104" s="11" t="s">
        <v>351</v>
      </c>
      <c r="E104" s="254" t="s">
        <v>177</v>
      </c>
      <c r="F104" s="61" t="s">
        <v>8</v>
      </c>
      <c r="G104" s="105" t="s">
        <v>2</v>
      </c>
      <c r="H104" s="72" t="s">
        <v>10</v>
      </c>
      <c r="I104" s="107" t="s">
        <v>11</v>
      </c>
      <c r="J104" s="106" t="s">
        <v>11</v>
      </c>
      <c r="K104" s="106" t="s">
        <v>11</v>
      </c>
      <c r="L104" s="78"/>
      <c r="M104" s="64"/>
      <c r="N104" s="293">
        <v>219360</v>
      </c>
    </row>
    <row r="105" spans="2:15" s="40" customFormat="1" ht="16.5" thickTop="1" x14ac:dyDescent="0.2">
      <c r="B105" s="208"/>
      <c r="C105" s="209"/>
      <c r="D105" s="200"/>
      <c r="E105" s="248"/>
      <c r="F105" s="210"/>
      <c r="G105" s="210"/>
      <c r="H105" s="211"/>
      <c r="I105" s="208"/>
      <c r="J105" s="200"/>
      <c r="K105" s="212"/>
      <c r="L105" s="41"/>
      <c r="M105" s="41"/>
      <c r="N105" s="289"/>
      <c r="O105" s="38"/>
    </row>
    <row r="106" spans="2:15" ht="15.75" x14ac:dyDescent="0.2">
      <c r="B106" s="80">
        <v>2002</v>
      </c>
      <c r="C106" s="81"/>
      <c r="D106" s="44"/>
      <c r="E106" s="249"/>
      <c r="F106" s="75"/>
      <c r="G106" s="230"/>
      <c r="H106" s="230"/>
      <c r="I106" s="230"/>
      <c r="J106" s="230"/>
      <c r="K106" s="230"/>
      <c r="L106" s="82">
        <f>+L107+L111</f>
        <v>7200</v>
      </c>
      <c r="M106" s="82"/>
      <c r="N106" s="290">
        <f>+N107+N111</f>
        <v>2125200</v>
      </c>
    </row>
    <row r="107" spans="2:15" x14ac:dyDescent="0.2">
      <c r="B107" s="92" t="s">
        <v>110</v>
      </c>
      <c r="D107" s="44"/>
      <c r="F107" s="44"/>
      <c r="G107" s="68"/>
      <c r="I107" s="101"/>
      <c r="J107" s="100"/>
      <c r="K107" s="101"/>
      <c r="L107" s="88">
        <f>SUM(L108:L108)</f>
        <v>0</v>
      </c>
      <c r="M107" s="52"/>
      <c r="N107" s="291">
        <f>SUM(N108:N109)</f>
        <v>2000000</v>
      </c>
    </row>
    <row r="108" spans="2:15" x14ac:dyDescent="0.2">
      <c r="B108" s="44" t="s">
        <v>171</v>
      </c>
      <c r="C108" s="93">
        <v>37266</v>
      </c>
      <c r="D108" s="9" t="s">
        <v>351</v>
      </c>
      <c r="E108" s="253" t="s">
        <v>172</v>
      </c>
      <c r="F108" s="44" t="s">
        <v>8</v>
      </c>
      <c r="G108" s="68" t="s">
        <v>2</v>
      </c>
      <c r="H108" s="31" t="s">
        <v>8</v>
      </c>
      <c r="I108" s="84" t="s">
        <v>180</v>
      </c>
      <c r="J108" s="100" t="s">
        <v>11</v>
      </c>
      <c r="K108" s="67"/>
      <c r="L108" s="85"/>
      <c r="M108" s="52"/>
      <c r="N108" s="292">
        <v>1800000</v>
      </c>
    </row>
    <row r="109" spans="2:15" x14ac:dyDescent="0.2">
      <c r="B109" s="44" t="s">
        <v>179</v>
      </c>
      <c r="C109" s="93">
        <v>37587</v>
      </c>
      <c r="D109" s="9" t="s">
        <v>351</v>
      </c>
      <c r="E109" s="253" t="s">
        <v>177</v>
      </c>
      <c r="F109" s="44"/>
      <c r="G109" s="68" t="s">
        <v>10</v>
      </c>
      <c r="H109" s="68" t="s">
        <v>10</v>
      </c>
      <c r="I109" s="237">
        <v>0</v>
      </c>
      <c r="J109" s="100"/>
      <c r="K109" s="101"/>
      <c r="L109" s="85"/>
      <c r="M109" s="52"/>
      <c r="N109" s="292">
        <v>200000</v>
      </c>
    </row>
    <row r="110" spans="2:15" x14ac:dyDescent="0.2">
      <c r="B110" s="44"/>
      <c r="D110" s="44"/>
      <c r="F110" s="44"/>
      <c r="G110" s="68"/>
      <c r="I110" s="237"/>
      <c r="J110" s="100"/>
      <c r="K110" s="101"/>
      <c r="L110" s="85"/>
      <c r="M110" s="52"/>
      <c r="N110" s="292"/>
    </row>
    <row r="111" spans="2:15" x14ac:dyDescent="0.2">
      <c r="B111" s="92" t="s">
        <v>109</v>
      </c>
      <c r="D111" s="44"/>
      <c r="F111" s="44"/>
      <c r="G111" s="68"/>
      <c r="I111" s="101"/>
      <c r="J111" s="100"/>
      <c r="K111" s="101"/>
      <c r="L111" s="88">
        <f>SUM(L112:L113)</f>
        <v>7200</v>
      </c>
      <c r="M111" s="52"/>
      <c r="N111" s="291">
        <f>+N112+N113</f>
        <v>125200</v>
      </c>
    </row>
    <row r="112" spans="2:15" x14ac:dyDescent="0.2">
      <c r="B112" s="44" t="s">
        <v>173</v>
      </c>
      <c r="C112" s="93">
        <v>37392</v>
      </c>
      <c r="D112" s="68" t="s">
        <v>322</v>
      </c>
      <c r="E112" s="251" t="s">
        <v>178</v>
      </c>
      <c r="F112" s="44" t="s">
        <v>8</v>
      </c>
      <c r="G112" s="68" t="s">
        <v>2</v>
      </c>
      <c r="H112" s="31" t="s">
        <v>8</v>
      </c>
      <c r="I112" s="236">
        <v>1.0999999999999999E-2</v>
      </c>
      <c r="J112" s="31" t="s">
        <v>174</v>
      </c>
      <c r="K112" s="68" t="s">
        <v>186</v>
      </c>
      <c r="L112" s="85"/>
      <c r="M112" s="52"/>
      <c r="N112" s="292">
        <v>100000</v>
      </c>
    </row>
    <row r="113" spans="2:17" ht="13.5" thickBot="1" x14ac:dyDescent="0.25">
      <c r="B113" s="60" t="s">
        <v>181</v>
      </c>
      <c r="C113" s="95">
        <v>37620</v>
      </c>
      <c r="D113" s="72" t="s">
        <v>182</v>
      </c>
      <c r="E113" s="257" t="s">
        <v>183</v>
      </c>
      <c r="F113" s="60"/>
      <c r="G113" s="72" t="s">
        <v>2</v>
      </c>
      <c r="H113" s="105" t="s">
        <v>8</v>
      </c>
      <c r="I113" s="96" t="s">
        <v>184</v>
      </c>
      <c r="J113" s="241" t="s">
        <v>187</v>
      </c>
      <c r="K113" s="245" t="s">
        <v>188</v>
      </c>
      <c r="L113" s="89">
        <v>7200</v>
      </c>
      <c r="M113" s="64"/>
      <c r="N113" s="293">
        <f>+L113*3.5</f>
        <v>25200</v>
      </c>
      <c r="Q113" s="97"/>
    </row>
    <row r="114" spans="2:17" s="40" customFormat="1" ht="16.5" thickTop="1" x14ac:dyDescent="0.2">
      <c r="B114" s="208"/>
      <c r="C114" s="209"/>
      <c r="D114" s="200"/>
      <c r="E114" s="248"/>
      <c r="F114" s="210"/>
      <c r="G114" s="210"/>
      <c r="H114" s="211"/>
      <c r="I114" s="208"/>
      <c r="J114" s="200"/>
      <c r="K114" s="212"/>
      <c r="L114" s="41"/>
      <c r="M114" s="41"/>
      <c r="N114" s="289"/>
      <c r="O114" s="38"/>
    </row>
    <row r="115" spans="2:17" ht="15.75" x14ac:dyDescent="0.2">
      <c r="B115" s="80">
        <v>2003</v>
      </c>
      <c r="C115" s="81"/>
      <c r="D115" s="44"/>
      <c r="E115" s="249"/>
      <c r="F115" s="75"/>
      <c r="G115" s="230"/>
      <c r="H115" s="230"/>
      <c r="I115" s="230"/>
      <c r="J115" s="230"/>
      <c r="K115" s="230"/>
      <c r="L115" s="82">
        <f>+L116+L123</f>
        <v>10000.799999999999</v>
      </c>
      <c r="M115" s="82"/>
      <c r="N115" s="290">
        <f>+N116+N123</f>
        <v>2126692.8480000002</v>
      </c>
    </row>
    <row r="116" spans="2:17" x14ac:dyDescent="0.2">
      <c r="B116" s="98" t="s">
        <v>110</v>
      </c>
      <c r="D116" s="44"/>
      <c r="F116" s="44"/>
      <c r="G116" s="68"/>
      <c r="I116" s="101"/>
      <c r="J116" s="100"/>
      <c r="K116" s="101"/>
      <c r="L116" s="88">
        <f>SUM(L117:L117)</f>
        <v>0</v>
      </c>
      <c r="M116" s="52"/>
      <c r="N116" s="298">
        <f>SUM(N117:N121)</f>
        <v>2091090</v>
      </c>
    </row>
    <row r="117" spans="2:17" x14ac:dyDescent="0.2">
      <c r="B117" s="44" t="s">
        <v>189</v>
      </c>
      <c r="C117" s="93">
        <v>37706</v>
      </c>
      <c r="D117" s="9" t="s">
        <v>351</v>
      </c>
      <c r="E117" s="253" t="s">
        <v>190</v>
      </c>
      <c r="F117" s="44"/>
      <c r="G117" s="68" t="s">
        <v>2</v>
      </c>
      <c r="H117" s="68" t="s">
        <v>8</v>
      </c>
      <c r="I117" s="99" t="s">
        <v>191</v>
      </c>
      <c r="J117" s="100" t="s">
        <v>192</v>
      </c>
      <c r="K117" s="84" t="s">
        <v>193</v>
      </c>
      <c r="L117" s="85"/>
      <c r="M117" s="52"/>
      <c r="N117" s="296">
        <v>600000</v>
      </c>
    </row>
    <row r="118" spans="2:17" x14ac:dyDescent="0.2">
      <c r="B118" s="44" t="s">
        <v>199</v>
      </c>
      <c r="C118" s="93">
        <v>37776</v>
      </c>
      <c r="D118" s="9" t="s">
        <v>351</v>
      </c>
      <c r="E118" s="253" t="s">
        <v>200</v>
      </c>
      <c r="F118" s="44"/>
      <c r="G118" s="68" t="s">
        <v>2</v>
      </c>
      <c r="H118" s="68" t="s">
        <v>8</v>
      </c>
      <c r="I118" s="99" t="s">
        <v>191</v>
      </c>
      <c r="J118" s="100" t="s">
        <v>192</v>
      </c>
      <c r="K118" s="84" t="s">
        <v>201</v>
      </c>
      <c r="L118" s="85"/>
      <c r="M118" s="52"/>
      <c r="N118" s="292">
        <v>950000</v>
      </c>
    </row>
    <row r="119" spans="2:17" x14ac:dyDescent="0.2">
      <c r="B119" s="44" t="s">
        <v>219</v>
      </c>
      <c r="C119" s="93">
        <v>37826</v>
      </c>
      <c r="D119" s="9" t="s">
        <v>351</v>
      </c>
      <c r="E119" s="253" t="s">
        <v>209</v>
      </c>
      <c r="F119" s="44"/>
      <c r="G119" s="68" t="s">
        <v>10</v>
      </c>
      <c r="H119" s="68" t="s">
        <v>10</v>
      </c>
      <c r="I119" s="101" t="s">
        <v>192</v>
      </c>
      <c r="J119" s="100" t="s">
        <v>192</v>
      </c>
      <c r="K119" s="101" t="s">
        <v>192</v>
      </c>
      <c r="L119" s="85"/>
      <c r="M119" s="52"/>
      <c r="N119" s="292">
        <v>281678</v>
      </c>
    </row>
    <row r="120" spans="2:17" x14ac:dyDescent="0.2">
      <c r="B120" s="44" t="s">
        <v>218</v>
      </c>
      <c r="C120" s="93">
        <v>37932</v>
      </c>
      <c r="D120" s="9" t="s">
        <v>351</v>
      </c>
      <c r="E120" s="253" t="s">
        <v>220</v>
      </c>
      <c r="F120" s="44"/>
      <c r="G120" s="68" t="s">
        <v>2</v>
      </c>
      <c r="H120" s="68" t="s">
        <v>8</v>
      </c>
      <c r="I120" s="99" t="s">
        <v>191</v>
      </c>
      <c r="J120" s="100" t="s">
        <v>192</v>
      </c>
      <c r="K120" s="84" t="s">
        <v>223</v>
      </c>
      <c r="L120" s="85"/>
      <c r="M120" s="52"/>
      <c r="N120" s="292">
        <v>220000</v>
      </c>
      <c r="O120" s="32"/>
    </row>
    <row r="121" spans="2:17" x14ac:dyDescent="0.2">
      <c r="B121" s="44" t="s">
        <v>229</v>
      </c>
      <c r="C121" s="93">
        <v>37945</v>
      </c>
      <c r="D121" s="68" t="s">
        <v>2</v>
      </c>
      <c r="E121" s="253" t="s">
        <v>230</v>
      </c>
      <c r="F121" s="44"/>
      <c r="G121" s="68" t="s">
        <v>10</v>
      </c>
      <c r="H121" s="68" t="s">
        <v>10</v>
      </c>
      <c r="I121" s="101" t="s">
        <v>192</v>
      </c>
      <c r="J121" s="100" t="s">
        <v>192</v>
      </c>
      <c r="K121" s="101" t="s">
        <v>192</v>
      </c>
      <c r="L121" s="85"/>
      <c r="M121" s="52"/>
      <c r="N121" s="292">
        <v>39412</v>
      </c>
      <c r="O121" s="32"/>
    </row>
    <row r="122" spans="2:17" x14ac:dyDescent="0.2">
      <c r="B122" s="44"/>
      <c r="D122" s="44"/>
      <c r="F122" s="44"/>
      <c r="G122" s="68"/>
      <c r="I122" s="101"/>
      <c r="J122" s="100"/>
      <c r="K122" s="101"/>
      <c r="L122" s="85"/>
      <c r="M122" s="52"/>
      <c r="N122" s="292"/>
    </row>
    <row r="123" spans="2:17" x14ac:dyDescent="0.2">
      <c r="B123" s="98" t="s">
        <v>210</v>
      </c>
      <c r="D123" s="44"/>
      <c r="F123" s="44"/>
      <c r="G123" s="68"/>
      <c r="I123" s="101"/>
      <c r="J123" s="100"/>
      <c r="K123" s="101"/>
      <c r="L123" s="88">
        <f>+L124</f>
        <v>10000.799999999999</v>
      </c>
      <c r="M123" s="52"/>
      <c r="N123" s="298">
        <f>+N124</f>
        <v>35602.847999999998</v>
      </c>
    </row>
    <row r="124" spans="2:17" ht="13.5" thickBot="1" x14ac:dyDescent="0.25">
      <c r="B124" s="60" t="s">
        <v>211</v>
      </c>
      <c r="C124" s="95">
        <v>37697</v>
      </c>
      <c r="D124" s="72" t="s">
        <v>182</v>
      </c>
      <c r="E124" s="257" t="s">
        <v>212</v>
      </c>
      <c r="F124" s="60"/>
      <c r="G124" s="72" t="s">
        <v>2</v>
      </c>
      <c r="H124" s="72" t="s">
        <v>8</v>
      </c>
      <c r="I124" s="96" t="s">
        <v>213</v>
      </c>
      <c r="J124" s="96" t="s">
        <v>216</v>
      </c>
      <c r="K124" s="96" t="s">
        <v>217</v>
      </c>
      <c r="L124" s="89">
        <f>(10000800)/1000</f>
        <v>10000.799999999999</v>
      </c>
      <c r="M124" s="64"/>
      <c r="N124" s="293">
        <f>+L124*3.56</f>
        <v>35602.847999999998</v>
      </c>
    </row>
    <row r="125" spans="2:17" s="40" customFormat="1" ht="16.5" thickTop="1" x14ac:dyDescent="0.2">
      <c r="B125" s="208"/>
      <c r="C125" s="209"/>
      <c r="D125" s="200"/>
      <c r="E125" s="248"/>
      <c r="F125" s="210"/>
      <c r="G125" s="210"/>
      <c r="H125" s="211"/>
      <c r="I125" s="208"/>
      <c r="J125" s="200"/>
      <c r="K125" s="212"/>
      <c r="L125" s="41"/>
      <c r="M125" s="41"/>
      <c r="N125" s="289"/>
      <c r="O125" s="38"/>
    </row>
    <row r="126" spans="2:17" ht="15.75" x14ac:dyDescent="0.2">
      <c r="B126" s="80">
        <v>2004</v>
      </c>
      <c r="C126" s="81"/>
      <c r="D126" s="44"/>
      <c r="E126" s="249"/>
      <c r="F126" s="75"/>
      <c r="G126" s="230"/>
      <c r="H126" s="230"/>
      <c r="I126" s="230"/>
      <c r="J126" s="230"/>
      <c r="K126" s="230"/>
      <c r="L126" s="82">
        <f>+L127+L131</f>
        <v>50000</v>
      </c>
      <c r="M126" s="82"/>
      <c r="N126" s="290">
        <f>+N127+N131</f>
        <v>3258618</v>
      </c>
    </row>
    <row r="127" spans="2:17" x14ac:dyDescent="0.2">
      <c r="B127" s="98" t="s">
        <v>110</v>
      </c>
      <c r="D127" s="44"/>
      <c r="F127" s="44"/>
      <c r="G127" s="68"/>
      <c r="I127" s="101"/>
      <c r="J127" s="100"/>
      <c r="K127" s="101"/>
      <c r="L127" s="88">
        <f>SUM(L128:L128)</f>
        <v>0</v>
      </c>
      <c r="M127" s="52"/>
      <c r="N127" s="298">
        <f>SUM(N128:N129)</f>
        <v>3084268</v>
      </c>
    </row>
    <row r="128" spans="2:17" x14ac:dyDescent="0.2">
      <c r="B128" s="44" t="s">
        <v>231</v>
      </c>
      <c r="C128" s="102">
        <v>38011</v>
      </c>
      <c r="D128" s="9" t="s">
        <v>351</v>
      </c>
      <c r="E128" s="258" t="s">
        <v>233</v>
      </c>
      <c r="F128" s="44"/>
      <c r="G128" s="68" t="s">
        <v>2</v>
      </c>
      <c r="H128" s="68" t="s">
        <v>8</v>
      </c>
      <c r="I128" s="99" t="s">
        <v>191</v>
      </c>
      <c r="J128" s="100" t="s">
        <v>192</v>
      </c>
      <c r="K128" s="84" t="s">
        <v>234</v>
      </c>
      <c r="L128" s="85"/>
      <c r="M128" s="52"/>
      <c r="N128" s="292">
        <v>1950000</v>
      </c>
    </row>
    <row r="129" spans="2:15" x14ac:dyDescent="0.2">
      <c r="B129" s="44" t="s">
        <v>232</v>
      </c>
      <c r="C129" s="102">
        <v>38099</v>
      </c>
      <c r="D129" s="9" t="s">
        <v>351</v>
      </c>
      <c r="E129" s="259" t="s">
        <v>543</v>
      </c>
      <c r="F129" s="44"/>
      <c r="G129" s="68" t="s">
        <v>10</v>
      </c>
      <c r="H129" s="68" t="s">
        <v>10</v>
      </c>
      <c r="I129" s="101" t="s">
        <v>192</v>
      </c>
      <c r="J129" s="101" t="s">
        <v>192</v>
      </c>
      <c r="K129" s="100" t="s">
        <v>192</v>
      </c>
      <c r="L129" s="85"/>
      <c r="M129" s="52"/>
      <c r="N129" s="292">
        <v>1134268</v>
      </c>
    </row>
    <row r="130" spans="2:15" x14ac:dyDescent="0.2">
      <c r="B130" s="44"/>
      <c r="C130" s="103"/>
      <c r="D130" s="44"/>
      <c r="F130" s="44"/>
      <c r="G130" s="68"/>
      <c r="I130" s="101"/>
      <c r="J130" s="100"/>
      <c r="K130" s="101"/>
      <c r="L130" s="85"/>
      <c r="M130" s="52"/>
      <c r="N130" s="292"/>
    </row>
    <row r="131" spans="2:15" x14ac:dyDescent="0.2">
      <c r="B131" s="98" t="s">
        <v>210</v>
      </c>
      <c r="D131" s="44"/>
      <c r="F131" s="44"/>
      <c r="G131" s="68"/>
      <c r="I131" s="101"/>
      <c r="J131" s="100"/>
      <c r="K131" s="101"/>
      <c r="L131" s="88">
        <f>+L132</f>
        <v>50000</v>
      </c>
      <c r="M131" s="52"/>
      <c r="N131" s="298">
        <f>+N132</f>
        <v>174350</v>
      </c>
    </row>
    <row r="132" spans="2:15" ht="13.5" thickBot="1" x14ac:dyDescent="0.25">
      <c r="B132" s="104" t="s">
        <v>235</v>
      </c>
      <c r="C132" s="66">
        <v>38106</v>
      </c>
      <c r="D132" s="105" t="s">
        <v>236</v>
      </c>
      <c r="E132" s="252" t="s">
        <v>237</v>
      </c>
      <c r="F132" s="60"/>
      <c r="G132" s="72" t="s">
        <v>238</v>
      </c>
      <c r="H132" s="72" t="s">
        <v>238</v>
      </c>
      <c r="I132" s="96" t="s">
        <v>271</v>
      </c>
      <c r="J132" s="106" t="s">
        <v>192</v>
      </c>
      <c r="K132" s="107" t="s">
        <v>192</v>
      </c>
      <c r="L132" s="89">
        <v>50000</v>
      </c>
      <c r="M132" s="108"/>
      <c r="N132" s="293">
        <f>+L132*3.487</f>
        <v>174350</v>
      </c>
    </row>
    <row r="133" spans="2:15" s="40" customFormat="1" ht="16.5" thickTop="1" x14ac:dyDescent="0.2">
      <c r="B133" s="208"/>
      <c r="C133" s="209"/>
      <c r="D133" s="200"/>
      <c r="E133" s="248"/>
      <c r="F133" s="210"/>
      <c r="G133" s="210"/>
      <c r="H133" s="211"/>
      <c r="I133" s="208"/>
      <c r="J133" s="200"/>
      <c r="K133" s="212"/>
      <c r="L133" s="41"/>
      <c r="M133" s="41"/>
      <c r="N133" s="289"/>
      <c r="O133" s="38"/>
    </row>
    <row r="134" spans="2:15" ht="15.75" x14ac:dyDescent="0.2">
      <c r="B134" s="80">
        <v>2005</v>
      </c>
      <c r="C134" s="81"/>
      <c r="D134" s="44"/>
      <c r="E134" s="249"/>
      <c r="F134" s="75"/>
      <c r="G134" s="230"/>
      <c r="H134" s="230"/>
      <c r="I134" s="230"/>
      <c r="J134" s="230"/>
      <c r="K134" s="230"/>
      <c r="L134" s="82">
        <f>+L135</f>
        <v>0</v>
      </c>
      <c r="M134" s="82"/>
      <c r="N134" s="290">
        <f>+N135+N139</f>
        <v>2396468</v>
      </c>
    </row>
    <row r="135" spans="2:15" x14ac:dyDescent="0.2">
      <c r="B135" s="98" t="s">
        <v>110</v>
      </c>
      <c r="D135" s="44"/>
      <c r="F135" s="44"/>
      <c r="G135" s="68"/>
      <c r="I135" s="101"/>
      <c r="J135" s="100"/>
      <c r="K135" s="101"/>
      <c r="L135" s="88">
        <f>+L136</f>
        <v>0</v>
      </c>
      <c r="M135" s="52"/>
      <c r="N135" s="298">
        <f>+N136+N137</f>
        <v>2260887</v>
      </c>
    </row>
    <row r="136" spans="2:15" x14ac:dyDescent="0.2">
      <c r="B136" s="109" t="s">
        <v>285</v>
      </c>
      <c r="C136" s="93">
        <v>38379</v>
      </c>
      <c r="D136" s="9" t="s">
        <v>351</v>
      </c>
      <c r="E136" s="258" t="s">
        <v>286</v>
      </c>
      <c r="F136" s="44"/>
      <c r="G136" s="68" t="s">
        <v>2</v>
      </c>
      <c r="H136" s="68" t="s">
        <v>2</v>
      </c>
      <c r="I136" s="99" t="s">
        <v>191</v>
      </c>
      <c r="J136" s="110" t="s">
        <v>283</v>
      </c>
      <c r="K136" s="84" t="s">
        <v>287</v>
      </c>
      <c r="L136" s="85"/>
      <c r="M136" s="52"/>
      <c r="N136" s="292">
        <v>2090000</v>
      </c>
    </row>
    <row r="137" spans="2:15" x14ac:dyDescent="0.2">
      <c r="B137" s="44" t="s">
        <v>281</v>
      </c>
      <c r="C137" s="102">
        <v>38477</v>
      </c>
      <c r="D137" s="9" t="s">
        <v>351</v>
      </c>
      <c r="E137" s="258" t="s">
        <v>282</v>
      </c>
      <c r="F137" s="44"/>
      <c r="G137" s="68" t="s">
        <v>10</v>
      </c>
      <c r="H137" s="31" t="s">
        <v>10</v>
      </c>
      <c r="I137" s="110" t="s">
        <v>283</v>
      </c>
      <c r="J137" s="110" t="s">
        <v>283</v>
      </c>
      <c r="K137" s="111" t="s">
        <v>283</v>
      </c>
      <c r="L137" s="85"/>
      <c r="M137" s="52"/>
      <c r="N137" s="292">
        <v>170887</v>
      </c>
    </row>
    <row r="138" spans="2:15" x14ac:dyDescent="0.2">
      <c r="B138" s="98"/>
      <c r="D138" s="44"/>
      <c r="F138" s="44"/>
      <c r="G138" s="68"/>
      <c r="I138" s="101"/>
      <c r="J138" s="100"/>
      <c r="K138" s="101"/>
      <c r="L138" s="85"/>
      <c r="M138" s="52"/>
      <c r="N138" s="298"/>
    </row>
    <row r="139" spans="2:15" x14ac:dyDescent="0.2">
      <c r="B139" s="98" t="s">
        <v>210</v>
      </c>
      <c r="D139" s="44"/>
      <c r="F139" s="44"/>
      <c r="G139" s="68"/>
      <c r="I139" s="101"/>
      <c r="J139" s="100"/>
      <c r="K139" s="101"/>
      <c r="L139" s="85"/>
      <c r="M139" s="52"/>
      <c r="N139" s="298">
        <f>+N140</f>
        <v>135581</v>
      </c>
    </row>
    <row r="140" spans="2:15" ht="13.5" thickBot="1" x14ac:dyDescent="0.25">
      <c r="B140" s="44" t="s">
        <v>273</v>
      </c>
      <c r="C140" s="103">
        <v>38716</v>
      </c>
      <c r="D140" s="68" t="s">
        <v>274</v>
      </c>
      <c r="E140" s="258" t="s">
        <v>275</v>
      </c>
      <c r="F140" s="60"/>
      <c r="G140" s="68" t="s">
        <v>278</v>
      </c>
      <c r="H140" s="68" t="s">
        <v>278</v>
      </c>
      <c r="I140" s="56" t="s">
        <v>280</v>
      </c>
      <c r="J140" s="56" t="s">
        <v>279</v>
      </c>
      <c r="K140" s="56" t="s">
        <v>88</v>
      </c>
      <c r="L140" s="85"/>
      <c r="M140" s="90"/>
      <c r="N140" s="292">
        <v>135581</v>
      </c>
    </row>
    <row r="141" spans="2:15" ht="13.5" thickTop="1" x14ac:dyDescent="0.2">
      <c r="B141" s="44"/>
      <c r="C141" s="103"/>
      <c r="D141" s="44"/>
      <c r="E141" s="258" t="s">
        <v>277</v>
      </c>
      <c r="G141" s="68"/>
      <c r="I141" s="101"/>
      <c r="J141" s="100"/>
      <c r="K141" s="101"/>
      <c r="L141" s="85"/>
      <c r="M141" s="90"/>
      <c r="N141" s="292"/>
    </row>
    <row r="142" spans="2:15" x14ac:dyDescent="0.2">
      <c r="B142" s="44"/>
      <c r="C142" s="103"/>
      <c r="D142" s="44"/>
      <c r="E142" s="251" t="s">
        <v>276</v>
      </c>
      <c r="G142" s="68"/>
      <c r="I142" s="101"/>
      <c r="J142" s="100"/>
      <c r="K142" s="101"/>
      <c r="L142" s="85"/>
      <c r="M142" s="90"/>
      <c r="N142" s="292"/>
    </row>
    <row r="143" spans="2:15" ht="13.5" thickBot="1" x14ac:dyDescent="0.25">
      <c r="B143" s="60"/>
      <c r="C143" s="112"/>
      <c r="D143" s="60"/>
      <c r="E143" s="260"/>
      <c r="F143" s="61"/>
      <c r="G143" s="72"/>
      <c r="H143" s="105"/>
      <c r="I143" s="106"/>
      <c r="J143" s="107"/>
      <c r="K143" s="106"/>
      <c r="L143" s="89"/>
      <c r="M143" s="108"/>
      <c r="N143" s="293"/>
    </row>
    <row r="144" spans="2:15" s="40" customFormat="1" ht="16.5" thickTop="1" x14ac:dyDescent="0.2">
      <c r="B144" s="208"/>
      <c r="C144" s="209"/>
      <c r="D144" s="200"/>
      <c r="E144" s="248"/>
      <c r="F144" s="210"/>
      <c r="G144" s="210"/>
      <c r="H144" s="211"/>
      <c r="I144" s="208"/>
      <c r="J144" s="200"/>
      <c r="K144" s="212"/>
      <c r="L144" s="41"/>
      <c r="M144" s="41"/>
      <c r="N144" s="289"/>
      <c r="O144" s="38"/>
    </row>
    <row r="145" spans="2:15" ht="15.75" x14ac:dyDescent="0.2">
      <c r="B145" s="80">
        <v>2006</v>
      </c>
      <c r="C145" s="81"/>
      <c r="D145" s="44"/>
      <c r="E145" s="249"/>
      <c r="F145" s="75"/>
      <c r="G145" s="230"/>
      <c r="H145" s="230"/>
      <c r="I145" s="230"/>
      <c r="J145" s="230"/>
      <c r="K145" s="230"/>
      <c r="L145" s="82">
        <f>+L146</f>
        <v>0</v>
      </c>
      <c r="M145" s="82"/>
      <c r="N145" s="290">
        <f>+N146</f>
        <v>2355293</v>
      </c>
    </row>
    <row r="146" spans="2:15" x14ac:dyDescent="0.2">
      <c r="B146" s="98" t="s">
        <v>110</v>
      </c>
      <c r="D146" s="44"/>
      <c r="F146" s="44"/>
      <c r="G146" s="68"/>
      <c r="I146" s="101"/>
      <c r="J146" s="100"/>
      <c r="K146" s="101"/>
      <c r="L146" s="88">
        <f>+L147+L148</f>
        <v>0</v>
      </c>
      <c r="M146" s="52"/>
      <c r="N146" s="298">
        <f>+N147+N148</f>
        <v>2355293</v>
      </c>
    </row>
    <row r="147" spans="2:15" x14ac:dyDescent="0.2">
      <c r="B147" s="44" t="s">
        <v>290</v>
      </c>
      <c r="C147" s="102">
        <v>38765</v>
      </c>
      <c r="D147" s="9" t="s">
        <v>351</v>
      </c>
      <c r="E147" s="258" t="s">
        <v>292</v>
      </c>
      <c r="F147" s="44"/>
      <c r="G147" s="68" t="s">
        <v>2</v>
      </c>
      <c r="H147" s="68" t="s">
        <v>2</v>
      </c>
      <c r="I147" s="99" t="s">
        <v>191</v>
      </c>
      <c r="J147" s="110" t="s">
        <v>283</v>
      </c>
      <c r="K147" s="84" t="s">
        <v>301</v>
      </c>
      <c r="L147" s="85"/>
      <c r="M147" s="52"/>
      <c r="N147" s="292">
        <v>2132000</v>
      </c>
    </row>
    <row r="148" spans="2:15" x14ac:dyDescent="0.2">
      <c r="B148" s="44" t="s">
        <v>291</v>
      </c>
      <c r="C148" s="102">
        <v>38835</v>
      </c>
      <c r="D148" s="9" t="s">
        <v>351</v>
      </c>
      <c r="E148" s="258" t="s">
        <v>282</v>
      </c>
      <c r="F148" s="44"/>
      <c r="G148" s="68" t="s">
        <v>10</v>
      </c>
      <c r="H148" s="31" t="s">
        <v>10</v>
      </c>
      <c r="I148" s="110" t="s">
        <v>283</v>
      </c>
      <c r="J148" s="110" t="s">
        <v>283</v>
      </c>
      <c r="K148" s="111" t="s">
        <v>283</v>
      </c>
      <c r="L148" s="85"/>
      <c r="M148" s="52"/>
      <c r="N148" s="292">
        <v>223293</v>
      </c>
    </row>
    <row r="149" spans="2:15" x14ac:dyDescent="0.2">
      <c r="B149" s="44"/>
      <c r="D149" s="44"/>
      <c r="G149" s="68"/>
      <c r="H149" s="68"/>
      <c r="I149" s="101"/>
      <c r="J149" s="101"/>
      <c r="K149" s="101"/>
      <c r="L149" s="85"/>
      <c r="M149" s="52"/>
      <c r="N149" s="292"/>
    </row>
    <row r="150" spans="2:15" ht="13.5" thickBot="1" x14ac:dyDescent="0.25">
      <c r="B150" s="60"/>
      <c r="C150" s="113"/>
      <c r="D150" s="72"/>
      <c r="E150" s="260"/>
      <c r="F150" s="61"/>
      <c r="G150" s="72"/>
      <c r="H150" s="105"/>
      <c r="I150" s="114"/>
      <c r="J150" s="115"/>
      <c r="K150" s="116"/>
      <c r="L150" s="89"/>
      <c r="M150" s="64"/>
      <c r="N150" s="293"/>
    </row>
    <row r="151" spans="2:15" s="40" customFormat="1" ht="16.5" thickTop="1" x14ac:dyDescent="0.2">
      <c r="B151" s="208"/>
      <c r="C151" s="209"/>
      <c r="D151" s="200"/>
      <c r="E151" s="248"/>
      <c r="F151" s="210"/>
      <c r="G151" s="210"/>
      <c r="H151" s="211"/>
      <c r="I151" s="208"/>
      <c r="J151" s="200"/>
      <c r="K151" s="212"/>
      <c r="L151" s="41"/>
      <c r="M151" s="41"/>
      <c r="N151" s="289"/>
      <c r="O151" s="38"/>
    </row>
    <row r="152" spans="2:15" ht="15.75" x14ac:dyDescent="0.2">
      <c r="B152" s="80" t="s">
        <v>302</v>
      </c>
      <c r="C152" s="81"/>
      <c r="D152" s="44"/>
      <c r="E152" s="249"/>
      <c r="F152" s="75"/>
      <c r="G152" s="230"/>
      <c r="H152" s="230"/>
      <c r="I152" s="230"/>
      <c r="J152" s="230"/>
      <c r="K152" s="230"/>
      <c r="L152" s="82">
        <f>+L153+L157</f>
        <v>0</v>
      </c>
      <c r="M152" s="82"/>
      <c r="N152" s="290">
        <f>+N153+N157</f>
        <v>3104575.9270000001</v>
      </c>
    </row>
    <row r="153" spans="2:15" x14ac:dyDescent="0.2">
      <c r="B153" s="119" t="s">
        <v>110</v>
      </c>
      <c r="C153" s="51"/>
      <c r="D153" s="68"/>
      <c r="E153" s="258"/>
      <c r="G153" s="68"/>
      <c r="I153" s="117"/>
      <c r="J153" s="110"/>
      <c r="K153" s="118"/>
      <c r="L153" s="88">
        <f>SUM(L154:L155)</f>
        <v>0</v>
      </c>
      <c r="M153" s="52"/>
      <c r="N153" s="298">
        <f>SUM(N154:N155)</f>
        <v>2554575.9270000001</v>
      </c>
    </row>
    <row r="154" spans="2:15" x14ac:dyDescent="0.2">
      <c r="B154" s="49" t="s">
        <v>293</v>
      </c>
      <c r="C154" s="51">
        <v>39121</v>
      </c>
      <c r="D154" s="9" t="s">
        <v>351</v>
      </c>
      <c r="E154" s="258" t="s">
        <v>295</v>
      </c>
      <c r="G154" s="68" t="s">
        <v>2</v>
      </c>
      <c r="H154" s="31" t="s">
        <v>2</v>
      </c>
      <c r="I154" s="99" t="s">
        <v>191</v>
      </c>
      <c r="J154" s="110" t="s">
        <v>283</v>
      </c>
      <c r="K154" s="120" t="s">
        <v>284</v>
      </c>
      <c r="L154" s="85"/>
      <c r="M154" s="52"/>
      <c r="N154" s="292">
        <f>2331000000/1000</f>
        <v>2331000</v>
      </c>
    </row>
    <row r="155" spans="2:15" x14ac:dyDescent="0.2">
      <c r="B155" s="49" t="s">
        <v>294</v>
      </c>
      <c r="C155" s="51">
        <v>39198</v>
      </c>
      <c r="D155" s="9" t="s">
        <v>351</v>
      </c>
      <c r="E155" s="258" t="s">
        <v>296</v>
      </c>
      <c r="G155" s="68" t="s">
        <v>10</v>
      </c>
      <c r="H155" s="31" t="s">
        <v>10</v>
      </c>
      <c r="I155" s="110" t="s">
        <v>283</v>
      </c>
      <c r="J155" s="110" t="s">
        <v>283</v>
      </c>
      <c r="K155" s="121" t="s">
        <v>283</v>
      </c>
      <c r="L155" s="85"/>
      <c r="M155" s="52"/>
      <c r="N155" s="292">
        <f>223575927/1000</f>
        <v>223575.927</v>
      </c>
    </row>
    <row r="156" spans="2:15" x14ac:dyDescent="0.2">
      <c r="B156" s="49"/>
      <c r="C156" s="51"/>
      <c r="D156" s="68"/>
      <c r="E156" s="258"/>
      <c r="G156" s="68"/>
      <c r="I156" s="117"/>
      <c r="J156" s="110"/>
      <c r="K156" s="118"/>
      <c r="L156" s="85"/>
      <c r="M156" s="52"/>
      <c r="N156" s="292"/>
    </row>
    <row r="157" spans="2:15" x14ac:dyDescent="0.2">
      <c r="B157" s="119" t="s">
        <v>109</v>
      </c>
      <c r="C157" s="44"/>
      <c r="D157" s="68"/>
      <c r="E157" s="258"/>
      <c r="G157" s="68"/>
      <c r="I157" s="117"/>
      <c r="J157" s="110"/>
      <c r="K157" s="118"/>
      <c r="L157" s="88">
        <f>+L158</f>
        <v>0</v>
      </c>
      <c r="M157" s="52"/>
      <c r="N157" s="298">
        <f>+N158</f>
        <v>550000</v>
      </c>
    </row>
    <row r="158" spans="2:15" x14ac:dyDescent="0.2">
      <c r="B158" s="49" t="s">
        <v>306</v>
      </c>
      <c r="C158" s="51">
        <v>39445</v>
      </c>
      <c r="D158" s="2" t="s">
        <v>322</v>
      </c>
      <c r="E158" s="258" t="s">
        <v>297</v>
      </c>
      <c r="G158" s="68" t="s">
        <v>2</v>
      </c>
      <c r="H158" s="31" t="s">
        <v>298</v>
      </c>
      <c r="I158" s="122" t="s">
        <v>304</v>
      </c>
      <c r="J158" s="123" t="s">
        <v>85</v>
      </c>
      <c r="K158" s="124" t="s">
        <v>305</v>
      </c>
      <c r="L158" s="85"/>
      <c r="M158" s="52"/>
      <c r="N158" s="292">
        <f>550000000/1000</f>
        <v>550000</v>
      </c>
    </row>
    <row r="159" spans="2:15" ht="13.5" thickBot="1" x14ac:dyDescent="0.25">
      <c r="B159" s="58"/>
      <c r="C159" s="59"/>
      <c r="D159" s="72"/>
      <c r="E159" s="260"/>
      <c r="F159" s="61"/>
      <c r="G159" s="72"/>
      <c r="H159" s="105"/>
      <c r="I159" s="114"/>
      <c r="J159" s="115"/>
      <c r="K159" s="116"/>
      <c r="L159" s="89"/>
      <c r="M159" s="64"/>
      <c r="N159" s="293"/>
    </row>
    <row r="160" spans="2:15" s="40" customFormat="1" ht="16.5" thickTop="1" x14ac:dyDescent="0.2">
      <c r="B160" s="208"/>
      <c r="C160" s="209"/>
      <c r="D160" s="200"/>
      <c r="E160" s="248"/>
      <c r="F160" s="210"/>
      <c r="G160" s="210"/>
      <c r="H160" s="211"/>
      <c r="I160" s="208"/>
      <c r="J160" s="200"/>
      <c r="K160" s="212"/>
      <c r="L160" s="41"/>
      <c r="M160" s="41"/>
      <c r="N160" s="289"/>
      <c r="O160" s="38"/>
    </row>
    <row r="161" spans="2:15" ht="15.75" x14ac:dyDescent="0.2">
      <c r="B161" s="80">
        <v>2008</v>
      </c>
      <c r="C161" s="81"/>
      <c r="D161" s="44"/>
      <c r="E161" s="249"/>
      <c r="F161" s="75"/>
      <c r="G161" s="230"/>
      <c r="H161" s="230"/>
      <c r="I161" s="230"/>
      <c r="J161" s="230"/>
      <c r="K161" s="230"/>
      <c r="L161" s="82"/>
      <c r="M161" s="82"/>
      <c r="N161" s="290">
        <f>+N162+N167</f>
        <v>3703759</v>
      </c>
    </row>
    <row r="162" spans="2:15" x14ac:dyDescent="0.2">
      <c r="B162" s="119" t="s">
        <v>110</v>
      </c>
      <c r="C162" s="51"/>
      <c r="D162" s="68"/>
      <c r="E162" s="258"/>
      <c r="G162" s="68"/>
      <c r="I162" s="117"/>
      <c r="J162" s="110"/>
      <c r="K162" s="118"/>
      <c r="L162" s="85"/>
      <c r="M162" s="52"/>
      <c r="N162" s="298">
        <f>+N163+N164</f>
        <v>2901474</v>
      </c>
    </row>
    <row r="163" spans="2:15" x14ac:dyDescent="0.2">
      <c r="B163" s="49" t="s">
        <v>318</v>
      </c>
      <c r="C163" s="51">
        <v>39478</v>
      </c>
      <c r="D163" s="9" t="s">
        <v>351</v>
      </c>
      <c r="E163" s="259" t="s">
        <v>303</v>
      </c>
      <c r="G163" s="68" t="s">
        <v>2</v>
      </c>
      <c r="H163" s="31" t="s">
        <v>2</v>
      </c>
      <c r="I163" s="99" t="s">
        <v>191</v>
      </c>
      <c r="J163" s="110" t="s">
        <v>283</v>
      </c>
      <c r="K163" s="125" t="s">
        <v>311</v>
      </c>
      <c r="L163" s="85"/>
      <c r="M163" s="52"/>
      <c r="N163" s="292">
        <v>2685000</v>
      </c>
    </row>
    <row r="164" spans="2:15" x14ac:dyDescent="0.2">
      <c r="B164" s="49" t="s">
        <v>317</v>
      </c>
      <c r="C164" s="51">
        <v>39633</v>
      </c>
      <c r="D164" s="9" t="s">
        <v>351</v>
      </c>
      <c r="E164" s="258" t="s">
        <v>296</v>
      </c>
      <c r="G164" s="68" t="s">
        <v>10</v>
      </c>
      <c r="H164" s="31" t="s">
        <v>10</v>
      </c>
      <c r="I164" s="110" t="s">
        <v>283</v>
      </c>
      <c r="J164" s="110" t="s">
        <v>283</v>
      </c>
      <c r="K164" s="111" t="s">
        <v>283</v>
      </c>
      <c r="L164" s="85"/>
      <c r="M164" s="52"/>
      <c r="N164" s="292">
        <v>216474</v>
      </c>
    </row>
    <row r="165" spans="2:15" x14ac:dyDescent="0.2">
      <c r="B165" s="49"/>
      <c r="C165" s="51"/>
      <c r="D165" s="68"/>
      <c r="E165" s="261"/>
      <c r="G165" s="68"/>
      <c r="I165" s="117"/>
      <c r="J165" s="110"/>
      <c r="K165" s="118"/>
      <c r="L165" s="85"/>
      <c r="M165" s="52"/>
      <c r="N165" s="292"/>
    </row>
    <row r="166" spans="2:15" x14ac:dyDescent="0.2">
      <c r="B166" s="49"/>
      <c r="C166" s="51"/>
      <c r="D166" s="68"/>
      <c r="E166" s="261"/>
      <c r="G166" s="68"/>
      <c r="I166" s="117"/>
      <c r="J166" s="110"/>
      <c r="K166" s="118"/>
      <c r="L166" s="85"/>
      <c r="M166" s="52"/>
      <c r="N166" s="292"/>
    </row>
    <row r="167" spans="2:15" x14ac:dyDescent="0.2">
      <c r="B167" s="119" t="s">
        <v>109</v>
      </c>
      <c r="C167" s="44"/>
      <c r="D167" s="68"/>
      <c r="E167" s="261"/>
      <c r="G167" s="68"/>
      <c r="I167" s="117"/>
      <c r="J167" s="110"/>
      <c r="K167" s="118"/>
      <c r="L167" s="85"/>
      <c r="M167" s="52"/>
      <c r="N167" s="298">
        <f>+N168</f>
        <v>802285</v>
      </c>
    </row>
    <row r="168" spans="2:15" x14ac:dyDescent="0.2">
      <c r="B168" s="126" t="s">
        <v>316</v>
      </c>
      <c r="C168" s="51">
        <v>39787</v>
      </c>
      <c r="D168" s="2" t="s">
        <v>322</v>
      </c>
      <c r="E168" s="259" t="s">
        <v>544</v>
      </c>
      <c r="G168" s="68" t="s">
        <v>2</v>
      </c>
      <c r="H168" s="31" t="s">
        <v>298</v>
      </c>
      <c r="I168" s="127" t="s">
        <v>312</v>
      </c>
      <c r="J168" s="123" t="s">
        <v>85</v>
      </c>
      <c r="K168" s="128" t="s">
        <v>313</v>
      </c>
      <c r="L168" s="85"/>
      <c r="M168" s="52"/>
      <c r="N168" s="292">
        <v>802285</v>
      </c>
    </row>
    <row r="169" spans="2:15" ht="13.5" thickBot="1" x14ac:dyDescent="0.25">
      <c r="B169" s="58"/>
      <c r="C169" s="66"/>
      <c r="D169" s="72"/>
      <c r="E169" s="275"/>
      <c r="F169" s="61"/>
      <c r="G169" s="72"/>
      <c r="H169" s="105"/>
      <c r="I169" s="114"/>
      <c r="J169" s="115"/>
      <c r="K169" s="116"/>
      <c r="L169" s="89"/>
      <c r="M169" s="64"/>
      <c r="N169" s="293"/>
    </row>
    <row r="170" spans="2:15" s="40" customFormat="1" ht="16.5" thickTop="1" x14ac:dyDescent="0.2">
      <c r="B170" s="208"/>
      <c r="C170" s="209"/>
      <c r="D170" s="200"/>
      <c r="E170" s="248"/>
      <c r="F170" s="210"/>
      <c r="G170" s="210"/>
      <c r="H170" s="211"/>
      <c r="I170" s="208"/>
      <c r="J170" s="200"/>
      <c r="K170" s="212"/>
      <c r="L170" s="41"/>
      <c r="M170" s="41"/>
      <c r="N170" s="289"/>
      <c r="O170" s="38"/>
    </row>
    <row r="171" spans="2:15" ht="15.75" x14ac:dyDescent="0.2">
      <c r="B171" s="80">
        <v>2009</v>
      </c>
      <c r="C171" s="81"/>
      <c r="D171" s="44"/>
      <c r="E171" s="249"/>
      <c r="F171" s="75"/>
      <c r="G171" s="230"/>
      <c r="H171" s="230"/>
      <c r="I171" s="230"/>
      <c r="J171" s="230"/>
      <c r="K171" s="230"/>
      <c r="L171" s="82">
        <f>+L172+L176</f>
        <v>800</v>
      </c>
      <c r="M171" s="82"/>
      <c r="N171" s="290">
        <f>+N172+N176</f>
        <v>2497593.5989999999</v>
      </c>
    </row>
    <row r="172" spans="2:15" x14ac:dyDescent="0.2">
      <c r="B172" s="119" t="s">
        <v>110</v>
      </c>
      <c r="C172" s="8"/>
      <c r="D172" s="9"/>
      <c r="E172" s="259"/>
      <c r="F172" s="129"/>
      <c r="G172" s="9"/>
      <c r="H172" s="130"/>
      <c r="I172" s="14"/>
      <c r="J172" s="110"/>
      <c r="K172" s="118"/>
      <c r="L172" s="88">
        <f>SUM(L174)</f>
        <v>0</v>
      </c>
      <c r="M172" s="131"/>
      <c r="N172" s="298">
        <f>SUM(N173:N174)</f>
        <v>1579667</v>
      </c>
    </row>
    <row r="173" spans="2:15" x14ac:dyDescent="0.2">
      <c r="B173" s="12" t="s">
        <v>331</v>
      </c>
      <c r="C173" s="8">
        <v>39857</v>
      </c>
      <c r="D173" s="9" t="s">
        <v>351</v>
      </c>
      <c r="E173" s="259" t="s">
        <v>320</v>
      </c>
      <c r="F173" s="129"/>
      <c r="G173" s="9" t="s">
        <v>2</v>
      </c>
      <c r="H173" s="130" t="s">
        <v>2</v>
      </c>
      <c r="I173" s="99" t="s">
        <v>191</v>
      </c>
      <c r="J173" s="110" t="s">
        <v>283</v>
      </c>
      <c r="K173" s="132" t="s">
        <v>328</v>
      </c>
      <c r="L173" s="133"/>
      <c r="M173" s="134"/>
      <c r="N173" s="299">
        <v>1405000</v>
      </c>
    </row>
    <row r="174" spans="2:15" x14ac:dyDescent="0.2">
      <c r="B174" s="12" t="s">
        <v>332</v>
      </c>
      <c r="C174" s="8">
        <v>39961</v>
      </c>
      <c r="D174" s="9" t="s">
        <v>351</v>
      </c>
      <c r="E174" s="259" t="s">
        <v>296</v>
      </c>
      <c r="F174" s="129"/>
      <c r="G174" s="9" t="s">
        <v>10</v>
      </c>
      <c r="H174" s="130" t="s">
        <v>10</v>
      </c>
      <c r="I174" s="110" t="s">
        <v>283</v>
      </c>
      <c r="J174" s="110" t="s">
        <v>283</v>
      </c>
      <c r="K174" s="135" t="s">
        <v>283</v>
      </c>
      <c r="L174" s="133"/>
      <c r="M174" s="131"/>
      <c r="N174" s="299">
        <v>174667</v>
      </c>
    </row>
    <row r="175" spans="2:15" x14ac:dyDescent="0.2">
      <c r="B175" s="12"/>
      <c r="C175" s="8"/>
      <c r="D175" s="9"/>
      <c r="E175" s="259"/>
      <c r="F175" s="129"/>
      <c r="G175" s="9"/>
      <c r="H175" s="130"/>
      <c r="I175" s="14"/>
      <c r="J175" s="110"/>
      <c r="K175" s="118"/>
      <c r="L175" s="133"/>
      <c r="M175" s="131"/>
      <c r="N175" s="299"/>
    </row>
    <row r="176" spans="2:15" x14ac:dyDescent="0.2">
      <c r="B176" s="119" t="s">
        <v>109</v>
      </c>
      <c r="C176" s="8"/>
      <c r="D176" s="9"/>
      <c r="E176" s="259"/>
      <c r="F176" s="129"/>
      <c r="G176" s="9"/>
      <c r="H176" s="130"/>
      <c r="I176" s="14"/>
      <c r="J176" s="110"/>
      <c r="K176" s="118"/>
      <c r="L176" s="88">
        <f>SUM(L177:L179)</f>
        <v>800</v>
      </c>
      <c r="M176" s="131"/>
      <c r="N176" s="298">
        <f>SUM(N177:N179)</f>
        <v>917926.59899999993</v>
      </c>
    </row>
    <row r="177" spans="2:15" x14ac:dyDescent="0.2">
      <c r="B177" s="12" t="s">
        <v>333</v>
      </c>
      <c r="C177" s="8">
        <v>40073</v>
      </c>
      <c r="D177" s="9" t="s">
        <v>322</v>
      </c>
      <c r="E177" s="259" t="s">
        <v>323</v>
      </c>
      <c r="F177" s="129"/>
      <c r="G177" s="9" t="s">
        <v>2</v>
      </c>
      <c r="H177" s="130" t="s">
        <v>327</v>
      </c>
      <c r="I177" s="136">
        <v>4.3999999999999997E-2</v>
      </c>
      <c r="J177" s="110" t="s">
        <v>283</v>
      </c>
      <c r="K177" s="132" t="s">
        <v>329</v>
      </c>
      <c r="L177" s="133">
        <f>800000/1000</f>
        <v>800</v>
      </c>
      <c r="M177" s="131"/>
      <c r="N177" s="299">
        <f>+L177*2.902</f>
        <v>2321.6</v>
      </c>
    </row>
    <row r="178" spans="2:15" ht="25.5" x14ac:dyDescent="0.2">
      <c r="B178" s="7" t="s">
        <v>334</v>
      </c>
      <c r="C178" s="8" t="s">
        <v>321</v>
      </c>
      <c r="D178" s="9" t="s">
        <v>322</v>
      </c>
      <c r="E178" s="262" t="s">
        <v>324</v>
      </c>
      <c r="F178" s="129"/>
      <c r="G178" s="9" t="s">
        <v>2</v>
      </c>
      <c r="H178" s="130" t="s">
        <v>326</v>
      </c>
      <c r="I178" s="136">
        <v>4.8000000000000001E-2</v>
      </c>
      <c r="J178" s="137" t="s">
        <v>43</v>
      </c>
      <c r="K178" s="132" t="s">
        <v>330</v>
      </c>
      <c r="L178" s="133"/>
      <c r="M178" s="131"/>
      <c r="N178" s="299">
        <f>185000000/1000</f>
        <v>185000</v>
      </c>
    </row>
    <row r="179" spans="2:15" x14ac:dyDescent="0.2">
      <c r="B179" s="12" t="s">
        <v>335</v>
      </c>
      <c r="C179" s="8">
        <v>40073</v>
      </c>
      <c r="D179" s="9" t="s">
        <v>322</v>
      </c>
      <c r="E179" s="259" t="s">
        <v>325</v>
      </c>
      <c r="F179" s="129"/>
      <c r="G179" s="9" t="s">
        <v>2</v>
      </c>
      <c r="H179" s="130" t="s">
        <v>298</v>
      </c>
      <c r="I179" s="14">
        <v>5.8000000000000003E-2</v>
      </c>
      <c r="J179" s="137" t="s">
        <v>85</v>
      </c>
      <c r="K179" s="138" t="s">
        <v>508</v>
      </c>
      <c r="L179" s="133"/>
      <c r="M179" s="131"/>
      <c r="N179" s="299">
        <f>730604999/1000</f>
        <v>730604.99899999995</v>
      </c>
    </row>
    <row r="180" spans="2:15" ht="13.5" thickBot="1" x14ac:dyDescent="0.25">
      <c r="B180" s="139"/>
      <c r="C180" s="3"/>
      <c r="D180" s="4"/>
      <c r="E180" s="263"/>
      <c r="F180" s="61"/>
      <c r="G180" s="11"/>
      <c r="H180" s="105"/>
      <c r="I180" s="140"/>
      <c r="J180" s="141"/>
      <c r="K180" s="142"/>
      <c r="L180" s="89"/>
      <c r="M180" s="64"/>
      <c r="N180" s="293"/>
    </row>
    <row r="181" spans="2:15" s="40" customFormat="1" ht="16.5" thickTop="1" x14ac:dyDescent="0.2">
      <c r="B181" s="208"/>
      <c r="C181" s="209"/>
      <c r="D181" s="200"/>
      <c r="E181" s="248"/>
      <c r="F181" s="210"/>
      <c r="G181" s="210"/>
      <c r="H181" s="211"/>
      <c r="I181" s="208"/>
      <c r="J181" s="200"/>
      <c r="K181" s="212"/>
      <c r="L181" s="41"/>
      <c r="M181" s="41"/>
      <c r="N181" s="289"/>
      <c r="O181" s="38"/>
    </row>
    <row r="182" spans="2:15" ht="15.75" x14ac:dyDescent="0.2">
      <c r="B182" s="80">
        <v>2010</v>
      </c>
      <c r="C182" s="81"/>
      <c r="D182" s="44"/>
      <c r="E182" s="249"/>
      <c r="F182" s="75"/>
      <c r="G182" s="230"/>
      <c r="H182" s="230"/>
      <c r="I182" s="230"/>
      <c r="J182" s="230"/>
      <c r="K182" s="230"/>
      <c r="L182" s="82">
        <f>+L183+L187</f>
        <v>0</v>
      </c>
      <c r="M182" s="82"/>
      <c r="N182" s="290">
        <f>+N183+N187</f>
        <v>2561500</v>
      </c>
    </row>
    <row r="183" spans="2:15" x14ac:dyDescent="0.2">
      <c r="B183" s="119" t="s">
        <v>110</v>
      </c>
      <c r="C183" s="8"/>
      <c r="D183" s="9"/>
      <c r="E183" s="259"/>
      <c r="F183" s="129"/>
      <c r="G183" s="9"/>
      <c r="H183" s="130"/>
      <c r="I183" s="14"/>
      <c r="J183" s="137"/>
      <c r="K183" s="138"/>
      <c r="L183" s="133"/>
      <c r="M183" s="131"/>
      <c r="N183" s="298">
        <f>SUM(N184:N185)</f>
        <v>2161500</v>
      </c>
    </row>
    <row r="184" spans="2:15" x14ac:dyDescent="0.2">
      <c r="B184" s="7" t="s">
        <v>336</v>
      </c>
      <c r="C184" s="8">
        <v>40227</v>
      </c>
      <c r="D184" s="9" t="s">
        <v>351</v>
      </c>
      <c r="E184" s="259" t="s">
        <v>338</v>
      </c>
      <c r="F184" s="129"/>
      <c r="G184" s="9" t="s">
        <v>2</v>
      </c>
      <c r="H184" s="130" t="s">
        <v>2</v>
      </c>
      <c r="I184" s="99" t="s">
        <v>191</v>
      </c>
      <c r="J184" s="110" t="s">
        <v>283</v>
      </c>
      <c r="K184" s="132" t="s">
        <v>340</v>
      </c>
      <c r="L184" s="133"/>
      <c r="M184" s="131"/>
      <c r="N184" s="299">
        <v>2065000</v>
      </c>
    </row>
    <row r="185" spans="2:15" ht="25.5" x14ac:dyDescent="0.2">
      <c r="B185" s="12" t="s">
        <v>337</v>
      </c>
      <c r="C185" s="8">
        <v>40255</v>
      </c>
      <c r="D185" s="9" t="s">
        <v>351</v>
      </c>
      <c r="E185" s="262" t="s">
        <v>339</v>
      </c>
      <c r="F185" s="129"/>
      <c r="G185" s="9" t="s">
        <v>10</v>
      </c>
      <c r="H185" s="130" t="s">
        <v>10</v>
      </c>
      <c r="I185" s="110" t="s">
        <v>283</v>
      </c>
      <c r="J185" s="110" t="s">
        <v>283</v>
      </c>
      <c r="K185" s="135" t="s">
        <v>283</v>
      </c>
      <c r="L185" s="133"/>
      <c r="M185" s="131"/>
      <c r="N185" s="299">
        <v>96500</v>
      </c>
    </row>
    <row r="186" spans="2:15" x14ac:dyDescent="0.2">
      <c r="B186" s="12"/>
      <c r="C186" s="8"/>
      <c r="D186" s="9"/>
      <c r="E186" s="259"/>
      <c r="F186" s="129"/>
      <c r="G186" s="9"/>
      <c r="H186" s="130"/>
      <c r="I186" s="14"/>
      <c r="J186" s="137"/>
      <c r="K186" s="138"/>
      <c r="L186" s="133"/>
      <c r="M186" s="131"/>
      <c r="N186" s="299"/>
    </row>
    <row r="187" spans="2:15" x14ac:dyDescent="0.2">
      <c r="B187" s="119" t="s">
        <v>109</v>
      </c>
      <c r="C187" s="8"/>
      <c r="D187" s="9"/>
      <c r="E187" s="259"/>
      <c r="F187" s="129"/>
      <c r="G187" s="9"/>
      <c r="H187" s="130"/>
      <c r="I187" s="14"/>
      <c r="J187" s="137"/>
      <c r="K187" s="138"/>
      <c r="L187" s="133"/>
      <c r="M187" s="131"/>
      <c r="N187" s="298">
        <f>SUM(N188:N189)</f>
        <v>400000</v>
      </c>
    </row>
    <row r="188" spans="2:15" ht="25.5" x14ac:dyDescent="0.2">
      <c r="B188" s="12" t="s">
        <v>342</v>
      </c>
      <c r="C188" s="8">
        <v>40368</v>
      </c>
      <c r="D188" s="9" t="s">
        <v>322</v>
      </c>
      <c r="E188" s="262" t="s">
        <v>344</v>
      </c>
      <c r="F188" s="129"/>
      <c r="G188" s="9" t="s">
        <v>2</v>
      </c>
      <c r="H188" s="130" t="s">
        <v>298</v>
      </c>
      <c r="I188" s="99" t="s">
        <v>348</v>
      </c>
      <c r="J188" s="137" t="s">
        <v>25</v>
      </c>
      <c r="K188" s="132" t="s">
        <v>349</v>
      </c>
      <c r="L188" s="133"/>
      <c r="M188" s="131"/>
      <c r="N188" s="299">
        <v>250000</v>
      </c>
    </row>
    <row r="189" spans="2:15" x14ac:dyDescent="0.2">
      <c r="B189" s="12" t="s">
        <v>343</v>
      </c>
      <c r="C189" s="8">
        <v>40542</v>
      </c>
      <c r="D189" s="9" t="s">
        <v>322</v>
      </c>
      <c r="E189" s="259" t="s">
        <v>345</v>
      </c>
      <c r="F189" s="129"/>
      <c r="G189" s="9" t="s">
        <v>2</v>
      </c>
      <c r="H189" s="130" t="s">
        <v>346</v>
      </c>
      <c r="I189" s="14">
        <v>4.53E-2</v>
      </c>
      <c r="J189" s="137" t="s">
        <v>43</v>
      </c>
      <c r="K189" s="146" t="s">
        <v>85</v>
      </c>
      <c r="L189" s="133"/>
      <c r="M189" s="131"/>
      <c r="N189" s="299">
        <v>150000</v>
      </c>
    </row>
    <row r="190" spans="2:15" x14ac:dyDescent="0.2">
      <c r="B190" s="16"/>
      <c r="C190" s="1"/>
      <c r="D190" s="2"/>
      <c r="E190" s="264"/>
      <c r="G190" s="9"/>
      <c r="I190" s="143"/>
      <c r="J190" s="144"/>
      <c r="K190" s="145"/>
      <c r="L190" s="85"/>
      <c r="M190" s="52"/>
      <c r="N190" s="292"/>
    </row>
    <row r="191" spans="2:15" ht="13.5" thickBot="1" x14ac:dyDescent="0.25">
      <c r="B191" s="60"/>
      <c r="C191" s="112"/>
      <c r="D191" s="60"/>
      <c r="E191" s="260"/>
      <c r="F191" s="61"/>
      <c r="G191" s="72"/>
      <c r="H191" s="105"/>
      <c r="I191" s="106"/>
      <c r="J191" s="107"/>
      <c r="K191" s="106"/>
      <c r="L191" s="89"/>
      <c r="M191" s="108"/>
      <c r="N191" s="293"/>
    </row>
    <row r="192" spans="2:15" s="40" customFormat="1" ht="16.5" thickTop="1" x14ac:dyDescent="0.2">
      <c r="B192" s="208"/>
      <c r="C192" s="209"/>
      <c r="D192" s="200"/>
      <c r="E192" s="248"/>
      <c r="F192" s="210"/>
      <c r="G192" s="210"/>
      <c r="H192" s="211"/>
      <c r="I192" s="208"/>
      <c r="J192" s="200"/>
      <c r="K192" s="212"/>
      <c r="L192" s="41"/>
      <c r="M192" s="41"/>
      <c r="N192" s="289"/>
      <c r="O192" s="38"/>
    </row>
    <row r="193" spans="2:15" ht="15.75" x14ac:dyDescent="0.2">
      <c r="B193" s="80">
        <v>2011</v>
      </c>
      <c r="C193" s="81"/>
      <c r="D193" s="44"/>
      <c r="E193" s="249"/>
      <c r="F193" s="75"/>
      <c r="G193" s="230"/>
      <c r="H193" s="230"/>
      <c r="I193" s="230"/>
      <c r="J193" s="230"/>
      <c r="K193" s="230"/>
      <c r="L193" s="82">
        <f>+L194+L198</f>
        <v>0</v>
      </c>
      <c r="M193" s="82"/>
      <c r="N193" s="290">
        <f>+N194+N198</f>
        <v>2771462</v>
      </c>
    </row>
    <row r="194" spans="2:15" x14ac:dyDescent="0.2">
      <c r="B194" s="119" t="s">
        <v>110</v>
      </c>
      <c r="C194" s="8"/>
      <c r="D194" s="9"/>
      <c r="E194" s="259"/>
      <c r="F194" s="129"/>
      <c r="G194" s="9"/>
      <c r="H194" s="130"/>
      <c r="I194" s="14"/>
      <c r="J194" s="137"/>
      <c r="K194" s="138"/>
      <c r="L194" s="133"/>
      <c r="M194" s="131"/>
      <c r="N194" s="298">
        <f>SUM(N195:N196)</f>
        <v>2660462</v>
      </c>
    </row>
    <row r="195" spans="2:15" x14ac:dyDescent="0.2">
      <c r="B195" s="13" t="s">
        <v>350</v>
      </c>
      <c r="C195" s="8">
        <v>40591</v>
      </c>
      <c r="D195" s="9" t="s">
        <v>351</v>
      </c>
      <c r="E195" s="255" t="s">
        <v>352</v>
      </c>
      <c r="F195" s="13"/>
      <c r="G195" s="9" t="s">
        <v>2</v>
      </c>
      <c r="H195" s="9" t="s">
        <v>2</v>
      </c>
      <c r="I195" s="99" t="s">
        <v>191</v>
      </c>
      <c r="J195" s="110" t="s">
        <v>283</v>
      </c>
      <c r="K195" s="147" t="s">
        <v>358</v>
      </c>
      <c r="L195" s="133"/>
      <c r="M195" s="131"/>
      <c r="N195" s="299">
        <v>2565000</v>
      </c>
    </row>
    <row r="196" spans="2:15" ht="25.5" x14ac:dyDescent="0.2">
      <c r="B196" s="13" t="s">
        <v>353</v>
      </c>
      <c r="C196" s="8">
        <v>40654</v>
      </c>
      <c r="D196" s="9" t="s">
        <v>351</v>
      </c>
      <c r="E196" s="265" t="s">
        <v>339</v>
      </c>
      <c r="F196" s="13"/>
      <c r="G196" s="9" t="s">
        <v>10</v>
      </c>
      <c r="H196" s="9" t="s">
        <v>10</v>
      </c>
      <c r="I196" s="110" t="s">
        <v>283</v>
      </c>
      <c r="J196" s="110" t="s">
        <v>283</v>
      </c>
      <c r="K196" s="137" t="s">
        <v>283</v>
      </c>
      <c r="L196" s="133"/>
      <c r="M196" s="131"/>
      <c r="N196" s="299">
        <v>95462</v>
      </c>
    </row>
    <row r="197" spans="2:15" x14ac:dyDescent="0.2">
      <c r="B197" s="13"/>
      <c r="C197" s="8"/>
      <c r="D197" s="9"/>
      <c r="E197" s="255"/>
      <c r="F197" s="13"/>
      <c r="G197" s="9"/>
      <c r="H197" s="9"/>
      <c r="I197" s="14"/>
      <c r="J197" s="137"/>
      <c r="K197" s="148"/>
      <c r="L197" s="133"/>
      <c r="M197" s="131"/>
      <c r="N197" s="299"/>
    </row>
    <row r="198" spans="2:15" x14ac:dyDescent="0.2">
      <c r="B198" s="98" t="s">
        <v>109</v>
      </c>
      <c r="C198" s="8"/>
      <c r="D198" s="9"/>
      <c r="E198" s="255"/>
      <c r="F198" s="13"/>
      <c r="G198" s="9"/>
      <c r="H198" s="9"/>
      <c r="I198" s="14"/>
      <c r="J198" s="137"/>
      <c r="K198" s="148"/>
      <c r="L198" s="133"/>
      <c r="M198" s="131"/>
      <c r="N198" s="298">
        <f>SUM(N199:N200)</f>
        <v>111000</v>
      </c>
    </row>
    <row r="199" spans="2:15" ht="25.5" x14ac:dyDescent="0.2">
      <c r="B199" s="13" t="s">
        <v>354</v>
      </c>
      <c r="C199" s="8">
        <v>40731</v>
      </c>
      <c r="D199" s="9" t="s">
        <v>322</v>
      </c>
      <c r="E199" s="265" t="s">
        <v>355</v>
      </c>
      <c r="F199" s="13"/>
      <c r="G199" s="9" t="s">
        <v>2</v>
      </c>
      <c r="H199" s="9" t="s">
        <v>298</v>
      </c>
      <c r="I199" s="149" t="s">
        <v>359</v>
      </c>
      <c r="J199" s="137" t="s">
        <v>43</v>
      </c>
      <c r="K199" s="137" t="s">
        <v>44</v>
      </c>
      <c r="L199" s="133"/>
      <c r="M199" s="131"/>
      <c r="N199" s="299">
        <v>26000</v>
      </c>
    </row>
    <row r="200" spans="2:15" x14ac:dyDescent="0.2">
      <c r="B200" s="13" t="s">
        <v>356</v>
      </c>
      <c r="C200" s="8">
        <v>41271</v>
      </c>
      <c r="D200" s="9" t="s">
        <v>322</v>
      </c>
      <c r="E200" s="265" t="s">
        <v>357</v>
      </c>
      <c r="F200" s="13"/>
      <c r="G200" s="9" t="s">
        <v>2</v>
      </c>
      <c r="H200" s="9" t="s">
        <v>346</v>
      </c>
      <c r="I200" s="150" t="s">
        <v>360</v>
      </c>
      <c r="J200" s="137" t="s">
        <v>25</v>
      </c>
      <c r="K200" s="151" t="s">
        <v>361</v>
      </c>
      <c r="L200" s="133"/>
      <c r="M200" s="131"/>
      <c r="N200" s="299">
        <v>85000</v>
      </c>
    </row>
    <row r="201" spans="2:15" ht="13.5" thickBot="1" x14ac:dyDescent="0.25">
      <c r="B201" s="22"/>
      <c r="C201" s="3"/>
      <c r="D201" s="4"/>
      <c r="E201" s="266"/>
      <c r="F201" s="60"/>
      <c r="G201" s="11"/>
      <c r="H201" s="72"/>
      <c r="I201" s="140"/>
      <c r="J201" s="141"/>
      <c r="K201" s="152"/>
      <c r="L201" s="89"/>
      <c r="M201" s="64"/>
      <c r="N201" s="293"/>
    </row>
    <row r="202" spans="2:15" s="40" customFormat="1" ht="16.5" thickTop="1" x14ac:dyDescent="0.2">
      <c r="B202" s="208"/>
      <c r="C202" s="209"/>
      <c r="D202" s="200"/>
      <c r="E202" s="248"/>
      <c r="F202" s="210"/>
      <c r="G202" s="210"/>
      <c r="H202" s="211"/>
      <c r="I202" s="208"/>
      <c r="J202" s="200"/>
      <c r="K202" s="212"/>
      <c r="L202" s="41"/>
      <c r="M202" s="41"/>
      <c r="N202" s="289"/>
      <c r="O202" s="38"/>
    </row>
    <row r="203" spans="2:15" ht="15.75" x14ac:dyDescent="0.2">
      <c r="B203" s="80">
        <v>2012</v>
      </c>
      <c r="C203" s="81"/>
      <c r="D203" s="44"/>
      <c r="E203" s="249"/>
      <c r="F203" s="75"/>
      <c r="G203" s="230"/>
      <c r="H203" s="230"/>
      <c r="I203" s="230"/>
      <c r="J203" s="230"/>
      <c r="K203" s="230"/>
      <c r="L203" s="82">
        <f>+L205+L206</f>
        <v>0</v>
      </c>
      <c r="M203" s="82"/>
      <c r="N203" s="290">
        <f>+N204+N208</f>
        <v>4068730.0521499999</v>
      </c>
    </row>
    <row r="204" spans="2:15" x14ac:dyDescent="0.2">
      <c r="B204" s="98" t="s">
        <v>110</v>
      </c>
      <c r="C204" s="154"/>
      <c r="D204" s="9"/>
      <c r="E204" s="255"/>
      <c r="F204" s="13"/>
      <c r="G204" s="9"/>
      <c r="H204" s="9"/>
      <c r="I204" s="14"/>
      <c r="J204" s="137"/>
      <c r="K204" s="148"/>
      <c r="L204" s="85"/>
      <c r="M204" s="52"/>
      <c r="N204" s="298">
        <f>+N205+N206</f>
        <v>2455755</v>
      </c>
    </row>
    <row r="205" spans="2:15" x14ac:dyDescent="0.2">
      <c r="B205" s="13" t="s">
        <v>365</v>
      </c>
      <c r="C205" s="154">
        <v>40932</v>
      </c>
      <c r="D205" s="9" t="s">
        <v>351</v>
      </c>
      <c r="E205" s="262" t="s">
        <v>364</v>
      </c>
      <c r="F205" s="13"/>
      <c r="G205" s="9" t="s">
        <v>2</v>
      </c>
      <c r="H205" s="9" t="s">
        <v>2</v>
      </c>
      <c r="I205" s="99" t="s">
        <v>191</v>
      </c>
      <c r="J205" s="137" t="s">
        <v>11</v>
      </c>
      <c r="K205" s="99" t="s">
        <v>386</v>
      </c>
      <c r="L205" s="85"/>
      <c r="M205" s="52"/>
      <c r="N205" s="292">
        <v>2354175</v>
      </c>
    </row>
    <row r="206" spans="2:15" ht="25.5" x14ac:dyDescent="0.2">
      <c r="B206" s="155" t="s">
        <v>362</v>
      </c>
      <c r="C206" s="154">
        <v>41034</v>
      </c>
      <c r="D206" s="9" t="s">
        <v>351</v>
      </c>
      <c r="E206" s="262" t="s">
        <v>363</v>
      </c>
      <c r="F206" s="13"/>
      <c r="G206" s="9" t="s">
        <v>10</v>
      </c>
      <c r="H206" s="9" t="s">
        <v>10</v>
      </c>
      <c r="I206" s="110" t="s">
        <v>283</v>
      </c>
      <c r="J206" s="110" t="s">
        <v>283</v>
      </c>
      <c r="K206" s="137" t="s">
        <v>283</v>
      </c>
      <c r="L206" s="85"/>
      <c r="M206" s="52"/>
      <c r="N206" s="292">
        <v>101580</v>
      </c>
    </row>
    <row r="207" spans="2:15" x14ac:dyDescent="0.2">
      <c r="B207" s="13"/>
      <c r="C207" s="154"/>
      <c r="D207" s="9"/>
      <c r="E207" s="255"/>
      <c r="F207" s="13"/>
      <c r="G207" s="9"/>
      <c r="H207" s="9"/>
      <c r="I207" s="14"/>
      <c r="J207" s="137"/>
      <c r="K207" s="148"/>
      <c r="L207" s="85"/>
      <c r="M207" s="52"/>
      <c r="N207" s="298"/>
    </row>
    <row r="208" spans="2:15" x14ac:dyDescent="0.2">
      <c r="B208" s="98" t="s">
        <v>109</v>
      </c>
      <c r="C208" s="8"/>
      <c r="D208" s="156"/>
      <c r="E208" s="255"/>
      <c r="F208" s="13"/>
      <c r="G208" s="9"/>
      <c r="H208" s="9"/>
      <c r="I208" s="157"/>
      <c r="J208" s="137"/>
      <c r="K208" s="148"/>
      <c r="L208" s="85"/>
      <c r="M208" s="52"/>
      <c r="N208" s="298">
        <f>SUM(N209:N213)</f>
        <v>1612975.0521499999</v>
      </c>
    </row>
    <row r="209" spans="2:15" ht="25.5" x14ac:dyDescent="0.2">
      <c r="B209" s="13" t="s">
        <v>390</v>
      </c>
      <c r="C209" s="8">
        <v>41207</v>
      </c>
      <c r="D209" s="158" t="s">
        <v>366</v>
      </c>
      <c r="E209" s="265" t="s">
        <v>367</v>
      </c>
      <c r="F209" s="13"/>
      <c r="G209" s="9" t="s">
        <v>2</v>
      </c>
      <c r="H209" s="15" t="s">
        <v>368</v>
      </c>
      <c r="I209" s="159" t="s">
        <v>369</v>
      </c>
      <c r="J209" s="137" t="s">
        <v>370</v>
      </c>
      <c r="K209" s="160" t="s">
        <v>385</v>
      </c>
      <c r="L209" s="85"/>
      <c r="M209" s="52"/>
      <c r="N209" s="292">
        <f>606750133/1000</f>
        <v>606750.13300000003</v>
      </c>
    </row>
    <row r="210" spans="2:15" ht="25.5" x14ac:dyDescent="0.2">
      <c r="B210" s="13" t="s">
        <v>371</v>
      </c>
      <c r="C210" s="8">
        <v>41263</v>
      </c>
      <c r="D210" s="130" t="s">
        <v>366</v>
      </c>
      <c r="E210" s="265" t="s">
        <v>372</v>
      </c>
      <c r="F210" s="13"/>
      <c r="G210" s="9" t="s">
        <v>2</v>
      </c>
      <c r="H210" s="15" t="s">
        <v>368</v>
      </c>
      <c r="I210" s="161" t="s">
        <v>373</v>
      </c>
      <c r="J210" s="137" t="s">
        <v>374</v>
      </c>
      <c r="K210" s="160" t="s">
        <v>388</v>
      </c>
      <c r="L210" s="85"/>
      <c r="M210" s="52"/>
      <c r="N210" s="292">
        <f>768249867/1000</f>
        <v>768249.86699999997</v>
      </c>
    </row>
    <row r="211" spans="2:15" ht="25.5" x14ac:dyDescent="0.2">
      <c r="B211" s="13" t="s">
        <v>375</v>
      </c>
      <c r="C211" s="8">
        <v>41263</v>
      </c>
      <c r="D211" s="130" t="s">
        <v>366</v>
      </c>
      <c r="E211" s="265" t="s">
        <v>378</v>
      </c>
      <c r="F211" s="13"/>
      <c r="G211" s="9" t="s">
        <v>2</v>
      </c>
      <c r="H211" s="130" t="s">
        <v>381</v>
      </c>
      <c r="I211" s="157" t="s">
        <v>373</v>
      </c>
      <c r="J211" s="137" t="s">
        <v>25</v>
      </c>
      <c r="K211" s="135" t="s">
        <v>384</v>
      </c>
      <c r="L211" s="85"/>
      <c r="M211" s="52"/>
      <c r="N211" s="292">
        <f>9433961/1000</f>
        <v>9433.9609999999993</v>
      </c>
    </row>
    <row r="212" spans="2:15" ht="25.5" x14ac:dyDescent="0.2">
      <c r="B212" s="13" t="s">
        <v>376</v>
      </c>
      <c r="C212" s="8">
        <v>41265</v>
      </c>
      <c r="D212" s="130" t="s">
        <v>366</v>
      </c>
      <c r="E212" s="265" t="s">
        <v>379</v>
      </c>
      <c r="F212" s="13"/>
      <c r="G212" s="9" t="s">
        <v>2</v>
      </c>
      <c r="H212" s="130" t="s">
        <v>382</v>
      </c>
      <c r="I212" s="162" t="s">
        <v>373</v>
      </c>
      <c r="J212" s="137" t="s">
        <v>85</v>
      </c>
      <c r="K212" s="160" t="s">
        <v>389</v>
      </c>
      <c r="L212" s="85"/>
      <c r="M212" s="52"/>
      <c r="N212" s="292">
        <f>149385079.15/1000</f>
        <v>149385.07915000001</v>
      </c>
    </row>
    <row r="213" spans="2:15" ht="25.5" x14ac:dyDescent="0.2">
      <c r="B213" s="13" t="s">
        <v>377</v>
      </c>
      <c r="C213" s="8">
        <v>41265</v>
      </c>
      <c r="D213" s="130" t="s">
        <v>366</v>
      </c>
      <c r="E213" s="265" t="s">
        <v>380</v>
      </c>
      <c r="F213" s="13"/>
      <c r="G213" s="9" t="s">
        <v>2</v>
      </c>
      <c r="H213" s="163" t="s">
        <v>383</v>
      </c>
      <c r="I213" s="162" t="s">
        <v>373</v>
      </c>
      <c r="J213" s="137" t="s">
        <v>85</v>
      </c>
      <c r="K213" s="160" t="s">
        <v>389</v>
      </c>
      <c r="L213" s="85"/>
      <c r="M213" s="52"/>
      <c r="N213" s="292">
        <f>79156012/1000</f>
        <v>79156.012000000002</v>
      </c>
    </row>
    <row r="214" spans="2:15" ht="13.5" thickBot="1" x14ac:dyDescent="0.25">
      <c r="B214" s="22"/>
      <c r="C214" s="3"/>
      <c r="D214" s="164"/>
      <c r="E214" s="267"/>
      <c r="F214" s="60"/>
      <c r="G214" s="11"/>
      <c r="H214" s="165"/>
      <c r="I214" s="166"/>
      <c r="J214" s="141"/>
      <c r="K214" s="167"/>
      <c r="L214" s="89"/>
      <c r="M214" s="64"/>
      <c r="N214" s="293"/>
    </row>
    <row r="215" spans="2:15" s="40" customFormat="1" ht="16.5" thickTop="1" x14ac:dyDescent="0.2">
      <c r="B215" s="208"/>
      <c r="C215" s="209"/>
      <c r="D215" s="200"/>
      <c r="E215" s="248"/>
      <c r="F215" s="210"/>
      <c r="G215" s="210"/>
      <c r="H215" s="211"/>
      <c r="I215" s="208"/>
      <c r="J215" s="200"/>
      <c r="K215" s="212"/>
      <c r="L215" s="41"/>
      <c r="M215" s="41"/>
      <c r="N215" s="289"/>
      <c r="O215" s="38"/>
    </row>
    <row r="216" spans="2:15" ht="15.75" x14ac:dyDescent="0.2">
      <c r="B216" s="80">
        <v>2013</v>
      </c>
      <c r="C216" s="81"/>
      <c r="D216" s="44"/>
      <c r="E216" s="249"/>
      <c r="F216" s="75"/>
      <c r="G216" s="230"/>
      <c r="H216" s="230"/>
      <c r="I216" s="230"/>
      <c r="J216" s="230"/>
      <c r="K216" s="230"/>
      <c r="L216" s="82"/>
      <c r="M216" s="82"/>
      <c r="N216" s="290">
        <f>+N217+N222</f>
        <v>3595030.6518099997</v>
      </c>
    </row>
    <row r="217" spans="2:15" x14ac:dyDescent="0.2">
      <c r="B217" s="98" t="s">
        <v>110</v>
      </c>
      <c r="C217" s="8"/>
      <c r="D217" s="9"/>
      <c r="E217" s="262"/>
      <c r="F217" s="13"/>
      <c r="G217" s="9"/>
      <c r="H217" s="168"/>
      <c r="I217" s="169"/>
      <c r="J217" s="137"/>
      <c r="K217" s="151"/>
      <c r="L217" s="133"/>
      <c r="M217" s="131"/>
      <c r="N217" s="298">
        <f>SUM(N218:N220)</f>
        <v>1946990</v>
      </c>
    </row>
    <row r="218" spans="2:15" x14ac:dyDescent="0.2">
      <c r="B218" s="13" t="s">
        <v>509</v>
      </c>
      <c r="C218" s="8">
        <v>41248</v>
      </c>
      <c r="D218" s="9" t="s">
        <v>351</v>
      </c>
      <c r="E218" s="262" t="s">
        <v>364</v>
      </c>
      <c r="F218" s="13"/>
      <c r="G218" s="9" t="s">
        <v>2</v>
      </c>
      <c r="H218" s="9" t="s">
        <v>2</v>
      </c>
      <c r="I218" s="99" t="s">
        <v>191</v>
      </c>
      <c r="J218" s="137" t="s">
        <v>11</v>
      </c>
      <c r="K218" s="151" t="s">
        <v>408</v>
      </c>
      <c r="L218" s="133"/>
      <c r="M218" s="131"/>
      <c r="N218" s="299">
        <f>1335000000/1000</f>
        <v>1335000</v>
      </c>
    </row>
    <row r="219" spans="2:15" ht="25.5" x14ac:dyDescent="0.2">
      <c r="B219" s="13" t="s">
        <v>391</v>
      </c>
      <c r="C219" s="8">
        <v>41391</v>
      </c>
      <c r="D219" s="9" t="s">
        <v>351</v>
      </c>
      <c r="E219" s="262" t="s">
        <v>392</v>
      </c>
      <c r="F219" s="13"/>
      <c r="G219" s="9" t="s">
        <v>10</v>
      </c>
      <c r="H219" s="168" t="s">
        <v>10</v>
      </c>
      <c r="I219" s="169" t="s">
        <v>283</v>
      </c>
      <c r="J219" s="137" t="s">
        <v>283</v>
      </c>
      <c r="K219" s="151" t="s">
        <v>283</v>
      </c>
      <c r="L219" s="133"/>
      <c r="M219" s="131"/>
      <c r="N219" s="299">
        <f>111990000/1000</f>
        <v>111990</v>
      </c>
    </row>
    <row r="220" spans="2:15" ht="25.5" x14ac:dyDescent="0.2">
      <c r="B220" s="155" t="s">
        <v>393</v>
      </c>
      <c r="C220" s="8">
        <v>41530</v>
      </c>
      <c r="D220" s="9" t="s">
        <v>351</v>
      </c>
      <c r="E220" s="262" t="s">
        <v>394</v>
      </c>
      <c r="F220" s="13"/>
      <c r="G220" s="9" t="s">
        <v>2</v>
      </c>
      <c r="H220" s="168" t="s">
        <v>2</v>
      </c>
      <c r="I220" s="99" t="s">
        <v>191</v>
      </c>
      <c r="J220" s="137" t="s">
        <v>283</v>
      </c>
      <c r="K220" s="151" t="s">
        <v>408</v>
      </c>
      <c r="L220" s="133"/>
      <c r="M220" s="131"/>
      <c r="N220" s="299">
        <v>500000</v>
      </c>
    </row>
    <row r="221" spans="2:15" x14ac:dyDescent="0.2">
      <c r="B221" s="13"/>
      <c r="C221" s="8"/>
      <c r="D221" s="9"/>
      <c r="E221" s="262"/>
      <c r="F221" s="13"/>
      <c r="G221" s="9"/>
      <c r="H221" s="168"/>
      <c r="I221" s="169"/>
      <c r="J221" s="137"/>
      <c r="K221" s="151"/>
      <c r="L221" s="133"/>
      <c r="M221" s="131"/>
      <c r="N221" s="299"/>
    </row>
    <row r="222" spans="2:15" x14ac:dyDescent="0.2">
      <c r="B222" s="98" t="s">
        <v>109</v>
      </c>
      <c r="C222" s="8"/>
      <c r="D222" s="9"/>
      <c r="E222" s="262"/>
      <c r="F222" s="13"/>
      <c r="G222" s="9"/>
      <c r="H222" s="168"/>
      <c r="I222" s="169"/>
      <c r="J222" s="137"/>
      <c r="K222" s="151"/>
      <c r="L222" s="133"/>
      <c r="M222" s="131"/>
      <c r="N222" s="298">
        <f>SUM(N223:N226)</f>
        <v>1648040.65181</v>
      </c>
    </row>
    <row r="223" spans="2:15" ht="25.5" x14ac:dyDescent="0.2">
      <c r="B223" s="155" t="s">
        <v>395</v>
      </c>
      <c r="C223" s="8">
        <v>41537</v>
      </c>
      <c r="D223" s="9" t="s">
        <v>399</v>
      </c>
      <c r="E223" s="262" t="s">
        <v>400</v>
      </c>
      <c r="F223" s="13"/>
      <c r="G223" s="9" t="s">
        <v>399</v>
      </c>
      <c r="H223" s="168" t="s">
        <v>404</v>
      </c>
      <c r="I223" s="137" t="s">
        <v>405</v>
      </c>
      <c r="J223" s="137" t="s">
        <v>85</v>
      </c>
      <c r="K223" s="151" t="s">
        <v>411</v>
      </c>
      <c r="L223" s="133"/>
      <c r="M223" s="131"/>
      <c r="N223" s="299">
        <f>47380341.6/1000</f>
        <v>47380.3416</v>
      </c>
    </row>
    <row r="224" spans="2:15" x14ac:dyDescent="0.2">
      <c r="B224" s="155" t="s">
        <v>396</v>
      </c>
      <c r="C224" s="8">
        <v>41571</v>
      </c>
      <c r="D224" s="9" t="s">
        <v>399</v>
      </c>
      <c r="E224" s="262" t="s">
        <v>401</v>
      </c>
      <c r="F224" s="13"/>
      <c r="G224" s="9" t="s">
        <v>399</v>
      </c>
      <c r="H224" s="9" t="s">
        <v>368</v>
      </c>
      <c r="I224" s="137" t="s">
        <v>406</v>
      </c>
      <c r="J224" s="137" t="s">
        <v>374</v>
      </c>
      <c r="K224" s="147" t="s">
        <v>412</v>
      </c>
      <c r="L224" s="133"/>
      <c r="M224" s="131"/>
      <c r="N224" s="299">
        <f>1399469644/1000</f>
        <v>1399469.6440000001</v>
      </c>
    </row>
    <row r="225" spans="2:15" x14ac:dyDescent="0.2">
      <c r="B225" s="155" t="s">
        <v>397</v>
      </c>
      <c r="C225" s="8">
        <v>41635</v>
      </c>
      <c r="D225" s="9" t="s">
        <v>399</v>
      </c>
      <c r="E225" s="262" t="s">
        <v>402</v>
      </c>
      <c r="F225" s="13"/>
      <c r="G225" s="9" t="s">
        <v>399</v>
      </c>
      <c r="H225" s="9" t="s">
        <v>368</v>
      </c>
      <c r="I225" s="136">
        <v>4.5600000000000002E-2</v>
      </c>
      <c r="J225" s="137" t="s">
        <v>374</v>
      </c>
      <c r="K225" s="147" t="s">
        <v>412</v>
      </c>
      <c r="L225" s="133"/>
      <c r="M225" s="131"/>
      <c r="N225" s="299">
        <f>103224172.26/1000</f>
        <v>103224.17226000001</v>
      </c>
    </row>
    <row r="226" spans="2:15" ht="26.25" thickBot="1" x14ac:dyDescent="0.25">
      <c r="B226" s="170" t="s">
        <v>398</v>
      </c>
      <c r="C226" s="10">
        <v>41635</v>
      </c>
      <c r="D226" s="11" t="s">
        <v>399</v>
      </c>
      <c r="E226" s="268" t="s">
        <v>403</v>
      </c>
      <c r="F226" s="171"/>
      <c r="G226" s="11" t="s">
        <v>399</v>
      </c>
      <c r="H226" s="11" t="s">
        <v>368</v>
      </c>
      <c r="I226" s="172">
        <v>4.5600000000000002E-2</v>
      </c>
      <c r="J226" s="173" t="s">
        <v>374</v>
      </c>
      <c r="K226" s="174" t="s">
        <v>412</v>
      </c>
      <c r="L226" s="175"/>
      <c r="M226" s="176"/>
      <c r="N226" s="300">
        <f>97966493.95/1000</f>
        <v>97966.493950000004</v>
      </c>
    </row>
    <row r="227" spans="2:15" s="40" customFormat="1" ht="16.5" thickTop="1" x14ac:dyDescent="0.2">
      <c r="B227" s="208"/>
      <c r="C227" s="209"/>
      <c r="D227" s="200"/>
      <c r="E227" s="248"/>
      <c r="F227" s="210"/>
      <c r="G227" s="210"/>
      <c r="H227" s="211"/>
      <c r="I227" s="208"/>
      <c r="J227" s="200"/>
      <c r="K227" s="212"/>
      <c r="L227" s="41"/>
      <c r="M227" s="41"/>
      <c r="N227" s="289"/>
      <c r="O227" s="38"/>
    </row>
    <row r="228" spans="2:15" ht="15.75" x14ac:dyDescent="0.2">
      <c r="B228" s="80">
        <v>2014</v>
      </c>
      <c r="C228" s="81"/>
      <c r="D228" s="44"/>
      <c r="E228" s="249"/>
      <c r="F228" s="75"/>
      <c r="G228" s="230"/>
      <c r="H228" s="230"/>
      <c r="I228" s="230"/>
      <c r="J228" s="230"/>
      <c r="K228" s="230"/>
      <c r="L228" s="82"/>
      <c r="M228" s="82"/>
      <c r="N228" s="290">
        <f>+N229+N237</f>
        <v>5900541.3279999997</v>
      </c>
    </row>
    <row r="229" spans="2:15" x14ac:dyDescent="0.2">
      <c r="B229" s="119" t="s">
        <v>110</v>
      </c>
      <c r="C229" s="8"/>
      <c r="D229" s="9"/>
      <c r="E229" s="262"/>
      <c r="F229" s="13"/>
      <c r="G229" s="9"/>
      <c r="H229" s="9"/>
      <c r="I229" s="136"/>
      <c r="J229" s="137"/>
      <c r="K229" s="147"/>
      <c r="L229" s="133"/>
      <c r="M229" s="131"/>
      <c r="N229" s="298">
        <f>SUM(N230:N234)</f>
        <v>3837276</v>
      </c>
    </row>
    <row r="230" spans="2:15" x14ac:dyDescent="0.2">
      <c r="B230" s="12" t="s">
        <v>440</v>
      </c>
      <c r="C230" s="8">
        <v>41610</v>
      </c>
      <c r="D230" s="9" t="s">
        <v>351</v>
      </c>
      <c r="E230" s="262" t="s">
        <v>413</v>
      </c>
      <c r="F230" s="13"/>
      <c r="G230" s="9" t="s">
        <v>2</v>
      </c>
      <c r="H230" s="9" t="s">
        <v>2</v>
      </c>
      <c r="I230" s="99" t="s">
        <v>191</v>
      </c>
      <c r="J230" s="137"/>
      <c r="K230" s="151" t="s">
        <v>408</v>
      </c>
      <c r="L230" s="133"/>
      <c r="M230" s="131"/>
      <c r="N230" s="299">
        <f>1650000000/1000</f>
        <v>1650000</v>
      </c>
    </row>
    <row r="231" spans="2:15" ht="25.5" x14ac:dyDescent="0.2">
      <c r="B231" s="12" t="s">
        <v>442</v>
      </c>
      <c r="C231" s="8">
        <v>41767</v>
      </c>
      <c r="D231" s="9" t="s">
        <v>351</v>
      </c>
      <c r="E231" s="262" t="s">
        <v>439</v>
      </c>
      <c r="F231" s="13"/>
      <c r="G231" s="9" t="s">
        <v>10</v>
      </c>
      <c r="H231" s="168" t="s">
        <v>10</v>
      </c>
      <c r="I231" s="169" t="s">
        <v>283</v>
      </c>
      <c r="J231" s="137" t="s">
        <v>283</v>
      </c>
      <c r="K231" s="151" t="s">
        <v>283</v>
      </c>
      <c r="L231" s="133"/>
      <c r="M231" s="131"/>
      <c r="N231" s="299">
        <f>130450000/1000</f>
        <v>130450</v>
      </c>
    </row>
    <row r="232" spans="2:15" x14ac:dyDescent="0.2">
      <c r="B232" s="12" t="s">
        <v>441</v>
      </c>
      <c r="C232" s="8">
        <v>41610</v>
      </c>
      <c r="D232" s="9" t="s">
        <v>351</v>
      </c>
      <c r="E232" s="262" t="s">
        <v>422</v>
      </c>
      <c r="F232" s="13"/>
      <c r="G232" s="130" t="s">
        <v>2</v>
      </c>
      <c r="H232" s="9" t="s">
        <v>429</v>
      </c>
      <c r="I232" s="99" t="s">
        <v>191</v>
      </c>
      <c r="J232" s="148" t="s">
        <v>11</v>
      </c>
      <c r="K232" s="151" t="s">
        <v>408</v>
      </c>
      <c r="L232" s="133"/>
      <c r="M232" s="131"/>
      <c r="N232" s="299">
        <f>1000000000/1000</f>
        <v>1000000</v>
      </c>
    </row>
    <row r="233" spans="2:15" ht="17.25" customHeight="1" x14ac:dyDescent="0.2">
      <c r="B233" s="12" t="s">
        <v>414</v>
      </c>
      <c r="C233" s="8">
        <v>41767</v>
      </c>
      <c r="D233" s="9" t="s">
        <v>351</v>
      </c>
      <c r="E233" s="262" t="s">
        <v>423</v>
      </c>
      <c r="F233" s="13"/>
      <c r="G233" s="9" t="s">
        <v>2</v>
      </c>
      <c r="H233" s="9" t="s">
        <v>430</v>
      </c>
      <c r="I233" s="99" t="s">
        <v>191</v>
      </c>
      <c r="J233" s="148" t="s">
        <v>11</v>
      </c>
      <c r="K233" s="151" t="s">
        <v>408</v>
      </c>
      <c r="L233" s="133"/>
      <c r="M233" s="131"/>
      <c r="N233" s="299">
        <f>700000000/1000</f>
        <v>700000</v>
      </c>
    </row>
    <row r="234" spans="2:15" ht="45.75" customHeight="1" x14ac:dyDescent="0.2">
      <c r="B234" s="12" t="s">
        <v>416</v>
      </c>
      <c r="C234" s="8">
        <v>41965</v>
      </c>
      <c r="D234" s="9" t="s">
        <v>351</v>
      </c>
      <c r="E234" s="262" t="s">
        <v>545</v>
      </c>
      <c r="F234" s="13"/>
      <c r="G234" s="9" t="s">
        <v>2</v>
      </c>
      <c r="H234" s="9" t="s">
        <v>446</v>
      </c>
      <c r="I234" s="99" t="s">
        <v>191</v>
      </c>
      <c r="J234" s="148" t="s">
        <v>11</v>
      </c>
      <c r="K234" s="151" t="s">
        <v>408</v>
      </c>
      <c r="L234" s="133"/>
      <c r="M234" s="131"/>
      <c r="N234" s="299">
        <f>356826000/1000</f>
        <v>356826</v>
      </c>
    </row>
    <row r="235" spans="2:15" x14ac:dyDescent="0.2">
      <c r="B235" s="12"/>
      <c r="C235" s="8"/>
      <c r="D235" s="9"/>
      <c r="E235" s="262"/>
      <c r="F235" s="13"/>
      <c r="G235" s="9"/>
      <c r="H235" s="168"/>
      <c r="I235" s="169"/>
      <c r="J235" s="137"/>
      <c r="K235" s="151"/>
      <c r="L235" s="133"/>
      <c r="M235" s="131"/>
      <c r="N235" s="299"/>
    </row>
    <row r="236" spans="2:15" x14ac:dyDescent="0.2">
      <c r="B236" s="12"/>
      <c r="C236" s="13"/>
      <c r="D236" s="9"/>
      <c r="E236" s="262"/>
      <c r="F236" s="13"/>
      <c r="G236" s="9"/>
      <c r="H236" s="168"/>
      <c r="I236" s="169"/>
      <c r="J236" s="137"/>
      <c r="K236" s="151"/>
      <c r="L236" s="133"/>
      <c r="M236" s="131"/>
      <c r="N236" s="299"/>
    </row>
    <row r="237" spans="2:15" x14ac:dyDescent="0.2">
      <c r="B237" s="119" t="s">
        <v>109</v>
      </c>
      <c r="C237" s="8"/>
      <c r="D237" s="9"/>
      <c r="E237" s="262"/>
      <c r="F237" s="13"/>
      <c r="G237" s="9"/>
      <c r="H237" s="9"/>
      <c r="I237" s="136"/>
      <c r="J237" s="137"/>
      <c r="K237" s="147"/>
      <c r="L237" s="133"/>
      <c r="M237" s="131"/>
      <c r="N237" s="298">
        <f>SUM(N238:N243)</f>
        <v>2063265.328</v>
      </c>
    </row>
    <row r="238" spans="2:15" x14ac:dyDescent="0.2">
      <c r="B238" s="12" t="s">
        <v>415</v>
      </c>
      <c r="C238" s="8">
        <v>41790</v>
      </c>
      <c r="D238" s="9" t="s">
        <v>366</v>
      </c>
      <c r="E238" s="262" t="s">
        <v>546</v>
      </c>
      <c r="F238" s="13"/>
      <c r="G238" s="9" t="s">
        <v>431</v>
      </c>
      <c r="H238" s="9" t="s">
        <v>431</v>
      </c>
      <c r="I238" s="14">
        <v>4.5499999999999999E-2</v>
      </c>
      <c r="J238" s="151" t="s">
        <v>411</v>
      </c>
      <c r="K238" s="160" t="s">
        <v>411</v>
      </c>
      <c r="L238" s="133"/>
      <c r="M238" s="131"/>
      <c r="N238" s="299">
        <f>90476187/1000</f>
        <v>90476.187000000005</v>
      </c>
    </row>
    <row r="239" spans="2:15" ht="25.5" x14ac:dyDescent="0.2">
      <c r="B239" s="12" t="s">
        <v>417</v>
      </c>
      <c r="C239" s="8">
        <v>41971</v>
      </c>
      <c r="D239" s="9" t="s">
        <v>366</v>
      </c>
      <c r="E239" s="262" t="s">
        <v>424</v>
      </c>
      <c r="F239" s="13"/>
      <c r="G239" s="168" t="s">
        <v>432</v>
      </c>
      <c r="H239" s="168" t="s">
        <v>432</v>
      </c>
      <c r="I239" s="137" t="s">
        <v>436</v>
      </c>
      <c r="J239" s="137" t="s">
        <v>26</v>
      </c>
      <c r="K239" s="160" t="s">
        <v>456</v>
      </c>
      <c r="L239" s="133"/>
      <c r="M239" s="131"/>
      <c r="N239" s="299">
        <f>134792615/1000</f>
        <v>134792.61499999999</v>
      </c>
    </row>
    <row r="240" spans="2:15" x14ac:dyDescent="0.2">
      <c r="B240" s="12" t="s">
        <v>418</v>
      </c>
      <c r="C240" s="8">
        <v>41971</v>
      </c>
      <c r="D240" s="9" t="s">
        <v>366</v>
      </c>
      <c r="E240" s="262" t="s">
        <v>425</v>
      </c>
      <c r="F240" s="13"/>
      <c r="G240" s="9" t="s">
        <v>433</v>
      </c>
      <c r="H240" s="9" t="s">
        <v>433</v>
      </c>
      <c r="I240" s="178">
        <v>4.7398999999999997E-2</v>
      </c>
      <c r="J240" s="137" t="s">
        <v>43</v>
      </c>
      <c r="K240" s="160" t="s">
        <v>412</v>
      </c>
      <c r="L240" s="133"/>
      <c r="M240" s="131"/>
      <c r="N240" s="299">
        <f>29348369/1000</f>
        <v>29348.368999999999</v>
      </c>
    </row>
    <row r="241" spans="2:15" ht="25.5" x14ac:dyDescent="0.2">
      <c r="B241" s="12" t="s">
        <v>419</v>
      </c>
      <c r="C241" s="8">
        <v>42000</v>
      </c>
      <c r="D241" s="9" t="s">
        <v>366</v>
      </c>
      <c r="E241" s="262" t="s">
        <v>426</v>
      </c>
      <c r="F241" s="13"/>
      <c r="G241" s="168" t="s">
        <v>434</v>
      </c>
      <c r="H241" s="168" t="s">
        <v>434</v>
      </c>
      <c r="I241" s="178" t="s">
        <v>437</v>
      </c>
      <c r="J241" s="137" t="s">
        <v>85</v>
      </c>
      <c r="K241" s="160" t="s">
        <v>457</v>
      </c>
      <c r="L241" s="133"/>
      <c r="M241" s="131"/>
      <c r="N241" s="299">
        <f>66148157/1000</f>
        <v>66148.157000000007</v>
      </c>
    </row>
    <row r="242" spans="2:15" ht="31.5" customHeight="1" x14ac:dyDescent="0.2">
      <c r="B242" s="12" t="s">
        <v>420</v>
      </c>
      <c r="C242" s="8">
        <v>41881</v>
      </c>
      <c r="D242" s="9" t="s">
        <v>399</v>
      </c>
      <c r="E242" s="262" t="s">
        <v>427</v>
      </c>
      <c r="F242" s="13"/>
      <c r="G242" s="9" t="s">
        <v>2</v>
      </c>
      <c r="H242" s="9" t="s">
        <v>430</v>
      </c>
      <c r="I242" s="179" t="s">
        <v>438</v>
      </c>
      <c r="J242" s="180" t="s">
        <v>85</v>
      </c>
      <c r="K242" s="132" t="s">
        <v>460</v>
      </c>
      <c r="L242" s="133"/>
      <c r="M242" s="131"/>
      <c r="N242" s="299">
        <f>1170238396/1000</f>
        <v>1170238.3959999999</v>
      </c>
    </row>
    <row r="243" spans="2:15" ht="13.5" thickBot="1" x14ac:dyDescent="0.25">
      <c r="B243" s="181" t="s">
        <v>421</v>
      </c>
      <c r="C243" s="10">
        <v>42003</v>
      </c>
      <c r="D243" s="11" t="s">
        <v>399</v>
      </c>
      <c r="E243" s="268" t="s">
        <v>428</v>
      </c>
      <c r="F243" s="171"/>
      <c r="G243" s="11" t="s">
        <v>2</v>
      </c>
      <c r="H243" s="11" t="s">
        <v>435</v>
      </c>
      <c r="I243" s="182">
        <v>4.4200000000000003E-2</v>
      </c>
      <c r="J243" s="183" t="s">
        <v>85</v>
      </c>
      <c r="K243" s="184" t="s">
        <v>460</v>
      </c>
      <c r="L243" s="175"/>
      <c r="M243" s="176"/>
      <c r="N243" s="300">
        <f>572261604/1000</f>
        <v>572261.60400000005</v>
      </c>
    </row>
    <row r="244" spans="2:15" s="40" customFormat="1" ht="16.5" thickTop="1" x14ac:dyDescent="0.2">
      <c r="B244" s="208"/>
      <c r="C244" s="209"/>
      <c r="D244" s="200"/>
      <c r="E244" s="248"/>
      <c r="F244" s="210"/>
      <c r="G244" s="210"/>
      <c r="H244" s="211"/>
      <c r="I244" s="208"/>
      <c r="J244" s="200"/>
      <c r="K244" s="212"/>
      <c r="L244" s="41"/>
      <c r="M244" s="41"/>
      <c r="N244" s="289"/>
      <c r="O244" s="38"/>
    </row>
    <row r="245" spans="2:15" ht="15.75" x14ac:dyDescent="0.2">
      <c r="B245" s="80">
        <v>2015</v>
      </c>
      <c r="C245" s="81"/>
      <c r="D245" s="44"/>
      <c r="E245" s="249"/>
      <c r="F245" s="75"/>
      <c r="G245" s="230"/>
      <c r="H245" s="230"/>
      <c r="I245" s="230"/>
      <c r="J245" s="230"/>
      <c r="K245" s="230"/>
      <c r="L245" s="82"/>
      <c r="M245" s="82"/>
      <c r="N245" s="290">
        <f>+N246+N251</f>
        <v>5682230.3739999998</v>
      </c>
    </row>
    <row r="246" spans="2:15" x14ac:dyDescent="0.2">
      <c r="B246" s="98" t="s">
        <v>110</v>
      </c>
      <c r="C246" s="8"/>
      <c r="D246" s="9"/>
      <c r="E246" s="262"/>
      <c r="F246" s="13"/>
      <c r="G246" s="9"/>
      <c r="H246" s="9"/>
      <c r="I246" s="136"/>
      <c r="J246" s="137"/>
      <c r="K246" s="132"/>
      <c r="L246" s="133"/>
      <c r="M246" s="131"/>
      <c r="N246" s="298">
        <f>SUM(N247:N250)</f>
        <v>4921881.3389999997</v>
      </c>
    </row>
    <row r="247" spans="2:15" x14ac:dyDescent="0.2">
      <c r="B247" s="13" t="s">
        <v>510</v>
      </c>
      <c r="C247" s="8">
        <v>41977</v>
      </c>
      <c r="D247" s="9" t="s">
        <v>351</v>
      </c>
      <c r="E247" s="262" t="s">
        <v>422</v>
      </c>
      <c r="F247" s="13"/>
      <c r="G247" s="130" t="s">
        <v>2</v>
      </c>
      <c r="H247" s="9" t="s">
        <v>446</v>
      </c>
      <c r="I247" s="99" t="s">
        <v>191</v>
      </c>
      <c r="J247" s="148" t="s">
        <v>11</v>
      </c>
      <c r="K247" s="151" t="s">
        <v>408</v>
      </c>
      <c r="L247" s="133"/>
      <c r="M247" s="131"/>
      <c r="N247" s="299">
        <f>826500000/1000</f>
        <v>826500</v>
      </c>
    </row>
    <row r="248" spans="2:15" x14ac:dyDescent="0.2">
      <c r="B248" s="13" t="s">
        <v>510</v>
      </c>
      <c r="C248" s="8">
        <v>41977</v>
      </c>
      <c r="D248" s="9" t="s">
        <v>351</v>
      </c>
      <c r="E248" s="262" t="s">
        <v>413</v>
      </c>
      <c r="F248" s="13"/>
      <c r="G248" s="130" t="s">
        <v>2</v>
      </c>
      <c r="H248" s="9" t="s">
        <v>2</v>
      </c>
      <c r="I248" s="99" t="s">
        <v>191</v>
      </c>
      <c r="J248" s="148" t="s">
        <v>11</v>
      </c>
      <c r="K248" s="151" t="s">
        <v>408</v>
      </c>
      <c r="L248" s="133"/>
      <c r="M248" s="131"/>
      <c r="N248" s="299">
        <f>3789100000/1000</f>
        <v>3789100</v>
      </c>
    </row>
    <row r="249" spans="2:15" x14ac:dyDescent="0.2">
      <c r="B249" s="13" t="s">
        <v>443</v>
      </c>
      <c r="C249" s="8">
        <v>42324</v>
      </c>
      <c r="D249" s="9" t="s">
        <v>351</v>
      </c>
      <c r="E249" s="262" t="s">
        <v>444</v>
      </c>
      <c r="F249" s="13"/>
      <c r="G249" s="130" t="s">
        <v>445</v>
      </c>
      <c r="H249" s="9" t="s">
        <v>445</v>
      </c>
      <c r="I249" s="99" t="s">
        <v>191</v>
      </c>
      <c r="J249" s="148" t="s">
        <v>11</v>
      </c>
      <c r="K249" s="151" t="s">
        <v>408</v>
      </c>
      <c r="L249" s="133"/>
      <c r="M249" s="131"/>
      <c r="N249" s="299">
        <f>156621339/1000</f>
        <v>156621.33900000001</v>
      </c>
    </row>
    <row r="250" spans="2:15" ht="27" customHeight="1" x14ac:dyDescent="0.2">
      <c r="B250" s="13" t="s">
        <v>447</v>
      </c>
      <c r="C250" s="8">
        <v>42118</v>
      </c>
      <c r="D250" s="9" t="s">
        <v>351</v>
      </c>
      <c r="E250" s="262" t="s">
        <v>448</v>
      </c>
      <c r="F250" s="13"/>
      <c r="G250" s="130" t="s">
        <v>10</v>
      </c>
      <c r="H250" s="9" t="s">
        <v>10</v>
      </c>
      <c r="I250" s="169" t="s">
        <v>283</v>
      </c>
      <c r="J250" s="137" t="s">
        <v>283</v>
      </c>
      <c r="K250" s="160" t="s">
        <v>283</v>
      </c>
      <c r="L250" s="133"/>
      <c r="M250" s="131"/>
      <c r="N250" s="299">
        <f>149660000/1000</f>
        <v>149660</v>
      </c>
    </row>
    <row r="251" spans="2:15" x14ac:dyDescent="0.2">
      <c r="B251" s="98" t="s">
        <v>109</v>
      </c>
      <c r="C251" s="8"/>
      <c r="D251" s="9"/>
      <c r="E251" s="262"/>
      <c r="F251" s="13"/>
      <c r="G251" s="15"/>
      <c r="H251" s="9"/>
      <c r="I251" s="136"/>
      <c r="J251" s="137"/>
      <c r="K251" s="132"/>
      <c r="L251" s="133"/>
      <c r="M251" s="131"/>
      <c r="N251" s="298">
        <f>SUM(N252:N253)</f>
        <v>760349.03499999992</v>
      </c>
    </row>
    <row r="252" spans="2:15" x14ac:dyDescent="0.2">
      <c r="B252" s="13" t="s">
        <v>449</v>
      </c>
      <c r="C252" s="8">
        <v>42259</v>
      </c>
      <c r="D252" s="9" t="s">
        <v>366</v>
      </c>
      <c r="E252" s="262" t="s">
        <v>451</v>
      </c>
      <c r="F252" s="13"/>
      <c r="G252" s="15" t="s">
        <v>2</v>
      </c>
      <c r="H252" s="9" t="s">
        <v>368</v>
      </c>
      <c r="I252" s="136">
        <v>4.7399999999999998E-2</v>
      </c>
      <c r="J252" s="148" t="s">
        <v>11</v>
      </c>
      <c r="K252" s="132" t="s">
        <v>460</v>
      </c>
      <c r="L252" s="133"/>
      <c r="M252" s="131"/>
      <c r="N252" s="299">
        <f>121670499/1000</f>
        <v>121670.499</v>
      </c>
    </row>
    <row r="253" spans="2:15" x14ac:dyDescent="0.2">
      <c r="B253" s="13" t="s">
        <v>450</v>
      </c>
      <c r="C253" s="8">
        <v>42273</v>
      </c>
      <c r="D253" s="9" t="s">
        <v>366</v>
      </c>
      <c r="E253" s="262" t="s">
        <v>452</v>
      </c>
      <c r="F253" s="13"/>
      <c r="G253" s="15" t="s">
        <v>2</v>
      </c>
      <c r="H253" s="9" t="s">
        <v>368</v>
      </c>
      <c r="I253" s="136" t="s">
        <v>453</v>
      </c>
      <c r="J253" s="148" t="s">
        <v>11</v>
      </c>
      <c r="K253" s="132" t="s">
        <v>460</v>
      </c>
      <c r="L253" s="133"/>
      <c r="M253" s="131"/>
      <c r="N253" s="299">
        <f>638678536/1000</f>
        <v>638678.53599999996</v>
      </c>
    </row>
    <row r="254" spans="2:15" ht="13.5" thickBot="1" x14ac:dyDescent="0.25">
      <c r="B254" s="22"/>
      <c r="C254" s="3"/>
      <c r="D254" s="4"/>
      <c r="E254" s="269"/>
      <c r="F254" s="60"/>
      <c r="G254" s="6"/>
      <c r="H254" s="4"/>
      <c r="I254" s="186"/>
      <c r="J254" s="152"/>
      <c r="K254" s="187"/>
      <c r="L254" s="89"/>
      <c r="M254" s="108"/>
      <c r="N254" s="292"/>
    </row>
    <row r="255" spans="2:15" s="40" customFormat="1" ht="16.5" thickTop="1" x14ac:dyDescent="0.2">
      <c r="B255" s="208"/>
      <c r="C255" s="209"/>
      <c r="D255" s="200"/>
      <c r="E255" s="248"/>
      <c r="F255" s="210"/>
      <c r="G255" s="210"/>
      <c r="H255" s="211"/>
      <c r="I255" s="208"/>
      <c r="J255" s="200"/>
      <c r="K255" s="212"/>
      <c r="L255" s="41"/>
      <c r="M255" s="41"/>
      <c r="N255" s="289"/>
      <c r="O255" s="38"/>
    </row>
    <row r="256" spans="2:15" ht="15.75" x14ac:dyDescent="0.2">
      <c r="B256" s="80">
        <v>2016</v>
      </c>
      <c r="C256" s="81"/>
      <c r="D256" s="44"/>
      <c r="E256" s="249"/>
      <c r="F256" s="75"/>
      <c r="G256" s="230"/>
      <c r="H256" s="230"/>
      <c r="I256" s="230"/>
      <c r="J256" s="230"/>
      <c r="K256" s="230"/>
      <c r="L256" s="82"/>
      <c r="M256" s="82"/>
      <c r="N256" s="290">
        <f>+N257+N265</f>
        <v>11161821.780999999</v>
      </c>
    </row>
    <row r="257" spans="2:15" x14ac:dyDescent="0.2">
      <c r="B257" s="98" t="s">
        <v>110</v>
      </c>
      <c r="C257" s="8"/>
      <c r="D257" s="9"/>
      <c r="E257" s="262"/>
      <c r="F257" s="13"/>
      <c r="G257" s="15"/>
      <c r="H257" s="9"/>
      <c r="I257" s="136"/>
      <c r="J257" s="148"/>
      <c r="K257" s="132"/>
      <c r="L257" s="133"/>
      <c r="M257" s="131"/>
      <c r="N257" s="298">
        <f>SUM(N258:N264)</f>
        <v>11161821.780999999</v>
      </c>
    </row>
    <row r="258" spans="2:15" x14ac:dyDescent="0.2">
      <c r="B258" s="13" t="s">
        <v>511</v>
      </c>
      <c r="C258" s="158">
        <v>42344</v>
      </c>
      <c r="D258" s="9" t="s">
        <v>351</v>
      </c>
      <c r="E258" s="262" t="s">
        <v>422</v>
      </c>
      <c r="F258" s="13"/>
      <c r="G258" s="15" t="s">
        <v>2</v>
      </c>
      <c r="H258" s="9" t="s">
        <v>429</v>
      </c>
      <c r="I258" s="99" t="s">
        <v>191</v>
      </c>
      <c r="J258" s="148" t="s">
        <v>11</v>
      </c>
      <c r="K258" s="151" t="s">
        <v>408</v>
      </c>
      <c r="L258" s="133"/>
      <c r="M258" s="131"/>
      <c r="N258" s="299">
        <f>381980000/1000</f>
        <v>381980</v>
      </c>
    </row>
    <row r="259" spans="2:15" x14ac:dyDescent="0.2">
      <c r="B259" s="13" t="s">
        <v>511</v>
      </c>
      <c r="C259" s="158">
        <v>42344</v>
      </c>
      <c r="D259" s="9" t="s">
        <v>351</v>
      </c>
      <c r="E259" s="262" t="s">
        <v>474</v>
      </c>
      <c r="F259" s="13"/>
      <c r="G259" s="15" t="s">
        <v>2</v>
      </c>
      <c r="H259" s="9" t="s">
        <v>2</v>
      </c>
      <c r="I259" s="99" t="s">
        <v>191</v>
      </c>
      <c r="J259" s="148" t="s">
        <v>11</v>
      </c>
      <c r="K259" s="151" t="s">
        <v>408</v>
      </c>
      <c r="L259" s="133"/>
      <c r="M259" s="131"/>
      <c r="N259" s="299">
        <f>3000000000/1000</f>
        <v>3000000</v>
      </c>
    </row>
    <row r="260" spans="2:15" x14ac:dyDescent="0.2">
      <c r="B260" s="13" t="s">
        <v>512</v>
      </c>
      <c r="C260" s="158">
        <v>42344</v>
      </c>
      <c r="D260" s="9" t="s">
        <v>351</v>
      </c>
      <c r="E260" s="262" t="s">
        <v>474</v>
      </c>
      <c r="F260" s="13"/>
      <c r="G260" s="15" t="s">
        <v>2</v>
      </c>
      <c r="H260" s="9" t="s">
        <v>2</v>
      </c>
      <c r="I260" s="99" t="s">
        <v>191</v>
      </c>
      <c r="J260" s="148" t="s">
        <v>11</v>
      </c>
      <c r="K260" s="151" t="s">
        <v>408</v>
      </c>
      <c r="L260" s="133"/>
      <c r="M260" s="131"/>
      <c r="N260" s="299">
        <f>3184500000/1000</f>
        <v>3184500</v>
      </c>
    </row>
    <row r="261" spans="2:15" x14ac:dyDescent="0.2">
      <c r="B261" s="13" t="s">
        <v>513</v>
      </c>
      <c r="C261" s="158">
        <v>42344</v>
      </c>
      <c r="D261" s="9" t="s">
        <v>351</v>
      </c>
      <c r="E261" s="262" t="s">
        <v>413</v>
      </c>
      <c r="F261" s="13"/>
      <c r="G261" s="15" t="s">
        <v>2</v>
      </c>
      <c r="H261" s="9" t="s">
        <v>2</v>
      </c>
      <c r="I261" s="99" t="s">
        <v>191</v>
      </c>
      <c r="J261" s="148" t="s">
        <v>11</v>
      </c>
      <c r="K261" s="151" t="s">
        <v>408</v>
      </c>
      <c r="L261" s="133"/>
      <c r="M261" s="131"/>
      <c r="N261" s="299">
        <f>3251535000/1000</f>
        <v>3251535</v>
      </c>
    </row>
    <row r="262" spans="2:15" x14ac:dyDescent="0.2">
      <c r="B262" s="12" t="s">
        <v>473</v>
      </c>
      <c r="C262" s="8">
        <v>42432</v>
      </c>
      <c r="D262" s="9" t="s">
        <v>351</v>
      </c>
      <c r="E262" s="262" t="s">
        <v>475</v>
      </c>
      <c r="F262" s="13"/>
      <c r="G262" s="15" t="s">
        <v>10</v>
      </c>
      <c r="H262" s="9" t="s">
        <v>10</v>
      </c>
      <c r="I262" s="188" t="s">
        <v>11</v>
      </c>
      <c r="J262" s="148" t="s">
        <v>11</v>
      </c>
      <c r="K262" s="138" t="s">
        <v>283</v>
      </c>
      <c r="L262" s="133"/>
      <c r="M262" s="131"/>
      <c r="N262" s="299">
        <f>232275781/1000</f>
        <v>232275.78099999999</v>
      </c>
    </row>
    <row r="263" spans="2:15" ht="25.5" x14ac:dyDescent="0.2">
      <c r="B263" s="12" t="s">
        <v>480</v>
      </c>
      <c r="C263" s="8">
        <v>42656</v>
      </c>
      <c r="D263" s="9" t="s">
        <v>351</v>
      </c>
      <c r="E263" s="262" t="s">
        <v>547</v>
      </c>
      <c r="F263" s="13"/>
      <c r="G263" s="15" t="s">
        <v>2</v>
      </c>
      <c r="H263" s="15" t="s">
        <v>481</v>
      </c>
      <c r="I263" s="99" t="s">
        <v>191</v>
      </c>
      <c r="J263" s="148" t="s">
        <v>11</v>
      </c>
      <c r="K263" s="151" t="s">
        <v>408</v>
      </c>
      <c r="L263" s="133"/>
      <c r="M263" s="131"/>
      <c r="N263" s="299">
        <v>1023000</v>
      </c>
    </row>
    <row r="264" spans="2:15" ht="25.5" x14ac:dyDescent="0.2">
      <c r="B264" s="13" t="s">
        <v>476</v>
      </c>
      <c r="C264" s="158">
        <v>42732</v>
      </c>
      <c r="D264" s="9" t="s">
        <v>351</v>
      </c>
      <c r="E264" s="262" t="s">
        <v>477</v>
      </c>
      <c r="F264" s="13"/>
      <c r="G264" s="15" t="s">
        <v>478</v>
      </c>
      <c r="H264" s="15" t="s">
        <v>479</v>
      </c>
      <c r="I264" s="99" t="s">
        <v>191</v>
      </c>
      <c r="J264" s="148" t="s">
        <v>11</v>
      </c>
      <c r="K264" s="151" t="s">
        <v>408</v>
      </c>
      <c r="L264" s="133"/>
      <c r="M264" s="131"/>
      <c r="N264" s="299">
        <f>88531000/1000</f>
        <v>88531</v>
      </c>
    </row>
    <row r="265" spans="2:15" x14ac:dyDescent="0.2">
      <c r="B265" s="98" t="s">
        <v>109</v>
      </c>
      <c r="C265" s="8"/>
      <c r="D265" s="9"/>
      <c r="E265" s="262"/>
      <c r="F265" s="13"/>
      <c r="G265" s="15"/>
      <c r="H265" s="9"/>
      <c r="I265" s="136"/>
      <c r="J265" s="148"/>
      <c r="K265" s="132"/>
      <c r="L265" s="133"/>
      <c r="M265" s="131"/>
      <c r="N265" s="298">
        <f>SUM(N266:N266)</f>
        <v>0</v>
      </c>
    </row>
    <row r="266" spans="2:15" ht="13.5" thickBot="1" x14ac:dyDescent="0.25">
      <c r="B266" s="22"/>
      <c r="C266" s="3"/>
      <c r="D266" s="4"/>
      <c r="E266" s="269"/>
      <c r="F266" s="60"/>
      <c r="G266" s="6"/>
      <c r="H266" s="4"/>
      <c r="I266" s="186"/>
      <c r="J266" s="152"/>
      <c r="K266" s="187"/>
      <c r="L266" s="89"/>
      <c r="M266" s="64"/>
      <c r="N266" s="293"/>
    </row>
    <row r="267" spans="2:15" s="40" customFormat="1" ht="16.5" thickTop="1" x14ac:dyDescent="0.2">
      <c r="B267" s="208"/>
      <c r="C267" s="209"/>
      <c r="D267" s="200"/>
      <c r="E267" s="248"/>
      <c r="F267" s="210"/>
      <c r="G267" s="210"/>
      <c r="H267" s="211"/>
      <c r="I267" s="208"/>
      <c r="J267" s="200"/>
      <c r="K267" s="212"/>
      <c r="L267" s="41"/>
      <c r="M267" s="41"/>
      <c r="N267" s="289"/>
      <c r="O267" s="38"/>
    </row>
    <row r="268" spans="2:15" ht="15.75" x14ac:dyDescent="0.2">
      <c r="B268" s="80">
        <v>2017</v>
      </c>
      <c r="C268" s="81"/>
      <c r="D268" s="44"/>
      <c r="E268" s="249"/>
      <c r="F268" s="75"/>
      <c r="G268" s="230"/>
      <c r="H268" s="230"/>
      <c r="I268" s="230"/>
      <c r="J268" s="230"/>
      <c r="K268" s="230"/>
      <c r="L268" s="82"/>
      <c r="M268" s="82"/>
      <c r="N268" s="290">
        <f>+N269+N276</f>
        <v>9487883.1640000008</v>
      </c>
    </row>
    <row r="269" spans="2:15" x14ac:dyDescent="0.2">
      <c r="B269" s="98" t="s">
        <v>110</v>
      </c>
      <c r="C269" s="1"/>
      <c r="D269" s="2"/>
      <c r="E269" s="270"/>
      <c r="F269" s="44"/>
      <c r="G269" s="5"/>
      <c r="H269" s="2"/>
      <c r="I269" s="177"/>
      <c r="J269" s="153"/>
      <c r="K269" s="185"/>
      <c r="L269" s="85"/>
      <c r="M269" s="52"/>
      <c r="N269" s="298">
        <f>SUM(N270:N274)</f>
        <v>9487883.1640000008</v>
      </c>
    </row>
    <row r="270" spans="2:15" x14ac:dyDescent="0.2">
      <c r="B270" s="19" t="s">
        <v>514</v>
      </c>
      <c r="C270" s="1">
        <v>42706</v>
      </c>
      <c r="D270" s="9" t="s">
        <v>351</v>
      </c>
      <c r="E270" s="262" t="s">
        <v>422</v>
      </c>
      <c r="F270" s="44"/>
      <c r="G270" s="5" t="s">
        <v>2</v>
      </c>
      <c r="H270" s="9" t="s">
        <v>429</v>
      </c>
      <c r="I270" s="99" t="s">
        <v>191</v>
      </c>
      <c r="J270" s="148" t="s">
        <v>11</v>
      </c>
      <c r="K270" s="151" t="s">
        <v>408</v>
      </c>
      <c r="L270" s="85"/>
      <c r="M270" s="52"/>
      <c r="N270" s="292">
        <v>20000</v>
      </c>
    </row>
    <row r="271" spans="2:15" x14ac:dyDescent="0.2">
      <c r="B271" s="19" t="s">
        <v>514</v>
      </c>
      <c r="C271" s="1">
        <v>42706</v>
      </c>
      <c r="D271" s="9" t="s">
        <v>351</v>
      </c>
      <c r="E271" s="262" t="s">
        <v>474</v>
      </c>
      <c r="F271" s="44"/>
      <c r="G271" s="5" t="s">
        <v>2</v>
      </c>
      <c r="H271" s="9" t="s">
        <v>2</v>
      </c>
      <c r="I271" s="99" t="s">
        <v>191</v>
      </c>
      <c r="J271" s="148" t="s">
        <v>11</v>
      </c>
      <c r="K271" s="151" t="s">
        <v>408</v>
      </c>
      <c r="L271" s="85"/>
      <c r="M271" s="52"/>
      <c r="N271" s="292">
        <v>3500000</v>
      </c>
    </row>
    <row r="272" spans="2:15" x14ac:dyDescent="0.2">
      <c r="B272" s="19" t="s">
        <v>515</v>
      </c>
      <c r="C272" s="1">
        <v>42985</v>
      </c>
      <c r="D272" s="9" t="s">
        <v>351</v>
      </c>
      <c r="E272" s="262" t="s">
        <v>517</v>
      </c>
      <c r="F272" s="44"/>
      <c r="G272" s="5" t="s">
        <v>2</v>
      </c>
      <c r="H272" s="9" t="s">
        <v>2</v>
      </c>
      <c r="I272" s="99" t="s">
        <v>191</v>
      </c>
      <c r="J272" s="148" t="s">
        <v>11</v>
      </c>
      <c r="K272" s="151" t="s">
        <v>408</v>
      </c>
      <c r="L272" s="85"/>
      <c r="M272" s="52"/>
      <c r="N272" s="292">
        <v>788155</v>
      </c>
    </row>
    <row r="273" spans="2:15" x14ac:dyDescent="0.2">
      <c r="B273" s="19" t="s">
        <v>514</v>
      </c>
      <c r="C273" s="1">
        <v>42706</v>
      </c>
      <c r="D273" s="9" t="s">
        <v>351</v>
      </c>
      <c r="E273" s="262" t="s">
        <v>413</v>
      </c>
      <c r="F273" s="44"/>
      <c r="G273" s="5" t="s">
        <v>2</v>
      </c>
      <c r="H273" s="9" t="s">
        <v>2</v>
      </c>
      <c r="I273" s="99" t="s">
        <v>191</v>
      </c>
      <c r="J273" s="148" t="s">
        <v>11</v>
      </c>
      <c r="K273" s="151" t="s">
        <v>408</v>
      </c>
      <c r="L273" s="85"/>
      <c r="M273" s="52"/>
      <c r="N273" s="292">
        <v>5017800</v>
      </c>
    </row>
    <row r="274" spans="2:15" ht="25.5" x14ac:dyDescent="0.2">
      <c r="B274" s="2" t="s">
        <v>516</v>
      </c>
      <c r="C274" s="1">
        <v>42804</v>
      </c>
      <c r="D274" s="9" t="s">
        <v>351</v>
      </c>
      <c r="E274" s="262" t="s">
        <v>518</v>
      </c>
      <c r="F274" s="44"/>
      <c r="G274" s="5" t="s">
        <v>10</v>
      </c>
      <c r="H274" s="9" t="s">
        <v>10</v>
      </c>
      <c r="I274" s="188" t="s">
        <v>11</v>
      </c>
      <c r="J274" s="148" t="s">
        <v>11</v>
      </c>
      <c r="K274" s="138" t="s">
        <v>283</v>
      </c>
      <c r="L274" s="85"/>
      <c r="M274" s="52"/>
      <c r="N274" s="292">
        <v>161928.16399999999</v>
      </c>
    </row>
    <row r="275" spans="2:15" x14ac:dyDescent="0.2">
      <c r="B275" s="19"/>
      <c r="C275" s="1"/>
      <c r="D275" s="2"/>
      <c r="E275" s="270"/>
      <c r="F275" s="44"/>
      <c r="G275" s="5"/>
      <c r="H275" s="2"/>
      <c r="I275" s="177"/>
      <c r="J275" s="148"/>
      <c r="K275" s="185"/>
      <c r="L275" s="85"/>
      <c r="M275" s="52"/>
      <c r="N275" s="292"/>
    </row>
    <row r="276" spans="2:15" x14ac:dyDescent="0.2">
      <c r="B276" s="98" t="s">
        <v>109</v>
      </c>
      <c r="C276" s="8"/>
      <c r="D276" s="9"/>
      <c r="E276" s="262"/>
      <c r="F276" s="13"/>
      <c r="G276" s="15"/>
      <c r="H276" s="9"/>
      <c r="I276" s="136"/>
      <c r="J276" s="148"/>
      <c r="K276" s="132"/>
      <c r="L276" s="133"/>
      <c r="M276" s="131"/>
      <c r="N276" s="298">
        <f>+N277</f>
        <v>0</v>
      </c>
    </row>
    <row r="277" spans="2:15" x14ac:dyDescent="0.2">
      <c r="B277" s="19"/>
      <c r="C277" s="1"/>
      <c r="D277" s="2"/>
      <c r="E277" s="270"/>
      <c r="F277" s="44"/>
      <c r="G277" s="5"/>
      <c r="H277" s="2"/>
      <c r="I277" s="177"/>
      <c r="J277" s="153"/>
      <c r="K277" s="185"/>
      <c r="L277" s="85"/>
      <c r="M277" s="52"/>
      <c r="N277" s="292"/>
    </row>
    <row r="278" spans="2:15" ht="13.5" thickBot="1" x14ac:dyDescent="0.25">
      <c r="B278" s="22"/>
      <c r="C278" s="3"/>
      <c r="D278" s="4"/>
      <c r="E278" s="269"/>
      <c r="F278" s="60"/>
      <c r="G278" s="6"/>
      <c r="H278" s="4"/>
      <c r="I278" s="186"/>
      <c r="J278" s="152"/>
      <c r="K278" s="187"/>
      <c r="L278" s="89"/>
      <c r="M278" s="64"/>
      <c r="N278" s="293"/>
    </row>
    <row r="279" spans="2:15" s="40" customFormat="1" ht="16.5" thickTop="1" x14ac:dyDescent="0.2">
      <c r="B279" s="208"/>
      <c r="C279" s="209"/>
      <c r="D279" s="200"/>
      <c r="E279" s="248"/>
      <c r="F279" s="210"/>
      <c r="G279" s="210"/>
      <c r="H279" s="211"/>
      <c r="I279" s="208"/>
      <c r="J279" s="200"/>
      <c r="K279" s="212"/>
      <c r="L279" s="41"/>
      <c r="M279" s="41"/>
      <c r="N279" s="289"/>
      <c r="O279" s="38"/>
    </row>
    <row r="280" spans="2:15" ht="15.75" x14ac:dyDescent="0.2">
      <c r="B280" s="80">
        <v>2018</v>
      </c>
      <c r="C280" s="81"/>
      <c r="D280" s="44"/>
      <c r="E280" s="249"/>
      <c r="F280" s="75"/>
      <c r="G280" s="230"/>
      <c r="H280" s="230"/>
      <c r="I280" s="230"/>
      <c r="J280" s="230"/>
      <c r="K280" s="230"/>
      <c r="L280" s="82"/>
      <c r="M280" s="82"/>
      <c r="N280" s="290">
        <f>+N282+N292</f>
        <v>11686579.393999999</v>
      </c>
    </row>
    <row r="281" spans="2:15" x14ac:dyDescent="0.2">
      <c r="B281" s="19"/>
      <c r="C281" s="1"/>
      <c r="D281" s="2"/>
      <c r="E281" s="270"/>
      <c r="F281" s="44"/>
      <c r="G281" s="5"/>
      <c r="H281" s="2"/>
      <c r="I281" s="177"/>
      <c r="J281" s="153"/>
      <c r="K281" s="185"/>
      <c r="L281" s="85"/>
      <c r="M281" s="52"/>
      <c r="N281" s="292"/>
    </row>
    <row r="282" spans="2:15" x14ac:dyDescent="0.2">
      <c r="B282" s="98" t="s">
        <v>110</v>
      </c>
      <c r="C282" s="18"/>
      <c r="D282" s="2"/>
      <c r="E282" s="270"/>
      <c r="F282" s="44"/>
      <c r="G282" s="5"/>
      <c r="H282" s="2"/>
      <c r="I282" s="177"/>
      <c r="J282" s="153"/>
      <c r="K282" s="185"/>
      <c r="L282" s="85"/>
      <c r="M282" s="52"/>
      <c r="N282" s="298">
        <f>SUM(N283:N291)</f>
        <v>11637481.164999999</v>
      </c>
    </row>
    <row r="283" spans="2:15" x14ac:dyDescent="0.2">
      <c r="B283" s="19" t="s">
        <v>536</v>
      </c>
      <c r="C283" s="17">
        <v>43076</v>
      </c>
      <c r="D283" s="9" t="s">
        <v>351</v>
      </c>
      <c r="E283" s="262" t="s">
        <v>422</v>
      </c>
      <c r="F283" s="44"/>
      <c r="G283" s="5" t="s">
        <v>2</v>
      </c>
      <c r="H283" s="20" t="s">
        <v>524</v>
      </c>
      <c r="I283" s="99" t="s">
        <v>191</v>
      </c>
      <c r="J283" s="148" t="s">
        <v>11</v>
      </c>
      <c r="K283" s="151" t="s">
        <v>408</v>
      </c>
      <c r="L283" s="85"/>
      <c r="M283" s="52"/>
      <c r="N283" s="292">
        <f>292926480/1000</f>
        <v>292926.48</v>
      </c>
    </row>
    <row r="284" spans="2:15" x14ac:dyDescent="0.2">
      <c r="B284" s="19" t="s">
        <v>532</v>
      </c>
      <c r="C284" s="17">
        <v>43076</v>
      </c>
      <c r="D284" s="9" t="s">
        <v>351</v>
      </c>
      <c r="E284" s="262" t="s">
        <v>474</v>
      </c>
      <c r="F284" s="44"/>
      <c r="G284" s="5" t="s">
        <v>2</v>
      </c>
      <c r="H284" s="20" t="s">
        <v>525</v>
      </c>
      <c r="I284" s="99" t="s">
        <v>191</v>
      </c>
      <c r="J284" s="148" t="s">
        <v>11</v>
      </c>
      <c r="K284" s="151" t="s">
        <v>408</v>
      </c>
      <c r="L284" s="85"/>
      <c r="M284" s="52"/>
      <c r="N284" s="292">
        <f>2178000000/1000</f>
        <v>2178000</v>
      </c>
    </row>
    <row r="285" spans="2:15" x14ac:dyDescent="0.2">
      <c r="B285" s="19" t="s">
        <v>537</v>
      </c>
      <c r="C285" s="17">
        <v>43076</v>
      </c>
      <c r="D285" s="9" t="s">
        <v>351</v>
      </c>
      <c r="E285" s="262" t="s">
        <v>474</v>
      </c>
      <c r="F285" s="44"/>
      <c r="G285" s="5" t="s">
        <v>2</v>
      </c>
      <c r="H285" s="20" t="s">
        <v>526</v>
      </c>
      <c r="I285" s="99" t="s">
        <v>191</v>
      </c>
      <c r="J285" s="148" t="s">
        <v>11</v>
      </c>
      <c r="K285" s="151" t="s">
        <v>408</v>
      </c>
      <c r="L285" s="85"/>
      <c r="M285" s="52"/>
      <c r="N285" s="292">
        <f>2527373520/1000</f>
        <v>2527373.52</v>
      </c>
    </row>
    <row r="286" spans="2:15" ht="25.5" x14ac:dyDescent="0.2">
      <c r="B286" s="19" t="s">
        <v>532</v>
      </c>
      <c r="C286" s="1">
        <v>43076</v>
      </c>
      <c r="D286" s="9" t="s">
        <v>351</v>
      </c>
      <c r="E286" s="262" t="s">
        <v>521</v>
      </c>
      <c r="F286" s="44"/>
      <c r="G286" s="5" t="s">
        <v>523</v>
      </c>
      <c r="H286" s="20" t="s">
        <v>527</v>
      </c>
      <c r="I286" s="99" t="s">
        <v>191</v>
      </c>
      <c r="J286" s="148" t="s">
        <v>11</v>
      </c>
      <c r="K286" s="151" t="s">
        <v>408</v>
      </c>
      <c r="L286" s="85"/>
      <c r="M286" s="52"/>
      <c r="N286" s="292">
        <f>132233000/1000</f>
        <v>132233</v>
      </c>
    </row>
    <row r="287" spans="2:15" ht="38.25" x14ac:dyDescent="0.2">
      <c r="B287" s="2" t="s">
        <v>519</v>
      </c>
      <c r="C287" s="228">
        <v>43458</v>
      </c>
      <c r="D287" s="9" t="s">
        <v>351</v>
      </c>
      <c r="E287" s="262" t="s">
        <v>522</v>
      </c>
      <c r="F287" s="44"/>
      <c r="G287" s="5" t="s">
        <v>2</v>
      </c>
      <c r="H287" s="20" t="s">
        <v>528</v>
      </c>
      <c r="I287" s="99" t="s">
        <v>191</v>
      </c>
      <c r="J287" s="148" t="s">
        <v>11</v>
      </c>
      <c r="K287" s="151" t="s">
        <v>408</v>
      </c>
      <c r="L287" s="85"/>
      <c r="M287" s="52"/>
      <c r="N287" s="292">
        <f>99000000/1000</f>
        <v>99000</v>
      </c>
    </row>
    <row r="288" spans="2:15" ht="25.5" x14ac:dyDescent="0.2">
      <c r="B288" s="2" t="s">
        <v>520</v>
      </c>
      <c r="C288" s="228">
        <v>43464</v>
      </c>
      <c r="D288" s="9" t="s">
        <v>351</v>
      </c>
      <c r="E288" s="262" t="s">
        <v>548</v>
      </c>
      <c r="F288" s="44"/>
      <c r="G288" s="5" t="s">
        <v>2</v>
      </c>
      <c r="H288" s="20" t="s">
        <v>529</v>
      </c>
      <c r="I288" s="99" t="s">
        <v>191</v>
      </c>
      <c r="J288" s="148" t="s">
        <v>11</v>
      </c>
      <c r="K288" s="151" t="s">
        <v>408</v>
      </c>
      <c r="L288" s="85"/>
      <c r="M288" s="52"/>
      <c r="N288" s="292">
        <f>247500000/1000</f>
        <v>247500</v>
      </c>
    </row>
    <row r="289" spans="2:14" x14ac:dyDescent="0.2">
      <c r="B289" s="19" t="s">
        <v>538</v>
      </c>
      <c r="C289" s="1">
        <v>43076</v>
      </c>
      <c r="D289" s="9" t="s">
        <v>351</v>
      </c>
      <c r="E289" s="262" t="s">
        <v>413</v>
      </c>
      <c r="F289" s="44"/>
      <c r="G289" s="5" t="s">
        <v>2</v>
      </c>
      <c r="H289" s="2" t="s">
        <v>430</v>
      </c>
      <c r="I289" s="99" t="s">
        <v>191</v>
      </c>
      <c r="J289" s="148" t="s">
        <v>11</v>
      </c>
      <c r="K289" s="151" t="s">
        <v>408</v>
      </c>
      <c r="L289" s="85"/>
      <c r="M289" s="52"/>
      <c r="N289" s="292">
        <f>6052900000/1000</f>
        <v>6052900</v>
      </c>
    </row>
    <row r="290" spans="2:14" ht="24" customHeight="1" x14ac:dyDescent="0.2">
      <c r="B290" s="16" t="s">
        <v>530</v>
      </c>
      <c r="C290" s="1">
        <v>43202</v>
      </c>
      <c r="D290" s="9" t="s">
        <v>351</v>
      </c>
      <c r="E290" s="262" t="s">
        <v>539</v>
      </c>
      <c r="F290" s="44"/>
      <c r="G290" s="5" t="s">
        <v>10</v>
      </c>
      <c r="H290" s="2" t="s">
        <v>10</v>
      </c>
      <c r="I290" s="188" t="s">
        <v>11</v>
      </c>
      <c r="J290" s="148" t="s">
        <v>11</v>
      </c>
      <c r="K290" s="138" t="s">
        <v>283</v>
      </c>
      <c r="L290" s="85"/>
      <c r="M290" s="52"/>
      <c r="N290" s="292">
        <f>107548165/1000</f>
        <v>107548.16499999999</v>
      </c>
    </row>
    <row r="291" spans="2:14" x14ac:dyDescent="0.2">
      <c r="B291" s="19"/>
      <c r="C291" s="18"/>
      <c r="D291" s="2"/>
      <c r="E291" s="270"/>
      <c r="F291" s="44"/>
      <c r="G291" s="5"/>
      <c r="H291" s="2"/>
      <c r="I291" s="177"/>
      <c r="J291" s="153"/>
      <c r="K291" s="185"/>
      <c r="L291" s="85"/>
      <c r="M291" s="52"/>
      <c r="N291" s="292"/>
    </row>
    <row r="292" spans="2:14" x14ac:dyDescent="0.2">
      <c r="B292" s="98" t="s">
        <v>109</v>
      </c>
      <c r="C292" s="18"/>
      <c r="D292" s="2"/>
      <c r="E292" s="270"/>
      <c r="F292" s="44"/>
      <c r="G292" s="5"/>
      <c r="H292" s="2"/>
      <c r="I292" s="177"/>
      <c r="J292" s="153"/>
      <c r="K292" s="185"/>
      <c r="L292" s="85"/>
      <c r="M292" s="52"/>
      <c r="N292" s="298">
        <f>+N293</f>
        <v>49098.228999999999</v>
      </c>
    </row>
    <row r="293" spans="2:14" s="276" customFormat="1" x14ac:dyDescent="0.2">
      <c r="B293" s="280" t="s">
        <v>564</v>
      </c>
      <c r="C293" s="281">
        <v>43552</v>
      </c>
      <c r="D293" s="282" t="s">
        <v>399</v>
      </c>
      <c r="E293" s="283" t="s">
        <v>557</v>
      </c>
      <c r="F293" s="277"/>
      <c r="G293" s="284" t="s">
        <v>2</v>
      </c>
      <c r="H293" s="282" t="s">
        <v>368</v>
      </c>
      <c r="I293" s="285" t="s">
        <v>558</v>
      </c>
      <c r="J293" s="217" t="s">
        <v>85</v>
      </c>
      <c r="K293" s="286" t="s">
        <v>83</v>
      </c>
      <c r="L293" s="278"/>
      <c r="M293" s="279"/>
      <c r="N293" s="301">
        <v>49098.228999999999</v>
      </c>
    </row>
    <row r="294" spans="2:14" ht="13.5" thickBot="1" x14ac:dyDescent="0.25">
      <c r="B294" s="22"/>
      <c r="C294" s="21"/>
      <c r="D294" s="4"/>
      <c r="E294" s="269"/>
      <c r="F294" s="60"/>
      <c r="G294" s="6"/>
      <c r="H294" s="4"/>
      <c r="I294" s="186"/>
      <c r="J294" s="152"/>
      <c r="K294" s="187"/>
      <c r="L294" s="89"/>
      <c r="M294" s="64"/>
      <c r="N294" s="293"/>
    </row>
    <row r="295" spans="2:14" ht="16.5" thickTop="1" x14ac:dyDescent="0.2">
      <c r="B295" s="208"/>
      <c r="C295" s="209"/>
      <c r="D295" s="200"/>
      <c r="E295" s="248"/>
      <c r="F295" s="210"/>
      <c r="G295" s="210"/>
      <c r="H295" s="211"/>
      <c r="I295" s="208"/>
      <c r="J295" s="200"/>
      <c r="K295" s="212"/>
      <c r="L295" s="41"/>
      <c r="M295" s="41"/>
      <c r="N295" s="289"/>
    </row>
    <row r="296" spans="2:14" ht="15.75" x14ac:dyDescent="0.2">
      <c r="B296" s="80">
        <v>2019</v>
      </c>
      <c r="C296" s="81"/>
      <c r="D296" s="44"/>
      <c r="E296" s="249"/>
      <c r="F296" s="75"/>
      <c r="G296" s="230"/>
      <c r="H296" s="230"/>
      <c r="I296" s="230"/>
      <c r="J296" s="230"/>
      <c r="K296" s="230"/>
      <c r="L296" s="82"/>
      <c r="M296" s="82"/>
      <c r="N296" s="290">
        <f>+N298+N306</f>
        <v>19522135.965</v>
      </c>
    </row>
    <row r="297" spans="2:14" x14ac:dyDescent="0.2">
      <c r="B297" s="19"/>
      <c r="C297" s="1"/>
      <c r="D297" s="2"/>
      <c r="E297" s="270"/>
      <c r="F297" s="44"/>
      <c r="G297" s="5"/>
      <c r="H297" s="2"/>
      <c r="I297" s="177"/>
      <c r="J297" s="153"/>
      <c r="K297" s="185"/>
      <c r="L297" s="85"/>
      <c r="M297" s="52"/>
      <c r="N297" s="292"/>
    </row>
    <row r="298" spans="2:14" x14ac:dyDescent="0.2">
      <c r="B298" s="98" t="s">
        <v>110</v>
      </c>
      <c r="C298" s="1"/>
      <c r="D298" s="2"/>
      <c r="E298" s="270"/>
      <c r="F298" s="44"/>
      <c r="G298" s="5"/>
      <c r="H298" s="2"/>
      <c r="I298" s="177"/>
      <c r="J298" s="153"/>
      <c r="K298" s="185"/>
      <c r="L298" s="85"/>
      <c r="M298" s="52"/>
      <c r="N298" s="298">
        <f>SUM(N299:N305)</f>
        <v>19522135.965</v>
      </c>
    </row>
    <row r="299" spans="2:14" ht="24" x14ac:dyDescent="0.2">
      <c r="B299" s="2" t="s">
        <v>565</v>
      </c>
      <c r="C299" s="228">
        <v>43440</v>
      </c>
      <c r="D299" s="9" t="s">
        <v>351</v>
      </c>
      <c r="E299" s="262" t="s">
        <v>474</v>
      </c>
      <c r="F299" s="44"/>
      <c r="G299" s="5" t="s">
        <v>2</v>
      </c>
      <c r="H299" s="20" t="s">
        <v>560</v>
      </c>
      <c r="I299" s="99" t="s">
        <v>566</v>
      </c>
      <c r="J299" s="148" t="s">
        <v>11</v>
      </c>
      <c r="K299" s="151" t="s">
        <v>567</v>
      </c>
      <c r="L299" s="85"/>
      <c r="M299" s="52"/>
      <c r="N299" s="292">
        <v>1729593.5870000001</v>
      </c>
    </row>
    <row r="300" spans="2:14" x14ac:dyDescent="0.2">
      <c r="B300" s="2" t="s">
        <v>565</v>
      </c>
      <c r="C300" s="228">
        <v>43440</v>
      </c>
      <c r="D300" s="9" t="s">
        <v>351</v>
      </c>
      <c r="E300" s="262" t="s">
        <v>474</v>
      </c>
      <c r="F300" s="44"/>
      <c r="G300" s="5" t="s">
        <v>2</v>
      </c>
      <c r="H300" s="20" t="s">
        <v>525</v>
      </c>
      <c r="I300" s="99" t="s">
        <v>566</v>
      </c>
      <c r="J300" s="148" t="s">
        <v>11</v>
      </c>
      <c r="K300" s="151" t="s">
        <v>567</v>
      </c>
      <c r="L300" s="85"/>
      <c r="M300" s="52"/>
      <c r="N300" s="292">
        <v>2000000</v>
      </c>
    </row>
    <row r="301" spans="2:14" ht="24" x14ac:dyDescent="0.2">
      <c r="B301" s="2" t="s">
        <v>565</v>
      </c>
      <c r="C301" s="228">
        <v>43440</v>
      </c>
      <c r="D301" s="9" t="s">
        <v>351</v>
      </c>
      <c r="E301" s="262" t="s">
        <v>474</v>
      </c>
      <c r="F301" s="44"/>
      <c r="G301" s="5" t="s">
        <v>2</v>
      </c>
      <c r="H301" s="20" t="s">
        <v>561</v>
      </c>
      <c r="I301" s="99" t="s">
        <v>566</v>
      </c>
      <c r="J301" s="148" t="s">
        <v>11</v>
      </c>
      <c r="K301" s="151" t="s">
        <v>567</v>
      </c>
      <c r="L301" s="85"/>
      <c r="M301" s="52"/>
      <c r="N301" s="292">
        <v>718558.75</v>
      </c>
    </row>
    <row r="302" spans="2:14" x14ac:dyDescent="0.2">
      <c r="B302" s="2" t="s">
        <v>565</v>
      </c>
      <c r="C302" s="228">
        <v>43440</v>
      </c>
      <c r="D302" s="9" t="s">
        <v>351</v>
      </c>
      <c r="E302" s="262" t="s">
        <v>474</v>
      </c>
      <c r="F302" s="44"/>
      <c r="G302" s="5" t="s">
        <v>2</v>
      </c>
      <c r="H302" s="20" t="s">
        <v>562</v>
      </c>
      <c r="I302" s="99" t="s">
        <v>566</v>
      </c>
      <c r="J302" s="148" t="s">
        <v>11</v>
      </c>
      <c r="K302" s="151" t="s">
        <v>567</v>
      </c>
      <c r="L302" s="85"/>
      <c r="M302" s="52"/>
      <c r="N302" s="292">
        <v>807847.66299999994</v>
      </c>
    </row>
    <row r="303" spans="2:14" x14ac:dyDescent="0.2">
      <c r="B303" s="2" t="s">
        <v>565</v>
      </c>
      <c r="C303" s="228">
        <v>43440</v>
      </c>
      <c r="D303" s="9" t="s">
        <v>351</v>
      </c>
      <c r="E303" s="262" t="s">
        <v>413</v>
      </c>
      <c r="F303" s="44"/>
      <c r="G303" s="5" t="s">
        <v>2</v>
      </c>
      <c r="H303" s="20" t="s">
        <v>430</v>
      </c>
      <c r="I303" s="99" t="s">
        <v>566</v>
      </c>
      <c r="J303" s="148" t="s">
        <v>11</v>
      </c>
      <c r="K303" s="151" t="s">
        <v>567</v>
      </c>
      <c r="L303" s="85"/>
      <c r="M303" s="52"/>
      <c r="N303" s="292">
        <v>14154809.348999999</v>
      </c>
    </row>
    <row r="304" spans="2:14" ht="25.5" x14ac:dyDescent="0.2">
      <c r="B304" s="2" t="s">
        <v>563</v>
      </c>
      <c r="C304" s="228">
        <v>43637</v>
      </c>
      <c r="D304" s="9" t="s">
        <v>351</v>
      </c>
      <c r="E304" s="262" t="s">
        <v>559</v>
      </c>
      <c r="F304" s="44"/>
      <c r="G304" s="5" t="s">
        <v>10</v>
      </c>
      <c r="H304" s="20" t="s">
        <v>10</v>
      </c>
      <c r="I304" s="99" t="s">
        <v>11</v>
      </c>
      <c r="J304" s="148" t="s">
        <v>11</v>
      </c>
      <c r="K304" s="151" t="s">
        <v>11</v>
      </c>
      <c r="L304" s="85"/>
      <c r="M304" s="52"/>
      <c r="N304" s="292">
        <v>111326.61599999999</v>
      </c>
    </row>
    <row r="305" spans="2:14" x14ac:dyDescent="0.2">
      <c r="B305" s="19"/>
      <c r="C305" s="1"/>
      <c r="D305" s="2"/>
      <c r="E305" s="270"/>
      <c r="F305" s="44"/>
      <c r="G305" s="5"/>
      <c r="H305" s="2"/>
      <c r="I305" s="177"/>
      <c r="J305" s="153"/>
      <c r="K305" s="185"/>
      <c r="L305" s="85"/>
      <c r="M305" s="52"/>
      <c r="N305" s="292"/>
    </row>
    <row r="306" spans="2:14" x14ac:dyDescent="0.2">
      <c r="B306" s="98" t="s">
        <v>109</v>
      </c>
      <c r="C306" s="18"/>
      <c r="D306" s="2"/>
      <c r="E306" s="270"/>
      <c r="F306" s="44"/>
      <c r="G306" s="5"/>
      <c r="H306" s="2"/>
      <c r="I306" s="177"/>
      <c r="J306" s="153"/>
      <c r="K306" s="185"/>
      <c r="L306" s="85"/>
      <c r="M306" s="52"/>
      <c r="N306" s="298">
        <f>+N307</f>
        <v>0</v>
      </c>
    </row>
    <row r="307" spans="2:14" x14ac:dyDescent="0.2">
      <c r="B307" s="19"/>
      <c r="C307" s="18"/>
      <c r="D307" s="2"/>
      <c r="E307" s="270"/>
      <c r="F307" s="44"/>
      <c r="G307" s="5"/>
      <c r="H307" s="2"/>
      <c r="I307" s="177"/>
      <c r="J307" s="153"/>
      <c r="K307" s="185"/>
      <c r="L307" s="85"/>
      <c r="M307" s="52"/>
      <c r="N307" s="292"/>
    </row>
    <row r="308" spans="2:14" ht="13.5" thickBot="1" x14ac:dyDescent="0.25">
      <c r="B308" s="22"/>
      <c r="C308" s="21"/>
      <c r="D308" s="4"/>
      <c r="E308" s="269"/>
      <c r="F308" s="60"/>
      <c r="G308" s="6"/>
      <c r="H308" s="4"/>
      <c r="I308" s="186"/>
      <c r="J308" s="152"/>
      <c r="K308" s="187"/>
      <c r="L308" s="89"/>
      <c r="M308" s="64"/>
      <c r="N308" s="293"/>
    </row>
    <row r="309" spans="2:14" ht="16.5" thickTop="1" x14ac:dyDescent="0.2">
      <c r="B309" s="208"/>
      <c r="C309" s="209"/>
      <c r="D309" s="200"/>
      <c r="E309" s="248"/>
      <c r="F309" s="210"/>
      <c r="G309" s="210"/>
      <c r="H309" s="211"/>
      <c r="I309" s="208"/>
      <c r="J309" s="200"/>
      <c r="K309" s="212"/>
      <c r="L309" s="41"/>
      <c r="M309" s="41"/>
      <c r="N309" s="289"/>
    </row>
    <row r="310" spans="2:14" ht="15.75" x14ac:dyDescent="0.2">
      <c r="B310" s="80">
        <v>2020</v>
      </c>
      <c r="C310" s="81"/>
      <c r="D310" s="44"/>
      <c r="E310" s="249"/>
      <c r="F310" s="75"/>
      <c r="G310" s="230"/>
      <c r="H310" s="230"/>
      <c r="I310" s="230"/>
      <c r="J310" s="230"/>
      <c r="K310" s="230"/>
      <c r="L310" s="82"/>
      <c r="M310" s="82"/>
      <c r="N310" s="290">
        <f>+N312+N322</f>
        <v>7928579.71</v>
      </c>
    </row>
    <row r="311" spans="2:14" x14ac:dyDescent="0.2">
      <c r="B311" s="19"/>
      <c r="C311" s="1"/>
      <c r="D311" s="2"/>
      <c r="E311" s="270"/>
      <c r="F311" s="44"/>
      <c r="G311" s="5"/>
      <c r="H311" s="2"/>
      <c r="I311" s="177"/>
      <c r="J311" s="153"/>
      <c r="K311" s="185"/>
      <c r="L311" s="85"/>
      <c r="M311" s="52"/>
      <c r="N311" s="292"/>
    </row>
    <row r="312" spans="2:14" x14ac:dyDescent="0.2">
      <c r="B312" s="98" t="s">
        <v>110</v>
      </c>
      <c r="C312" s="1"/>
      <c r="D312" s="2"/>
      <c r="E312" s="270"/>
      <c r="F312" s="44"/>
      <c r="G312" s="5"/>
      <c r="H312" s="2"/>
      <c r="I312" s="177"/>
      <c r="J312" s="153"/>
      <c r="K312" s="185"/>
      <c r="L312" s="85"/>
      <c r="M312" s="52"/>
      <c r="N312" s="298">
        <f>SUM(N313:N321)</f>
        <v>7723470.0039999997</v>
      </c>
    </row>
    <row r="313" spans="2:14" x14ac:dyDescent="0.2">
      <c r="B313" s="2" t="s">
        <v>587</v>
      </c>
      <c r="C313" s="228">
        <v>43791</v>
      </c>
      <c r="D313" s="9" t="s">
        <v>351</v>
      </c>
      <c r="E313" s="262" t="s">
        <v>474</v>
      </c>
      <c r="F313" s="44"/>
      <c r="G313" s="5" t="s">
        <v>2</v>
      </c>
      <c r="H313" s="20" t="s">
        <v>525</v>
      </c>
      <c r="I313" s="99" t="s">
        <v>588</v>
      </c>
      <c r="J313" s="148" t="s">
        <v>11</v>
      </c>
      <c r="K313" s="151" t="s">
        <v>589</v>
      </c>
      <c r="L313" s="85"/>
      <c r="M313" s="52"/>
      <c r="N313" s="292">
        <v>3500000</v>
      </c>
    </row>
    <row r="314" spans="2:14" x14ac:dyDescent="0.2">
      <c r="B314" s="2" t="s">
        <v>587</v>
      </c>
      <c r="C314" s="228">
        <v>43791</v>
      </c>
      <c r="D314" s="9" t="s">
        <v>351</v>
      </c>
      <c r="E314" s="262" t="s">
        <v>474</v>
      </c>
      <c r="F314" s="44"/>
      <c r="G314" s="5" t="s">
        <v>2</v>
      </c>
      <c r="H314" s="20" t="s">
        <v>430</v>
      </c>
      <c r="I314" s="99" t="s">
        <v>588</v>
      </c>
      <c r="J314" s="148" t="s">
        <v>11</v>
      </c>
      <c r="K314" s="151" t="s">
        <v>589</v>
      </c>
      <c r="L314" s="85"/>
      <c r="M314" s="52"/>
      <c r="N314" s="292">
        <v>500000</v>
      </c>
    </row>
    <row r="315" spans="2:14" ht="60" x14ac:dyDescent="0.2">
      <c r="B315" s="215" t="s">
        <v>593</v>
      </c>
      <c r="C315" s="228">
        <v>44310</v>
      </c>
      <c r="D315" s="9" t="s">
        <v>351</v>
      </c>
      <c r="E315" s="262" t="s">
        <v>572</v>
      </c>
      <c r="F315" s="44"/>
      <c r="G315" s="5" t="s">
        <v>2</v>
      </c>
      <c r="H315" s="20" t="s">
        <v>430</v>
      </c>
      <c r="I315" s="216" t="s">
        <v>591</v>
      </c>
      <c r="J315" s="217" t="s">
        <v>112</v>
      </c>
      <c r="K315" s="218" t="s">
        <v>592</v>
      </c>
      <c r="L315" s="85"/>
      <c r="M315" s="52"/>
      <c r="N315" s="292">
        <v>130597</v>
      </c>
    </row>
    <row r="316" spans="2:14" ht="56.25" customHeight="1" x14ac:dyDescent="0.2">
      <c r="B316" s="215" t="s">
        <v>594</v>
      </c>
      <c r="C316" s="228">
        <v>44322</v>
      </c>
      <c r="D316" s="9" t="s">
        <v>351</v>
      </c>
      <c r="E316" s="262" t="s">
        <v>574</v>
      </c>
      <c r="F316" s="44"/>
      <c r="G316" s="5" t="s">
        <v>2</v>
      </c>
      <c r="H316" s="20" t="s">
        <v>430</v>
      </c>
      <c r="I316" s="216" t="s">
        <v>591</v>
      </c>
      <c r="J316" s="217" t="s">
        <v>112</v>
      </c>
      <c r="K316" s="218" t="s">
        <v>592</v>
      </c>
      <c r="L316" s="85"/>
      <c r="M316" s="52"/>
      <c r="N316" s="292">
        <v>16534</v>
      </c>
    </row>
    <row r="317" spans="2:14" ht="60.75" x14ac:dyDescent="0.2">
      <c r="B317" s="215" t="s">
        <v>595</v>
      </c>
      <c r="C317" s="228">
        <v>44322</v>
      </c>
      <c r="D317" s="9" t="s">
        <v>351</v>
      </c>
      <c r="E317" s="262" t="s">
        <v>575</v>
      </c>
      <c r="F317" s="44"/>
      <c r="G317" s="5" t="s">
        <v>2</v>
      </c>
      <c r="H317" s="20" t="s">
        <v>430</v>
      </c>
      <c r="I317" s="216" t="s">
        <v>591</v>
      </c>
      <c r="J317" s="217" t="s">
        <v>112</v>
      </c>
      <c r="K317" s="218" t="s">
        <v>592</v>
      </c>
      <c r="L317" s="85"/>
      <c r="M317" s="52"/>
      <c r="N317" s="292">
        <v>6425</v>
      </c>
    </row>
    <row r="318" spans="2:14" ht="84.75" x14ac:dyDescent="0.2">
      <c r="B318" s="215" t="s">
        <v>596</v>
      </c>
      <c r="C318" s="228">
        <v>44343</v>
      </c>
      <c r="D318" s="9" t="s">
        <v>351</v>
      </c>
      <c r="E318" s="262" t="s">
        <v>576</v>
      </c>
      <c r="F318" s="44"/>
      <c r="G318" s="5" t="s">
        <v>2</v>
      </c>
      <c r="H318" s="20" t="s">
        <v>430</v>
      </c>
      <c r="I318" s="216" t="s">
        <v>591</v>
      </c>
      <c r="J318" s="217" t="s">
        <v>112</v>
      </c>
      <c r="K318" s="218" t="s">
        <v>592</v>
      </c>
      <c r="L318" s="85"/>
      <c r="M318" s="52"/>
      <c r="N318" s="292">
        <v>64108</v>
      </c>
    </row>
    <row r="319" spans="2:14" ht="19.5" customHeight="1" x14ac:dyDescent="0.2">
      <c r="B319" s="2" t="s">
        <v>590</v>
      </c>
      <c r="C319" s="228">
        <v>43791</v>
      </c>
      <c r="D319" s="9" t="s">
        <v>351</v>
      </c>
      <c r="E319" s="262" t="s">
        <v>413</v>
      </c>
      <c r="F319" s="44"/>
      <c r="G319" s="5" t="s">
        <v>2</v>
      </c>
      <c r="H319" s="20" t="s">
        <v>430</v>
      </c>
      <c r="I319" s="99" t="s">
        <v>588</v>
      </c>
      <c r="J319" s="148" t="s">
        <v>11</v>
      </c>
      <c r="K319" s="151" t="s">
        <v>589</v>
      </c>
      <c r="L319" s="85"/>
      <c r="M319" s="52"/>
      <c r="N319" s="292">
        <v>3422399.6979999999</v>
      </c>
    </row>
    <row r="320" spans="2:14" ht="38.25" x14ac:dyDescent="0.2">
      <c r="B320" s="2" t="s">
        <v>571</v>
      </c>
      <c r="C320" s="228">
        <v>44098</v>
      </c>
      <c r="D320" s="9" t="s">
        <v>351</v>
      </c>
      <c r="E320" s="262" t="s">
        <v>577</v>
      </c>
      <c r="F320" s="44"/>
      <c r="G320" s="5" t="s">
        <v>10</v>
      </c>
      <c r="H320" s="20" t="s">
        <v>10</v>
      </c>
      <c r="I320" s="216" t="s">
        <v>11</v>
      </c>
      <c r="J320" s="217" t="s">
        <v>11</v>
      </c>
      <c r="K320" s="218" t="s">
        <v>11</v>
      </c>
      <c r="L320" s="85"/>
      <c r="M320" s="52"/>
      <c r="N320" s="292">
        <v>83406.305999999997</v>
      </c>
    </row>
    <row r="321" spans="2:14" x14ac:dyDescent="0.2">
      <c r="B321" s="2"/>
      <c r="C321" s="228"/>
      <c r="D321" s="9"/>
      <c r="E321" s="262"/>
      <c r="F321" s="44"/>
      <c r="G321" s="5"/>
      <c r="H321" s="20"/>
      <c r="I321" s="99"/>
      <c r="J321" s="148"/>
      <c r="K321" s="151"/>
      <c r="L321" s="85"/>
      <c r="M321" s="52"/>
      <c r="N321" s="292"/>
    </row>
    <row r="322" spans="2:14" x14ac:dyDescent="0.2">
      <c r="B322" s="98" t="s">
        <v>109</v>
      </c>
      <c r="C322" s="1"/>
      <c r="D322" s="2"/>
      <c r="E322" s="270"/>
      <c r="F322" s="44"/>
      <c r="G322" s="5"/>
      <c r="H322" s="2"/>
      <c r="I322" s="177"/>
      <c r="J322" s="153"/>
      <c r="K322" s="185"/>
      <c r="L322" s="85"/>
      <c r="M322" s="52"/>
      <c r="N322" s="298">
        <f>+N323</f>
        <v>205109.70600000001</v>
      </c>
    </row>
    <row r="323" spans="2:14" ht="38.25" x14ac:dyDescent="0.2">
      <c r="B323" s="215" t="s">
        <v>579</v>
      </c>
      <c r="C323" s="228">
        <v>44311</v>
      </c>
      <c r="D323" s="9" t="s">
        <v>606</v>
      </c>
      <c r="E323" s="262" t="s">
        <v>573</v>
      </c>
      <c r="F323" s="44"/>
      <c r="G323" s="5" t="s">
        <v>2</v>
      </c>
      <c r="H323" s="20" t="s">
        <v>430</v>
      </c>
      <c r="I323" s="216" t="s">
        <v>597</v>
      </c>
      <c r="J323" s="217" t="s">
        <v>112</v>
      </c>
      <c r="K323" s="218" t="s">
        <v>578</v>
      </c>
      <c r="L323" s="85"/>
      <c r="M323" s="52"/>
      <c r="N323" s="292">
        <v>205109.70600000001</v>
      </c>
    </row>
    <row r="324" spans="2:14" x14ac:dyDescent="0.2">
      <c r="B324" s="19"/>
      <c r="C324" s="18"/>
      <c r="D324" s="2"/>
      <c r="E324" s="270"/>
      <c r="F324" s="44"/>
      <c r="G324" s="5"/>
      <c r="H324" s="2"/>
      <c r="I324" s="177"/>
      <c r="J324" s="153"/>
      <c r="K324" s="185"/>
      <c r="L324" s="85"/>
      <c r="M324" s="52"/>
      <c r="N324" s="292"/>
    </row>
    <row r="325" spans="2:14" ht="13.5" thickBot="1" x14ac:dyDescent="0.25">
      <c r="B325" s="22"/>
      <c r="C325" s="21"/>
      <c r="D325" s="4"/>
      <c r="E325" s="269"/>
      <c r="F325" s="60"/>
      <c r="G325" s="6"/>
      <c r="H325" s="4"/>
      <c r="I325" s="186"/>
      <c r="J325" s="152"/>
      <c r="K325" s="187"/>
      <c r="L325" s="89"/>
      <c r="M325" s="64"/>
      <c r="N325" s="293"/>
    </row>
    <row r="326" spans="2:14" ht="13.5" thickTop="1" x14ac:dyDescent="0.2">
      <c r="B326" s="342"/>
      <c r="C326" s="350"/>
      <c r="D326" s="343"/>
      <c r="E326" s="352"/>
      <c r="F326" s="344"/>
      <c r="G326" s="343"/>
      <c r="H326" s="355"/>
      <c r="I326" s="345"/>
      <c r="J326" s="357"/>
      <c r="K326" s="346"/>
      <c r="L326" s="386"/>
      <c r="M326" s="387"/>
      <c r="N326" s="388"/>
    </row>
    <row r="327" spans="2:14" ht="15.75" x14ac:dyDescent="0.2">
      <c r="B327" s="80">
        <v>2021</v>
      </c>
      <c r="C327" s="1"/>
      <c r="D327" s="326"/>
      <c r="E327" s="353"/>
      <c r="F327" s="327"/>
      <c r="G327" s="326"/>
      <c r="H327" s="2"/>
      <c r="I327" s="328"/>
      <c r="J327" s="153"/>
      <c r="K327" s="329"/>
      <c r="L327" s="389"/>
      <c r="M327" s="390"/>
      <c r="N327" s="398">
        <f>+N329+N335</f>
        <v>22965936.772</v>
      </c>
    </row>
    <row r="328" spans="2:14" ht="15.75" x14ac:dyDescent="0.2">
      <c r="B328" s="80"/>
      <c r="C328" s="1"/>
      <c r="D328" s="326"/>
      <c r="E328" s="353"/>
      <c r="F328" s="327"/>
      <c r="G328" s="326"/>
      <c r="H328" s="2"/>
      <c r="I328" s="328"/>
      <c r="J328" s="153"/>
      <c r="K328" s="329"/>
      <c r="L328" s="389"/>
      <c r="M328" s="390"/>
      <c r="N328" s="391"/>
    </row>
    <row r="329" spans="2:14" ht="15" x14ac:dyDescent="0.2">
      <c r="B329" s="98" t="s">
        <v>110</v>
      </c>
      <c r="C329" s="351"/>
      <c r="D329" s="349"/>
      <c r="E329" s="354"/>
      <c r="F329" s="327"/>
      <c r="G329" s="326"/>
      <c r="H329" s="356"/>
      <c r="I329" s="330"/>
      <c r="J329" s="358"/>
      <c r="K329" s="347"/>
      <c r="L329" s="389"/>
      <c r="M329" s="390"/>
      <c r="N329" s="399">
        <f>SUM(N330:N334)</f>
        <v>13965936.772</v>
      </c>
    </row>
    <row r="330" spans="2:14" ht="25.5" x14ac:dyDescent="0.2">
      <c r="B330" s="359" t="s">
        <v>621</v>
      </c>
      <c r="C330" s="360">
        <v>44165</v>
      </c>
      <c r="D330" s="361" t="s">
        <v>612</v>
      </c>
      <c r="E330" s="384" t="s">
        <v>614</v>
      </c>
      <c r="F330" s="372"/>
      <c r="G330" s="373" t="s">
        <v>2</v>
      </c>
      <c r="H330" s="362" t="s">
        <v>430</v>
      </c>
      <c r="I330" s="331" t="s">
        <v>629</v>
      </c>
      <c r="J330" s="363" t="s">
        <v>112</v>
      </c>
      <c r="K330" s="364" t="s">
        <v>630</v>
      </c>
      <c r="L330" s="392"/>
      <c r="M330" s="393"/>
      <c r="N330" s="394">
        <v>9327129.6799999997</v>
      </c>
    </row>
    <row r="331" spans="2:14" x14ac:dyDescent="0.2">
      <c r="B331" s="359" t="s">
        <v>622</v>
      </c>
      <c r="C331" s="360">
        <v>44165</v>
      </c>
      <c r="D331" s="361" t="s">
        <v>612</v>
      </c>
      <c r="E331" s="384" t="s">
        <v>615</v>
      </c>
      <c r="F331" s="372"/>
      <c r="G331" s="373" t="s">
        <v>2</v>
      </c>
      <c r="H331" s="362" t="s">
        <v>430</v>
      </c>
      <c r="I331" s="403" t="s">
        <v>629</v>
      </c>
      <c r="J331" s="363" t="s">
        <v>112</v>
      </c>
      <c r="K331" s="364" t="s">
        <v>630</v>
      </c>
      <c r="L331" s="392"/>
      <c r="M331" s="393"/>
      <c r="N331" s="394">
        <v>2148999.1290000002</v>
      </c>
    </row>
    <row r="332" spans="2:14" ht="63" customHeight="1" x14ac:dyDescent="0.2">
      <c r="B332" s="359" t="s">
        <v>623</v>
      </c>
      <c r="C332" s="360">
        <v>44286</v>
      </c>
      <c r="D332" s="361" t="s">
        <v>612</v>
      </c>
      <c r="E332" s="384" t="s">
        <v>616</v>
      </c>
      <c r="F332" s="372"/>
      <c r="G332" s="373" t="s">
        <v>10</v>
      </c>
      <c r="H332" s="362" t="s">
        <v>430</v>
      </c>
      <c r="I332" s="331" t="s">
        <v>112</v>
      </c>
      <c r="J332" s="363" t="s">
        <v>112</v>
      </c>
      <c r="K332" s="364" t="s">
        <v>112</v>
      </c>
      <c r="L332" s="374"/>
      <c r="M332" s="375"/>
      <c r="N332" s="394">
        <v>68350.963000000003</v>
      </c>
    </row>
    <row r="333" spans="2:14" ht="77.25" customHeight="1" x14ac:dyDescent="0.2">
      <c r="B333" s="365" t="s">
        <v>609</v>
      </c>
      <c r="C333" s="360">
        <v>44391</v>
      </c>
      <c r="D333" s="366" t="s">
        <v>612</v>
      </c>
      <c r="E333" s="384" t="s">
        <v>619</v>
      </c>
      <c r="F333" s="372"/>
      <c r="G333" s="373" t="s">
        <v>2</v>
      </c>
      <c r="H333" s="362" t="s">
        <v>430</v>
      </c>
      <c r="I333" s="403" t="s">
        <v>629</v>
      </c>
      <c r="J333" s="363" t="s">
        <v>112</v>
      </c>
      <c r="K333" s="364" t="s">
        <v>630</v>
      </c>
      <c r="L333" s="377"/>
      <c r="M333" s="378"/>
      <c r="N333" s="394">
        <v>742457</v>
      </c>
    </row>
    <row r="334" spans="2:14" ht="63.75" customHeight="1" x14ac:dyDescent="0.2">
      <c r="B334" s="365" t="s">
        <v>610</v>
      </c>
      <c r="C334" s="395">
        <v>44454</v>
      </c>
      <c r="D334" s="366" t="s">
        <v>612</v>
      </c>
      <c r="E334" s="384" t="s">
        <v>620</v>
      </c>
      <c r="F334" s="372"/>
      <c r="G334" s="373" t="s">
        <v>2</v>
      </c>
      <c r="H334" s="362" t="s">
        <v>430</v>
      </c>
      <c r="I334" s="403" t="s">
        <v>629</v>
      </c>
      <c r="J334" s="363" t="s">
        <v>112</v>
      </c>
      <c r="K334" s="364" t="s">
        <v>630</v>
      </c>
      <c r="L334" s="377"/>
      <c r="M334" s="378"/>
      <c r="N334" s="394">
        <v>1679000</v>
      </c>
    </row>
    <row r="335" spans="2:14" ht="26.25" customHeight="1" x14ac:dyDescent="0.2">
      <c r="B335" s="98" t="s">
        <v>626</v>
      </c>
      <c r="C335" s="395"/>
      <c r="D335" s="366"/>
      <c r="E335" s="384"/>
      <c r="F335" s="372"/>
      <c r="G335" s="373"/>
      <c r="H335" s="362"/>
      <c r="I335" s="331"/>
      <c r="J335" s="363"/>
      <c r="K335" s="364"/>
      <c r="L335" s="377"/>
      <c r="M335" s="378"/>
      <c r="N335" s="399">
        <f>SUM(N336:N337)</f>
        <v>9000000</v>
      </c>
    </row>
    <row r="336" spans="2:14" ht="59.25" customHeight="1" x14ac:dyDescent="0.2">
      <c r="B336" s="365" t="s">
        <v>624</v>
      </c>
      <c r="C336" s="360">
        <v>44294</v>
      </c>
      <c r="D336" s="361" t="s">
        <v>613</v>
      </c>
      <c r="E336" s="384" t="s">
        <v>617</v>
      </c>
      <c r="F336" s="372"/>
      <c r="G336" s="373" t="s">
        <v>2</v>
      </c>
      <c r="H336" s="362" t="s">
        <v>430</v>
      </c>
      <c r="I336" s="331" t="s">
        <v>112</v>
      </c>
      <c r="J336" s="363" t="s">
        <v>112</v>
      </c>
      <c r="K336" s="364" t="s">
        <v>112</v>
      </c>
      <c r="L336" s="377"/>
      <c r="M336" s="378"/>
      <c r="N336" s="376">
        <v>7000000</v>
      </c>
    </row>
    <row r="337" spans="2:18" ht="68.25" customHeight="1" thickBot="1" x14ac:dyDescent="0.25">
      <c r="B337" s="367" t="s">
        <v>625</v>
      </c>
      <c r="C337" s="396" t="s">
        <v>611</v>
      </c>
      <c r="D337" s="397" t="s">
        <v>613</v>
      </c>
      <c r="E337" s="385" t="s">
        <v>618</v>
      </c>
      <c r="F337" s="379"/>
      <c r="G337" s="380" t="s">
        <v>2</v>
      </c>
      <c r="H337" s="368" t="s">
        <v>430</v>
      </c>
      <c r="I337" s="369" t="s">
        <v>112</v>
      </c>
      <c r="J337" s="370" t="s">
        <v>112</v>
      </c>
      <c r="K337" s="371" t="s">
        <v>112</v>
      </c>
      <c r="L337" s="381"/>
      <c r="M337" s="382"/>
      <c r="N337" s="383">
        <v>2000000</v>
      </c>
    </row>
    <row r="338" spans="2:18" ht="15" thickTop="1" x14ac:dyDescent="0.2">
      <c r="B338" s="405"/>
      <c r="C338" s="415"/>
      <c r="D338" s="348"/>
      <c r="E338" s="417"/>
      <c r="F338" s="344"/>
      <c r="G338" s="404"/>
      <c r="H338" s="419"/>
      <c r="I338" s="400"/>
      <c r="J338" s="421"/>
      <c r="K338" s="400"/>
      <c r="L338" s="422"/>
      <c r="M338" s="423"/>
      <c r="N338" s="414"/>
    </row>
    <row r="339" spans="2:18" ht="15.75" x14ac:dyDescent="0.2">
      <c r="B339" s="80">
        <v>2022</v>
      </c>
      <c r="C339" s="416"/>
      <c r="D339" s="334"/>
      <c r="E339" s="418"/>
      <c r="F339" s="334"/>
      <c r="G339" s="336"/>
      <c r="H339" s="420"/>
      <c r="I339" s="336"/>
      <c r="J339" s="420"/>
      <c r="K339" s="337"/>
      <c r="L339" s="424"/>
      <c r="M339" s="425"/>
      <c r="N339" s="398">
        <f>+N340</f>
        <v>24230181.787000004</v>
      </c>
      <c r="O339" s="334"/>
      <c r="P339" s="334"/>
      <c r="Q339" s="334"/>
      <c r="R339" s="334"/>
    </row>
    <row r="340" spans="2:18" x14ac:dyDescent="0.2">
      <c r="B340" s="98" t="s">
        <v>110</v>
      </c>
      <c r="C340" s="416"/>
      <c r="D340" s="334"/>
      <c r="E340" s="418"/>
      <c r="F340" s="334"/>
      <c r="G340" s="336"/>
      <c r="H340" s="420"/>
      <c r="I340" s="336"/>
      <c r="J340" s="420"/>
      <c r="K340" s="337"/>
      <c r="L340" s="424"/>
      <c r="M340" s="425"/>
      <c r="N340" s="399">
        <f>SUM(N341:N344)</f>
        <v>24230181.787000004</v>
      </c>
      <c r="O340" s="334"/>
      <c r="P340" s="334"/>
      <c r="Q340" s="334"/>
      <c r="R340" s="334"/>
    </row>
    <row r="341" spans="2:18" s="276" customFormat="1" ht="60.75" customHeight="1" x14ac:dyDescent="0.2">
      <c r="B341" s="426" t="s">
        <v>631</v>
      </c>
      <c r="C341" s="427">
        <v>44648</v>
      </c>
      <c r="D341" s="428" t="s">
        <v>351</v>
      </c>
      <c r="E341" s="429" t="s">
        <v>636</v>
      </c>
      <c r="F341" s="430"/>
      <c r="G341" s="431"/>
      <c r="H341" s="432" t="s">
        <v>430</v>
      </c>
      <c r="I341" s="413" t="s">
        <v>629</v>
      </c>
      <c r="J341" s="433" t="s">
        <v>112</v>
      </c>
      <c r="K341" s="364" t="s">
        <v>630</v>
      </c>
      <c r="L341" s="434"/>
      <c r="M341" s="435"/>
      <c r="N341" s="436">
        <v>800850.39099999995</v>
      </c>
      <c r="O341" s="437"/>
      <c r="P341" s="437"/>
      <c r="Q341" s="437"/>
      <c r="R341" s="437"/>
    </row>
    <row r="342" spans="2:18" s="276" customFormat="1" ht="22.5" customHeight="1" x14ac:dyDescent="0.2">
      <c r="B342" s="438" t="s">
        <v>635</v>
      </c>
      <c r="C342" s="439">
        <v>44529</v>
      </c>
      <c r="D342" s="428" t="s">
        <v>351</v>
      </c>
      <c r="E342" s="429" t="s">
        <v>637</v>
      </c>
      <c r="F342" s="430"/>
      <c r="G342" s="431"/>
      <c r="H342" s="432" t="s">
        <v>430</v>
      </c>
      <c r="I342" s="413" t="s">
        <v>629</v>
      </c>
      <c r="J342" s="433" t="s">
        <v>112</v>
      </c>
      <c r="K342" s="364" t="s">
        <v>630</v>
      </c>
      <c r="L342" s="440"/>
      <c r="M342" s="441"/>
      <c r="N342" s="442">
        <v>12667706.557</v>
      </c>
      <c r="O342" s="437"/>
      <c r="P342" s="437"/>
      <c r="Q342" s="437"/>
      <c r="R342" s="437"/>
    </row>
    <row r="343" spans="2:18" s="276" customFormat="1" ht="21" customHeight="1" x14ac:dyDescent="0.2">
      <c r="B343" s="438" t="s">
        <v>635</v>
      </c>
      <c r="C343" s="439">
        <v>44529</v>
      </c>
      <c r="D343" s="428" t="s">
        <v>351</v>
      </c>
      <c r="E343" s="429" t="s">
        <v>638</v>
      </c>
      <c r="F343" s="430"/>
      <c r="G343" s="431"/>
      <c r="H343" s="432" t="s">
        <v>430</v>
      </c>
      <c r="I343" s="413" t="s">
        <v>629</v>
      </c>
      <c r="J343" s="433" t="s">
        <v>112</v>
      </c>
      <c r="K343" s="364" t="s">
        <v>630</v>
      </c>
      <c r="L343" s="440"/>
      <c r="M343" s="441"/>
      <c r="N343" s="442">
        <v>10702954.811000001</v>
      </c>
      <c r="O343" s="437"/>
      <c r="P343" s="437"/>
      <c r="Q343" s="437"/>
      <c r="R343" s="437"/>
    </row>
    <row r="344" spans="2:18" s="276" customFormat="1" ht="47.25" customHeight="1" thickBot="1" x14ac:dyDescent="0.25">
      <c r="B344" s="443" t="s">
        <v>632</v>
      </c>
      <c r="C344" s="444">
        <v>44657</v>
      </c>
      <c r="D344" s="445" t="s">
        <v>633</v>
      </c>
      <c r="E344" s="446" t="s">
        <v>634</v>
      </c>
      <c r="F344" s="447"/>
      <c r="G344" s="448"/>
      <c r="H344" s="449" t="s">
        <v>430</v>
      </c>
      <c r="I344" s="450" t="s">
        <v>112</v>
      </c>
      <c r="J344" s="451" t="s">
        <v>112</v>
      </c>
      <c r="K344" s="450" t="s">
        <v>112</v>
      </c>
      <c r="L344" s="452"/>
      <c r="M344" s="453"/>
      <c r="N344" s="454">
        <v>58670.027999999998</v>
      </c>
      <c r="O344" s="437"/>
      <c r="P344" s="437"/>
      <c r="Q344" s="437"/>
      <c r="R344" s="437"/>
    </row>
    <row r="345" spans="2:18" ht="15" thickTop="1" x14ac:dyDescent="0.2">
      <c r="B345" s="406"/>
      <c r="C345" s="407"/>
      <c r="D345" s="348"/>
      <c r="E345" s="408"/>
      <c r="F345" s="334"/>
      <c r="G345" s="336"/>
      <c r="H345" s="409"/>
      <c r="I345" s="410"/>
      <c r="J345" s="411"/>
      <c r="K345" s="412"/>
      <c r="L345" s="334"/>
      <c r="M345" s="334"/>
      <c r="N345" s="339"/>
      <c r="O345" s="334"/>
      <c r="P345" s="334"/>
      <c r="Q345" s="334"/>
      <c r="R345" s="334"/>
    </row>
    <row r="346" spans="2:18" x14ac:dyDescent="0.2">
      <c r="B346" s="338"/>
      <c r="C346" s="334"/>
      <c r="D346" s="334"/>
      <c r="E346" s="335"/>
      <c r="F346" s="334"/>
      <c r="G346" s="336"/>
      <c r="H346" s="336"/>
      <c r="I346" s="336"/>
      <c r="J346" s="336"/>
      <c r="K346" s="336"/>
      <c r="L346" s="334"/>
      <c r="M346" s="334"/>
      <c r="N346" s="339"/>
      <c r="O346" s="334"/>
      <c r="P346" s="334"/>
      <c r="Q346" s="334"/>
      <c r="R346" s="334"/>
    </row>
    <row r="347" spans="2:18" x14ac:dyDescent="0.2">
      <c r="B347" s="332"/>
      <c r="C347" s="333"/>
      <c r="D347" s="334"/>
      <c r="E347" s="335"/>
      <c r="F347" s="334"/>
      <c r="G347" s="336"/>
      <c r="H347" s="336"/>
      <c r="I347" s="336"/>
      <c r="J347" s="336"/>
      <c r="K347" s="336"/>
      <c r="L347" s="334"/>
      <c r="M347" s="334"/>
      <c r="N347" s="339"/>
      <c r="O347" s="334"/>
      <c r="P347" s="334"/>
      <c r="Q347" s="334"/>
      <c r="R347" s="334"/>
    </row>
    <row r="348" spans="2:18" x14ac:dyDescent="0.2">
      <c r="B348" s="189" t="s">
        <v>491</v>
      </c>
      <c r="I348" s="100"/>
      <c r="J348" s="100"/>
      <c r="K348" s="100"/>
      <c r="L348" s="94"/>
      <c r="M348" s="94"/>
      <c r="N348" s="302"/>
    </row>
    <row r="349" spans="2:18" x14ac:dyDescent="0.2">
      <c r="B349" s="189" t="s">
        <v>492</v>
      </c>
      <c r="I349" s="100"/>
      <c r="J349" s="100"/>
      <c r="K349" s="100"/>
      <c r="L349" s="94"/>
      <c r="M349" s="94"/>
      <c r="N349" s="302"/>
    </row>
    <row r="350" spans="2:18" x14ac:dyDescent="0.2">
      <c r="B350" s="189" t="s">
        <v>493</v>
      </c>
      <c r="I350" s="100"/>
      <c r="J350" s="100"/>
      <c r="K350" s="100"/>
      <c r="L350" s="94"/>
      <c r="M350" s="94"/>
      <c r="N350" s="302"/>
    </row>
    <row r="351" spans="2:18" x14ac:dyDescent="0.2">
      <c r="B351" s="190" t="s">
        <v>494</v>
      </c>
      <c r="I351" s="100"/>
      <c r="J351" s="100"/>
      <c r="K351" s="100"/>
      <c r="L351" s="94"/>
      <c r="M351" s="94"/>
      <c r="N351" s="302"/>
    </row>
    <row r="352" spans="2:18" x14ac:dyDescent="0.2">
      <c r="B352" s="190" t="s">
        <v>495</v>
      </c>
      <c r="K352" s="100"/>
      <c r="L352" s="94"/>
      <c r="M352" s="94"/>
      <c r="N352" s="302"/>
    </row>
    <row r="353" spans="2:14" x14ac:dyDescent="0.2">
      <c r="B353" s="190" t="s">
        <v>496</v>
      </c>
      <c r="K353" s="100"/>
      <c r="L353" s="94"/>
      <c r="M353" s="94"/>
      <c r="N353" s="302"/>
    </row>
    <row r="354" spans="2:14" x14ac:dyDescent="0.2">
      <c r="B354" s="190" t="s">
        <v>497</v>
      </c>
      <c r="K354" s="100"/>
      <c r="L354" s="94"/>
      <c r="M354" s="94"/>
      <c r="N354" s="302"/>
    </row>
    <row r="355" spans="2:14" x14ac:dyDescent="0.2">
      <c r="B355" s="190" t="s">
        <v>498</v>
      </c>
      <c r="K355" s="100"/>
      <c r="L355" s="94"/>
      <c r="M355" s="94"/>
      <c r="N355" s="302"/>
    </row>
    <row r="356" spans="2:14" x14ac:dyDescent="0.2">
      <c r="B356" s="191" t="s">
        <v>499</v>
      </c>
      <c r="K356" s="100"/>
      <c r="L356" s="94"/>
      <c r="M356" s="94"/>
      <c r="N356" s="302"/>
    </row>
    <row r="357" spans="2:14" x14ac:dyDescent="0.2">
      <c r="B357" s="189" t="s">
        <v>500</v>
      </c>
      <c r="K357" s="100"/>
      <c r="L357" s="94"/>
      <c r="M357" s="94"/>
      <c r="N357" s="302"/>
    </row>
    <row r="358" spans="2:14" x14ac:dyDescent="0.2">
      <c r="B358" s="189" t="s">
        <v>501</v>
      </c>
      <c r="K358" s="100"/>
      <c r="L358" s="94"/>
      <c r="M358" s="94"/>
      <c r="N358" s="302"/>
    </row>
    <row r="359" spans="2:14" x14ac:dyDescent="0.2">
      <c r="B359" s="189" t="s">
        <v>502</v>
      </c>
      <c r="K359" s="100"/>
      <c r="L359" s="94"/>
      <c r="M359" s="94"/>
      <c r="N359" s="302"/>
    </row>
    <row r="360" spans="2:14" ht="24" customHeight="1" x14ac:dyDescent="0.2">
      <c r="B360" s="192" t="s">
        <v>185</v>
      </c>
      <c r="C360" s="27"/>
    </row>
    <row r="361" spans="2:14" x14ac:dyDescent="0.2">
      <c r="B361" s="189" t="s">
        <v>503</v>
      </c>
      <c r="C361" s="27"/>
      <c r="L361" s="100"/>
      <c r="M361" s="100"/>
      <c r="N361" s="302"/>
    </row>
    <row r="362" spans="2:14" x14ac:dyDescent="0.2">
      <c r="B362" s="189" t="s">
        <v>504</v>
      </c>
      <c r="C362" s="129"/>
      <c r="D362" s="129"/>
      <c r="E362" s="340"/>
      <c r="F362" s="192"/>
      <c r="G362" s="232"/>
      <c r="H362" s="232"/>
      <c r="I362" s="232"/>
      <c r="J362" s="232"/>
      <c r="K362" s="232"/>
      <c r="L362" s="192"/>
      <c r="M362" s="192"/>
      <c r="N362" s="304"/>
    </row>
    <row r="363" spans="2:14" ht="12.75" customHeight="1" x14ac:dyDescent="0.2">
      <c r="B363" s="189" t="s">
        <v>505</v>
      </c>
      <c r="C363" s="129"/>
      <c r="D363" s="129"/>
      <c r="E363" s="340"/>
      <c r="F363" s="192"/>
      <c r="G363" s="232"/>
      <c r="H363" s="232"/>
      <c r="I363" s="232"/>
      <c r="J363" s="232"/>
      <c r="K363" s="232"/>
      <c r="L363" s="192"/>
      <c r="M363" s="192"/>
      <c r="N363" s="304"/>
    </row>
    <row r="364" spans="2:14" x14ac:dyDescent="0.2">
      <c r="B364" s="189" t="s">
        <v>506</v>
      </c>
      <c r="C364" s="192"/>
      <c r="D364" s="192"/>
      <c r="E364" s="271"/>
      <c r="F364" s="192"/>
      <c r="G364" s="232"/>
      <c r="H364" s="232"/>
      <c r="I364" s="232"/>
      <c r="J364" s="232"/>
      <c r="K364" s="232"/>
      <c r="L364" s="192"/>
      <c r="M364" s="192"/>
      <c r="N364" s="304"/>
    </row>
    <row r="365" spans="2:14" x14ac:dyDescent="0.2">
      <c r="B365" s="192" t="s">
        <v>194</v>
      </c>
      <c r="C365" s="129"/>
      <c r="D365" s="129"/>
      <c r="E365" s="340"/>
      <c r="F365" s="192"/>
      <c r="G365" s="232"/>
      <c r="H365" s="232"/>
      <c r="I365" s="232"/>
      <c r="J365" s="232"/>
      <c r="K365" s="232"/>
      <c r="L365" s="192"/>
      <c r="M365" s="192"/>
      <c r="N365" s="304"/>
    </row>
    <row r="366" spans="2:14" x14ac:dyDescent="0.2">
      <c r="B366" s="192" t="s">
        <v>195</v>
      </c>
      <c r="C366" s="129"/>
      <c r="D366" s="129"/>
      <c r="E366" s="340"/>
      <c r="F366" s="192"/>
      <c r="G366" s="232"/>
      <c r="H366" s="232"/>
      <c r="I366" s="232"/>
      <c r="J366" s="232"/>
      <c r="K366" s="232"/>
      <c r="L366" s="192"/>
      <c r="M366" s="192"/>
      <c r="N366" s="304"/>
    </row>
    <row r="367" spans="2:14" x14ac:dyDescent="0.2">
      <c r="B367" s="192" t="s">
        <v>196</v>
      </c>
      <c r="C367" s="129"/>
      <c r="D367" s="129"/>
      <c r="E367" s="340"/>
      <c r="F367" s="192"/>
      <c r="G367" s="232"/>
      <c r="H367" s="232"/>
      <c r="I367" s="232"/>
      <c r="J367" s="232"/>
      <c r="K367" s="232"/>
      <c r="L367" s="192"/>
      <c r="M367" s="192"/>
      <c r="N367" s="304"/>
    </row>
    <row r="368" spans="2:14" x14ac:dyDescent="0.2">
      <c r="B368" s="192" t="s">
        <v>197</v>
      </c>
      <c r="C368" s="129"/>
      <c r="D368" s="129"/>
      <c r="E368" s="340"/>
      <c r="F368" s="192"/>
      <c r="G368" s="232"/>
      <c r="H368" s="232"/>
      <c r="I368" s="232"/>
      <c r="J368" s="232"/>
      <c r="K368" s="232"/>
      <c r="L368" s="192"/>
      <c r="M368" s="192"/>
      <c r="N368" s="304"/>
    </row>
    <row r="369" spans="2:14" x14ac:dyDescent="0.2">
      <c r="B369" s="192" t="s">
        <v>198</v>
      </c>
      <c r="C369" s="129"/>
      <c r="D369" s="129"/>
      <c r="E369" s="340"/>
      <c r="F369" s="192"/>
      <c r="G369" s="232"/>
      <c r="H369" s="232"/>
      <c r="I369" s="232"/>
      <c r="J369" s="232"/>
      <c r="K369" s="232"/>
      <c r="L369" s="192"/>
      <c r="M369" s="192"/>
      <c r="N369" s="304"/>
    </row>
    <row r="370" spans="2:14" x14ac:dyDescent="0.2">
      <c r="B370" s="189" t="s">
        <v>507</v>
      </c>
      <c r="C370" s="129"/>
      <c r="D370" s="129"/>
      <c r="E370" s="340"/>
      <c r="F370" s="192"/>
      <c r="G370" s="232"/>
      <c r="H370" s="232"/>
      <c r="I370" s="232"/>
      <c r="J370" s="232"/>
      <c r="K370" s="232"/>
      <c r="L370" s="192"/>
      <c r="M370" s="192"/>
      <c r="N370" s="304"/>
    </row>
    <row r="371" spans="2:14" x14ac:dyDescent="0.2">
      <c r="B371" s="192" t="s">
        <v>202</v>
      </c>
      <c r="C371" s="129"/>
      <c r="D371" s="129"/>
      <c r="E371" s="340"/>
      <c r="F371" s="192"/>
      <c r="G371" s="232"/>
      <c r="H371" s="232"/>
      <c r="I371" s="232"/>
      <c r="J371" s="232"/>
      <c r="K371" s="232"/>
      <c r="L371" s="192"/>
      <c r="M371" s="192"/>
      <c r="N371" s="304"/>
    </row>
    <row r="372" spans="2:14" x14ac:dyDescent="0.2">
      <c r="B372" s="192" t="s">
        <v>203</v>
      </c>
      <c r="C372" s="129"/>
      <c r="D372" s="129"/>
      <c r="E372" s="340"/>
      <c r="F372" s="192"/>
      <c r="G372" s="232"/>
      <c r="H372" s="232"/>
      <c r="I372" s="232"/>
      <c r="J372" s="232"/>
      <c r="K372" s="232"/>
      <c r="L372" s="192"/>
      <c r="M372" s="192"/>
      <c r="N372" s="304"/>
    </row>
    <row r="373" spans="2:14" x14ac:dyDescent="0.2">
      <c r="B373" s="192" t="s">
        <v>204</v>
      </c>
      <c r="C373" s="129"/>
      <c r="D373" s="129"/>
      <c r="E373" s="340"/>
      <c r="F373" s="192"/>
      <c r="G373" s="232"/>
      <c r="H373" s="232"/>
      <c r="I373" s="232"/>
      <c r="J373" s="232"/>
      <c r="K373" s="232"/>
      <c r="L373" s="192"/>
      <c r="M373" s="192"/>
      <c r="N373" s="304"/>
    </row>
    <row r="374" spans="2:14" x14ac:dyDescent="0.2">
      <c r="B374" s="192" t="s">
        <v>205</v>
      </c>
      <c r="C374" s="129"/>
      <c r="D374" s="129"/>
      <c r="E374" s="340"/>
      <c r="N374" s="305"/>
    </row>
    <row r="375" spans="2:14" x14ac:dyDescent="0.2">
      <c r="B375" s="192" t="s">
        <v>206</v>
      </c>
      <c r="C375" s="193"/>
      <c r="D375" s="129"/>
      <c r="E375" s="340"/>
    </row>
    <row r="376" spans="2:14" ht="37.5" customHeight="1" x14ac:dyDescent="0.2">
      <c r="B376" s="194" t="s">
        <v>207</v>
      </c>
      <c r="C376" s="129"/>
      <c r="D376" s="129"/>
      <c r="E376" s="340"/>
    </row>
    <row r="377" spans="2:14" x14ac:dyDescent="0.2">
      <c r="B377" s="194" t="s">
        <v>208</v>
      </c>
      <c r="C377" s="341"/>
      <c r="D377" s="129"/>
      <c r="E377" s="340"/>
    </row>
    <row r="378" spans="2:14" x14ac:dyDescent="0.2">
      <c r="B378" s="194" t="s">
        <v>221</v>
      </c>
      <c r="C378" s="341"/>
      <c r="D378" s="129"/>
      <c r="E378" s="340"/>
    </row>
    <row r="379" spans="2:14" x14ac:dyDescent="0.2">
      <c r="B379" s="194" t="s">
        <v>222</v>
      </c>
      <c r="C379" s="341"/>
      <c r="D379" s="129"/>
      <c r="E379" s="340"/>
    </row>
    <row r="380" spans="2:14" x14ac:dyDescent="0.2">
      <c r="B380" s="189" t="s">
        <v>215</v>
      </c>
      <c r="C380" s="341"/>
      <c r="E380" s="340"/>
    </row>
    <row r="381" spans="2:14" x14ac:dyDescent="0.2">
      <c r="B381" s="192" t="s">
        <v>214</v>
      </c>
      <c r="C381" s="27"/>
    </row>
    <row r="382" spans="2:14" x14ac:dyDescent="0.2">
      <c r="B382" s="189" t="s">
        <v>224</v>
      </c>
      <c r="C382" s="27"/>
    </row>
    <row r="383" spans="2:14" x14ac:dyDescent="0.2">
      <c r="B383" s="189" t="s">
        <v>225</v>
      </c>
      <c r="C383" s="27"/>
    </row>
    <row r="384" spans="2:14" x14ac:dyDescent="0.2">
      <c r="B384" s="191" t="s">
        <v>487</v>
      </c>
      <c r="C384" s="192"/>
    </row>
    <row r="385" spans="2:3" x14ac:dyDescent="0.2">
      <c r="B385" s="192" t="s">
        <v>485</v>
      </c>
      <c r="C385" s="192"/>
    </row>
    <row r="386" spans="2:3" x14ac:dyDescent="0.2">
      <c r="B386" s="191" t="s">
        <v>488</v>
      </c>
      <c r="C386" s="192"/>
    </row>
    <row r="387" spans="2:3" x14ac:dyDescent="0.2">
      <c r="B387" s="189" t="s">
        <v>489</v>
      </c>
      <c r="C387" s="192"/>
    </row>
    <row r="388" spans="2:3" x14ac:dyDescent="0.2">
      <c r="B388" s="192" t="s">
        <v>226</v>
      </c>
      <c r="C388" s="192"/>
    </row>
    <row r="389" spans="2:3" x14ac:dyDescent="0.2">
      <c r="B389" s="192" t="s">
        <v>227</v>
      </c>
      <c r="C389" s="192"/>
    </row>
    <row r="390" spans="2:3" x14ac:dyDescent="0.2">
      <c r="B390" s="192" t="s">
        <v>228</v>
      </c>
      <c r="C390" s="192"/>
    </row>
    <row r="391" spans="2:3" x14ac:dyDescent="0.2">
      <c r="B391" s="195"/>
      <c r="C391" s="192"/>
    </row>
    <row r="392" spans="2:3" x14ac:dyDescent="0.2">
      <c r="B392" s="189" t="s">
        <v>490</v>
      </c>
      <c r="C392" s="192"/>
    </row>
    <row r="393" spans="2:3" x14ac:dyDescent="0.2">
      <c r="B393" s="192" t="s">
        <v>239</v>
      </c>
      <c r="C393" s="27"/>
    </row>
    <row r="394" spans="2:3" x14ac:dyDescent="0.2">
      <c r="B394" s="192" t="s">
        <v>240</v>
      </c>
      <c r="C394" s="27"/>
    </row>
    <row r="395" spans="2:3" x14ac:dyDescent="0.2">
      <c r="B395" s="192" t="s">
        <v>241</v>
      </c>
      <c r="C395" s="27"/>
    </row>
    <row r="396" spans="2:3" x14ac:dyDescent="0.2">
      <c r="B396" s="192" t="s">
        <v>242</v>
      </c>
      <c r="C396" s="27"/>
    </row>
    <row r="397" spans="2:3" x14ac:dyDescent="0.2">
      <c r="B397" s="192" t="s">
        <v>243</v>
      </c>
      <c r="C397" s="27"/>
    </row>
    <row r="398" spans="2:3" x14ac:dyDescent="0.2">
      <c r="B398" s="192" t="s">
        <v>244</v>
      </c>
      <c r="C398" s="27"/>
    </row>
    <row r="399" spans="2:3" x14ac:dyDescent="0.2">
      <c r="B399" s="192" t="s">
        <v>245</v>
      </c>
      <c r="C399" s="27"/>
    </row>
    <row r="400" spans="2:3" x14ac:dyDescent="0.2">
      <c r="B400" s="192" t="s">
        <v>246</v>
      </c>
      <c r="C400" s="27"/>
    </row>
    <row r="401" spans="2:3" x14ac:dyDescent="0.2">
      <c r="B401" s="192" t="s">
        <v>247</v>
      </c>
      <c r="C401" s="27"/>
    </row>
    <row r="402" spans="2:3" x14ac:dyDescent="0.2">
      <c r="B402" s="192" t="s">
        <v>248</v>
      </c>
      <c r="C402" s="27"/>
    </row>
    <row r="403" spans="2:3" x14ac:dyDescent="0.2">
      <c r="B403" s="192" t="s">
        <v>249</v>
      </c>
      <c r="C403" s="27"/>
    </row>
    <row r="404" spans="2:3" x14ac:dyDescent="0.2">
      <c r="B404" s="192" t="s">
        <v>250</v>
      </c>
      <c r="C404" s="27"/>
    </row>
    <row r="405" spans="2:3" x14ac:dyDescent="0.2">
      <c r="B405" s="192" t="s">
        <v>251</v>
      </c>
      <c r="C405" s="27"/>
    </row>
    <row r="406" spans="2:3" x14ac:dyDescent="0.2">
      <c r="B406" s="192" t="s">
        <v>252</v>
      </c>
      <c r="C406" s="27"/>
    </row>
    <row r="407" spans="2:3" x14ac:dyDescent="0.2">
      <c r="B407" s="192" t="s">
        <v>253</v>
      </c>
      <c r="C407" s="27"/>
    </row>
    <row r="408" spans="2:3" x14ac:dyDescent="0.2">
      <c r="B408" s="192" t="s">
        <v>254</v>
      </c>
      <c r="C408" s="27"/>
    </row>
    <row r="409" spans="2:3" x14ac:dyDescent="0.2">
      <c r="B409" s="192" t="s">
        <v>255</v>
      </c>
    </row>
    <row r="410" spans="2:3" x14ac:dyDescent="0.2">
      <c r="B410" s="192" t="s">
        <v>256</v>
      </c>
    </row>
    <row r="411" spans="2:3" x14ac:dyDescent="0.2">
      <c r="B411" s="192" t="s">
        <v>257</v>
      </c>
    </row>
    <row r="412" spans="2:3" x14ac:dyDescent="0.2">
      <c r="B412" s="192" t="s">
        <v>258</v>
      </c>
    </row>
    <row r="413" spans="2:3" x14ac:dyDescent="0.2">
      <c r="B413" s="192" t="s">
        <v>259</v>
      </c>
    </row>
    <row r="414" spans="2:3" x14ac:dyDescent="0.2">
      <c r="B414" s="192" t="s">
        <v>260</v>
      </c>
    </row>
    <row r="415" spans="2:3" x14ac:dyDescent="0.2">
      <c r="B415" s="192" t="s">
        <v>261</v>
      </c>
    </row>
    <row r="416" spans="2:3" x14ac:dyDescent="0.2">
      <c r="B416" s="192" t="s">
        <v>262</v>
      </c>
    </row>
    <row r="417" spans="2:2" x14ac:dyDescent="0.2">
      <c r="B417" s="192" t="s">
        <v>263</v>
      </c>
    </row>
    <row r="418" spans="2:2" x14ac:dyDescent="0.2">
      <c r="B418" s="192" t="s">
        <v>264</v>
      </c>
    </row>
    <row r="419" spans="2:2" x14ac:dyDescent="0.2">
      <c r="B419" s="192" t="s">
        <v>265</v>
      </c>
    </row>
    <row r="420" spans="2:2" x14ac:dyDescent="0.2">
      <c r="B420" s="192" t="s">
        <v>266</v>
      </c>
    </row>
    <row r="421" spans="2:2" x14ac:dyDescent="0.2">
      <c r="B421" s="192" t="s">
        <v>267</v>
      </c>
    </row>
    <row r="422" spans="2:2" x14ac:dyDescent="0.2">
      <c r="B422" s="192" t="s">
        <v>268</v>
      </c>
    </row>
    <row r="423" spans="2:2" x14ac:dyDescent="0.2">
      <c r="B423" s="192" t="s">
        <v>269</v>
      </c>
    </row>
    <row r="424" spans="2:2" x14ac:dyDescent="0.2">
      <c r="B424" s="192" t="s">
        <v>270</v>
      </c>
    </row>
    <row r="425" spans="2:2" x14ac:dyDescent="0.2">
      <c r="B425" s="91"/>
    </row>
    <row r="426" spans="2:2" x14ac:dyDescent="0.2">
      <c r="B426" s="91" t="s">
        <v>272</v>
      </c>
    </row>
    <row r="427" spans="2:2" x14ac:dyDescent="0.2">
      <c r="B427" s="91" t="s">
        <v>288</v>
      </c>
    </row>
    <row r="428" spans="2:2" x14ac:dyDescent="0.2">
      <c r="B428" s="189" t="s">
        <v>299</v>
      </c>
    </row>
    <row r="429" spans="2:2" x14ac:dyDescent="0.2">
      <c r="B429" s="190" t="s">
        <v>300</v>
      </c>
    </row>
    <row r="430" spans="2:2" x14ac:dyDescent="0.2">
      <c r="B430" s="189" t="s">
        <v>307</v>
      </c>
    </row>
    <row r="431" spans="2:2" x14ac:dyDescent="0.2">
      <c r="B431" s="190" t="s">
        <v>308</v>
      </c>
    </row>
    <row r="432" spans="2:2" x14ac:dyDescent="0.2">
      <c r="B432" s="190" t="s">
        <v>309</v>
      </c>
    </row>
    <row r="433" spans="2:17" x14ac:dyDescent="0.2">
      <c r="B433" s="190" t="s">
        <v>310</v>
      </c>
    </row>
    <row r="434" spans="2:17" x14ac:dyDescent="0.2">
      <c r="B434" s="189" t="s">
        <v>315</v>
      </c>
      <c r="C434" s="27"/>
      <c r="N434" s="305"/>
    </row>
    <row r="435" spans="2:17" x14ac:dyDescent="0.2">
      <c r="B435" s="190" t="s">
        <v>314</v>
      </c>
      <c r="C435" s="27"/>
      <c r="N435" s="305"/>
    </row>
    <row r="436" spans="2:17" x14ac:dyDescent="0.2">
      <c r="B436" s="190" t="s">
        <v>319</v>
      </c>
      <c r="C436" s="27"/>
      <c r="N436" s="305"/>
    </row>
    <row r="437" spans="2:17" x14ac:dyDescent="0.2">
      <c r="B437" s="195" t="s">
        <v>461</v>
      </c>
      <c r="C437" s="27"/>
      <c r="N437" s="305"/>
    </row>
    <row r="438" spans="2:17" x14ac:dyDescent="0.2">
      <c r="B438" s="195" t="s">
        <v>462</v>
      </c>
      <c r="C438" s="27"/>
      <c r="N438" s="305"/>
    </row>
    <row r="439" spans="2:17" x14ac:dyDescent="0.2">
      <c r="B439" s="195" t="s">
        <v>463</v>
      </c>
      <c r="C439" s="27"/>
      <c r="N439" s="305"/>
    </row>
    <row r="440" spans="2:17" x14ac:dyDescent="0.2">
      <c r="B440" s="195" t="s">
        <v>464</v>
      </c>
      <c r="C440" s="27"/>
      <c r="N440" s="305"/>
    </row>
    <row r="441" spans="2:17" x14ac:dyDescent="0.2">
      <c r="B441" s="195" t="s">
        <v>341</v>
      </c>
      <c r="C441" s="27"/>
      <c r="N441" s="305"/>
    </row>
    <row r="442" spans="2:17" x14ac:dyDescent="0.2">
      <c r="B442" s="195" t="s">
        <v>465</v>
      </c>
      <c r="C442" s="27"/>
      <c r="N442" s="305"/>
    </row>
    <row r="443" spans="2:17" x14ac:dyDescent="0.2">
      <c r="B443" s="195" t="s">
        <v>347</v>
      </c>
      <c r="C443" s="27"/>
      <c r="N443" s="305"/>
    </row>
    <row r="444" spans="2:17" x14ac:dyDescent="0.2">
      <c r="B444" s="318" t="s">
        <v>466</v>
      </c>
      <c r="C444" s="319"/>
      <c r="D444" s="319"/>
      <c r="E444" s="319"/>
      <c r="F444" s="319"/>
      <c r="G444" s="319"/>
      <c r="H444" s="319"/>
      <c r="I444" s="319"/>
      <c r="J444" s="319"/>
      <c r="K444" s="319"/>
      <c r="L444" s="319"/>
      <c r="M444" s="319"/>
      <c r="N444" s="319"/>
      <c r="O444" s="319"/>
      <c r="P444" s="321"/>
      <c r="Q444" s="321"/>
    </row>
    <row r="445" spans="2:17" x14ac:dyDescent="0.2">
      <c r="B445" s="325" t="s">
        <v>467</v>
      </c>
      <c r="C445" s="325"/>
      <c r="D445" s="325"/>
      <c r="E445" s="325"/>
      <c r="F445" s="325"/>
      <c r="G445" s="325"/>
      <c r="H445" s="325"/>
      <c r="I445" s="325"/>
      <c r="J445" s="325"/>
      <c r="K445" s="325"/>
      <c r="L445" s="325"/>
      <c r="M445" s="325"/>
      <c r="N445" s="325"/>
      <c r="O445" s="195"/>
      <c r="P445" s="195"/>
      <c r="Q445" s="195"/>
    </row>
    <row r="446" spans="2:17" x14ac:dyDescent="0.2">
      <c r="B446" s="196" t="s">
        <v>486</v>
      </c>
      <c r="C446" s="192"/>
      <c r="D446" s="192"/>
      <c r="E446" s="271"/>
      <c r="F446" s="192"/>
      <c r="G446" s="232"/>
      <c r="H446" s="232"/>
      <c r="I446" s="232"/>
      <c r="J446" s="232"/>
      <c r="K446" s="232"/>
      <c r="L446" s="197"/>
      <c r="M446" s="197"/>
      <c r="N446" s="306"/>
      <c r="O446" s="198"/>
      <c r="P446" s="192"/>
      <c r="Q446" s="192"/>
    </row>
    <row r="447" spans="2:17" x14ac:dyDescent="0.2">
      <c r="B447" s="196" t="s">
        <v>468</v>
      </c>
      <c r="C447" s="192"/>
      <c r="D447" s="192"/>
      <c r="E447" s="271"/>
      <c r="F447" s="192"/>
      <c r="G447" s="232"/>
      <c r="H447" s="232"/>
      <c r="I447" s="232"/>
      <c r="J447" s="232"/>
      <c r="K447" s="232"/>
      <c r="L447" s="192"/>
      <c r="M447" s="192"/>
      <c r="N447" s="306"/>
      <c r="O447" s="192"/>
      <c r="P447" s="192"/>
      <c r="Q447" s="192"/>
    </row>
    <row r="448" spans="2:17" x14ac:dyDescent="0.2">
      <c r="B448" s="318" t="s">
        <v>387</v>
      </c>
      <c r="C448" s="319"/>
      <c r="D448" s="319"/>
      <c r="E448" s="319"/>
      <c r="F448" s="319"/>
      <c r="G448" s="319"/>
      <c r="H448" s="319"/>
      <c r="I448" s="319"/>
      <c r="J448" s="319"/>
      <c r="K448" s="319"/>
      <c r="L448" s="319"/>
      <c r="M448" s="319"/>
      <c r="N448" s="319"/>
      <c r="O448" s="319"/>
      <c r="P448" s="321"/>
      <c r="Q448" s="321"/>
    </row>
    <row r="449" spans="2:18" x14ac:dyDescent="0.2">
      <c r="B449" s="318" t="s">
        <v>469</v>
      </c>
      <c r="C449" s="319"/>
      <c r="D449" s="319"/>
      <c r="E449" s="319"/>
      <c r="F449" s="319"/>
      <c r="G449" s="319"/>
      <c r="H449" s="319"/>
      <c r="I449" s="319"/>
      <c r="J449" s="319"/>
      <c r="K449" s="319"/>
      <c r="L449" s="319"/>
      <c r="M449" s="319"/>
      <c r="N449" s="319"/>
      <c r="O449" s="319"/>
      <c r="P449" s="321"/>
      <c r="Q449" s="321"/>
    </row>
    <row r="450" spans="2:18" x14ac:dyDescent="0.2">
      <c r="B450" s="318" t="s">
        <v>470</v>
      </c>
      <c r="C450" s="319"/>
      <c r="D450" s="319"/>
      <c r="E450" s="319"/>
      <c r="F450" s="319"/>
      <c r="G450" s="319"/>
      <c r="H450" s="319"/>
      <c r="I450" s="319"/>
      <c r="J450" s="319"/>
      <c r="K450" s="319"/>
      <c r="L450" s="319"/>
      <c r="M450" s="319"/>
      <c r="N450" s="319"/>
      <c r="O450" s="319"/>
      <c r="P450" s="321"/>
      <c r="Q450" s="321"/>
    </row>
    <row r="451" spans="2:18" x14ac:dyDescent="0.2">
      <c r="B451" s="318" t="s">
        <v>471</v>
      </c>
      <c r="C451" s="319"/>
      <c r="D451" s="319"/>
      <c r="E451" s="319"/>
      <c r="F451" s="319"/>
      <c r="G451" s="319"/>
      <c r="H451" s="319"/>
      <c r="I451" s="319"/>
      <c r="J451" s="319"/>
      <c r="K451" s="319"/>
      <c r="L451" s="319"/>
      <c r="M451" s="319"/>
      <c r="N451" s="319"/>
      <c r="O451" s="319"/>
      <c r="P451" s="321"/>
      <c r="Q451" s="321"/>
    </row>
    <row r="452" spans="2:18" x14ac:dyDescent="0.2">
      <c r="B452" s="322" t="s">
        <v>454</v>
      </c>
      <c r="C452" s="323"/>
      <c r="D452" s="323"/>
      <c r="E452" s="323"/>
      <c r="F452" s="323"/>
      <c r="G452" s="323"/>
      <c r="H452" s="323"/>
      <c r="I452" s="323"/>
      <c r="J452" s="323"/>
      <c r="K452" s="323"/>
      <c r="L452" s="323"/>
      <c r="M452" s="323"/>
      <c r="N452" s="323"/>
    </row>
    <row r="453" spans="2:18" x14ac:dyDescent="0.2">
      <c r="B453" s="189" t="s">
        <v>407</v>
      </c>
    </row>
    <row r="454" spans="2:18" x14ac:dyDescent="0.2">
      <c r="B454" s="199" t="s">
        <v>409</v>
      </c>
    </row>
    <row r="455" spans="2:18" x14ac:dyDescent="0.2">
      <c r="B455" s="199" t="s">
        <v>410</v>
      </c>
    </row>
    <row r="456" spans="2:18" x14ac:dyDescent="0.2">
      <c r="B456" s="199" t="s">
        <v>455</v>
      </c>
    </row>
    <row r="457" spans="2:18" x14ac:dyDescent="0.2">
      <c r="B457" s="199" t="s">
        <v>459</v>
      </c>
    </row>
    <row r="458" spans="2:18" x14ac:dyDescent="0.2">
      <c r="B458" s="192" t="s">
        <v>458</v>
      </c>
    </row>
    <row r="459" spans="2:18" x14ac:dyDescent="0.2">
      <c r="B459" s="318" t="s">
        <v>472</v>
      </c>
      <c r="C459" s="319"/>
      <c r="D459" s="319"/>
      <c r="E459" s="319"/>
      <c r="F459" s="319"/>
      <c r="G459" s="319"/>
      <c r="H459" s="319"/>
      <c r="I459" s="319"/>
      <c r="J459" s="319"/>
      <c r="K459" s="319"/>
      <c r="L459" s="319"/>
      <c r="M459" s="319"/>
      <c r="N459" s="319"/>
      <c r="O459" s="319"/>
      <c r="P459" s="319"/>
      <c r="Q459" s="319"/>
      <c r="R459" s="319"/>
    </row>
    <row r="460" spans="2:18" x14ac:dyDescent="0.2">
      <c r="B460" s="318" t="s">
        <v>482</v>
      </c>
      <c r="C460" s="319"/>
      <c r="D460" s="319"/>
      <c r="E460" s="319"/>
      <c r="F460" s="319"/>
      <c r="G460" s="319"/>
      <c r="H460" s="319"/>
      <c r="I460" s="319"/>
      <c r="J460" s="319"/>
      <c r="K460" s="319"/>
      <c r="L460" s="319"/>
      <c r="M460" s="319"/>
      <c r="N460" s="319"/>
      <c r="O460" s="319"/>
      <c r="P460" s="319"/>
      <c r="Q460" s="319"/>
      <c r="R460" s="319"/>
    </row>
    <row r="461" spans="2:18" x14ac:dyDescent="0.2">
      <c r="B461" s="320" t="s">
        <v>483</v>
      </c>
      <c r="C461" s="321"/>
      <c r="D461" s="321"/>
      <c r="E461" s="321"/>
      <c r="F461" s="321"/>
      <c r="G461" s="321"/>
      <c r="H461" s="321"/>
      <c r="I461" s="321"/>
      <c r="J461" s="321"/>
      <c r="K461" s="321"/>
      <c r="L461" s="321"/>
      <c r="M461" s="321"/>
      <c r="N461" s="321"/>
    </row>
    <row r="462" spans="2:18" x14ac:dyDescent="0.2">
      <c r="B462" s="318" t="s">
        <v>484</v>
      </c>
      <c r="C462" s="319"/>
      <c r="D462" s="319"/>
      <c r="E462" s="319"/>
      <c r="F462" s="319"/>
      <c r="G462" s="319"/>
      <c r="H462" s="319"/>
      <c r="I462" s="319"/>
      <c r="J462" s="319"/>
      <c r="K462" s="319"/>
      <c r="L462" s="319"/>
      <c r="M462" s="319"/>
      <c r="N462" s="319"/>
      <c r="O462" s="319"/>
      <c r="P462" s="319"/>
      <c r="Q462" s="319"/>
      <c r="R462" s="319"/>
    </row>
    <row r="463" spans="2:18" ht="12.75" customHeight="1" x14ac:dyDescent="0.2">
      <c r="B463" s="318" t="s">
        <v>531</v>
      </c>
      <c r="C463" s="319"/>
      <c r="D463" s="319"/>
      <c r="E463" s="319"/>
      <c r="F463" s="319"/>
      <c r="G463" s="319"/>
      <c r="H463" s="319"/>
      <c r="I463" s="319"/>
      <c r="J463" s="319"/>
      <c r="K463" s="319"/>
      <c r="L463" s="319"/>
      <c r="M463" s="319"/>
      <c r="N463" s="319"/>
      <c r="O463" s="319"/>
      <c r="P463" s="319"/>
      <c r="Q463" s="319"/>
    </row>
    <row r="464" spans="2:18" ht="12.75" customHeight="1" x14ac:dyDescent="0.2">
      <c r="B464" s="318" t="s">
        <v>533</v>
      </c>
      <c r="C464" s="319"/>
      <c r="D464" s="319"/>
      <c r="E464" s="319"/>
      <c r="F464" s="319"/>
      <c r="G464" s="319"/>
      <c r="H464" s="319"/>
      <c r="I464" s="319"/>
      <c r="J464" s="319"/>
      <c r="K464" s="319"/>
      <c r="L464" s="319"/>
      <c r="M464" s="319"/>
      <c r="N464" s="319"/>
      <c r="O464" s="319"/>
      <c r="P464" s="319"/>
      <c r="Q464" s="319"/>
    </row>
    <row r="465" spans="2:18" ht="12.75" customHeight="1" x14ac:dyDescent="0.2">
      <c r="B465" s="318" t="s">
        <v>534</v>
      </c>
      <c r="C465" s="319"/>
      <c r="D465" s="319"/>
      <c r="E465" s="319"/>
      <c r="F465" s="319"/>
      <c r="G465" s="319"/>
      <c r="H465" s="319"/>
      <c r="I465" s="319"/>
      <c r="J465" s="319"/>
      <c r="K465" s="319"/>
      <c r="L465" s="319"/>
      <c r="M465" s="319"/>
      <c r="N465" s="319"/>
      <c r="O465" s="319"/>
      <c r="P465" s="319"/>
      <c r="Q465" s="319"/>
    </row>
    <row r="466" spans="2:18" x14ac:dyDescent="0.2">
      <c r="B466" s="318" t="s">
        <v>535</v>
      </c>
      <c r="C466" s="319"/>
      <c r="D466" s="319"/>
      <c r="E466" s="319"/>
      <c r="F466" s="319"/>
      <c r="G466" s="319"/>
      <c r="H466" s="319"/>
      <c r="I466" s="319"/>
      <c r="J466" s="319"/>
      <c r="K466" s="319"/>
      <c r="L466" s="319"/>
      <c r="M466" s="319"/>
      <c r="N466" s="319"/>
      <c r="O466" s="319"/>
      <c r="P466" s="319"/>
      <c r="Q466" s="319"/>
    </row>
    <row r="467" spans="2:18" ht="12.75" customHeight="1" x14ac:dyDescent="0.2">
      <c r="B467" s="322" t="s">
        <v>540</v>
      </c>
      <c r="C467" s="323"/>
      <c r="D467" s="323"/>
      <c r="E467" s="323"/>
      <c r="F467" s="323"/>
      <c r="G467" s="323"/>
      <c r="H467" s="323"/>
      <c r="I467" s="323"/>
      <c r="J467" s="323"/>
      <c r="K467" s="323"/>
      <c r="L467" s="323"/>
      <c r="M467" s="323"/>
      <c r="N467" s="323"/>
      <c r="O467" s="323"/>
      <c r="P467" s="323"/>
      <c r="Q467" s="323"/>
    </row>
    <row r="468" spans="2:18" ht="12.75" customHeight="1" x14ac:dyDescent="0.2">
      <c r="B468" s="309" t="s">
        <v>568</v>
      </c>
      <c r="C468" s="310"/>
      <c r="D468" s="310"/>
      <c r="E468" s="310"/>
      <c r="F468" s="310"/>
      <c r="G468" s="310"/>
      <c r="H468" s="310"/>
      <c r="I468" s="310"/>
      <c r="J468" s="310"/>
      <c r="K468" s="310"/>
      <c r="L468" s="310"/>
      <c r="M468" s="310"/>
      <c r="N468" s="310"/>
      <c r="O468" s="310"/>
      <c r="P468" s="310"/>
      <c r="Q468" s="310"/>
      <c r="R468" s="213"/>
    </row>
    <row r="469" spans="2:18" ht="12.75" customHeight="1" x14ac:dyDescent="0.2">
      <c r="B469" s="214" t="s">
        <v>569</v>
      </c>
      <c r="C469" s="214"/>
      <c r="D469" s="214"/>
      <c r="E469" s="272"/>
      <c r="F469" s="214"/>
      <c r="G469" s="233"/>
      <c r="H469" s="233"/>
      <c r="I469" s="233"/>
      <c r="J469" s="233"/>
      <c r="K469" s="233"/>
      <c r="L469" s="214"/>
      <c r="M469" s="214"/>
      <c r="N469" s="307"/>
      <c r="O469" s="214"/>
      <c r="P469" s="214"/>
      <c r="Q469" s="214"/>
      <c r="R469" s="214"/>
    </row>
    <row r="470" spans="2:18" ht="12.75" customHeight="1" x14ac:dyDescent="0.2">
      <c r="B470" s="315" t="s">
        <v>570</v>
      </c>
      <c r="C470" s="316"/>
      <c r="D470" s="316"/>
      <c r="E470" s="316"/>
      <c r="F470" s="316"/>
      <c r="G470" s="316"/>
      <c r="H470" s="316"/>
      <c r="I470" s="316"/>
      <c r="J470" s="316"/>
      <c r="K470" s="316"/>
      <c r="L470" s="316"/>
      <c r="M470" s="316"/>
      <c r="N470" s="316"/>
      <c r="O470" s="317"/>
      <c r="P470" s="317"/>
      <c r="Q470" s="214"/>
      <c r="R470" s="214"/>
    </row>
    <row r="471" spans="2:18" ht="12.75" customHeight="1" x14ac:dyDescent="0.2"/>
    <row r="472" spans="2:18" ht="12.75" customHeight="1" x14ac:dyDescent="0.2"/>
    <row r="473" spans="2:18" x14ac:dyDescent="0.2">
      <c r="B473" s="309" t="s">
        <v>598</v>
      </c>
      <c r="C473" s="310"/>
      <c r="D473" s="310"/>
      <c r="E473" s="310"/>
      <c r="F473" s="310"/>
      <c r="G473" s="310"/>
      <c r="H473" s="310"/>
      <c r="I473" s="310"/>
      <c r="J473" s="310"/>
      <c r="K473" s="310"/>
      <c r="L473" s="310"/>
      <c r="M473" s="310"/>
      <c r="N473" s="310"/>
    </row>
    <row r="474" spans="2:18" x14ac:dyDescent="0.2">
      <c r="B474" s="309" t="s">
        <v>599</v>
      </c>
      <c r="C474" s="310"/>
      <c r="D474" s="310"/>
      <c r="E474" s="310"/>
      <c r="F474" s="310"/>
      <c r="G474" s="310"/>
      <c r="H474" s="310"/>
      <c r="I474" s="310"/>
      <c r="J474" s="310"/>
      <c r="K474" s="310"/>
      <c r="L474" s="310"/>
      <c r="M474" s="310"/>
      <c r="N474" s="310"/>
    </row>
    <row r="475" spans="2:18" x14ac:dyDescent="0.2">
      <c r="B475" s="309" t="s">
        <v>600</v>
      </c>
      <c r="C475" s="310"/>
      <c r="D475" s="310"/>
      <c r="E475" s="310"/>
      <c r="F475" s="310"/>
      <c r="G475" s="310"/>
      <c r="H475" s="310"/>
      <c r="I475" s="310"/>
      <c r="J475" s="310"/>
      <c r="K475" s="310"/>
      <c r="L475" s="310"/>
      <c r="M475" s="310"/>
      <c r="N475" s="307"/>
    </row>
    <row r="476" spans="2:18" x14ac:dyDescent="0.2">
      <c r="B476" s="309" t="s">
        <v>601</v>
      </c>
      <c r="C476" s="310"/>
      <c r="D476" s="310"/>
      <c r="E476" s="310"/>
      <c r="F476" s="310"/>
      <c r="G476" s="310"/>
      <c r="H476" s="310"/>
      <c r="I476" s="310"/>
      <c r="J476" s="310"/>
      <c r="K476" s="310"/>
      <c r="L476" s="310"/>
      <c r="M476" s="310"/>
      <c r="N476" s="307"/>
    </row>
    <row r="477" spans="2:18" x14ac:dyDescent="0.2">
      <c r="B477"/>
      <c r="C477"/>
      <c r="D477"/>
      <c r="E477" s="273"/>
      <c r="F477"/>
      <c r="G477" s="234"/>
      <c r="H477" s="234"/>
      <c r="I477" s="234"/>
      <c r="J477" s="234"/>
      <c r="K477" s="234"/>
      <c r="L477"/>
      <c r="M477"/>
      <c r="N477" s="307"/>
    </row>
    <row r="478" spans="2:18" ht="12.75" customHeight="1" x14ac:dyDescent="0.2">
      <c r="B478" s="219" t="s">
        <v>580</v>
      </c>
      <c r="C478" s="220" t="s">
        <v>581</v>
      </c>
      <c r="D478" s="220" t="s">
        <v>582</v>
      </c>
      <c r="E478" s="274"/>
      <c r="F478" s="221"/>
      <c r="G478" s="234"/>
      <c r="H478" s="234"/>
      <c r="I478" s="234"/>
      <c r="J478" s="234"/>
      <c r="K478" s="234"/>
      <c r="L478"/>
      <c r="M478"/>
      <c r="N478" s="307"/>
    </row>
    <row r="479" spans="2:18" ht="12.75" customHeight="1" x14ac:dyDescent="0.2">
      <c r="B479" s="222" t="s">
        <v>583</v>
      </c>
      <c r="C479" s="223">
        <v>1305286000</v>
      </c>
      <c r="D479" s="223">
        <f>C479*3.364</f>
        <v>4390982104</v>
      </c>
      <c r="E479" s="311" t="s">
        <v>584</v>
      </c>
      <c r="F479" s="312"/>
      <c r="G479" s="234"/>
      <c r="H479" s="234"/>
      <c r="I479" s="234"/>
      <c r="J479" s="234"/>
      <c r="K479" s="234"/>
      <c r="L479"/>
      <c r="M479"/>
      <c r="N479" s="307"/>
    </row>
    <row r="480" spans="2:18" ht="12.75" customHeight="1" x14ac:dyDescent="0.25">
      <c r="B480" s="224" t="s">
        <v>583</v>
      </c>
      <c r="C480" s="225">
        <v>1694714000</v>
      </c>
      <c r="D480" s="225">
        <f>C480*3.364</f>
        <v>5701017896</v>
      </c>
      <c r="E480" s="313" t="s">
        <v>585</v>
      </c>
      <c r="F480" s="314"/>
      <c r="G480" s="233"/>
      <c r="H480" s="233"/>
      <c r="I480" s="233"/>
      <c r="J480" s="242"/>
      <c r="K480" s="233"/>
      <c r="L480" s="214"/>
      <c r="M480" s="214"/>
      <c r="N480" s="307"/>
    </row>
    <row r="481" spans="2:14" ht="12.75" customHeight="1" x14ac:dyDescent="0.2">
      <c r="B481" s="214"/>
      <c r="C481" s="214"/>
      <c r="D481" s="214"/>
      <c r="E481" s="272"/>
      <c r="F481" s="214"/>
      <c r="G481" s="233"/>
      <c r="H481" s="233"/>
      <c r="I481" s="233"/>
      <c r="J481" s="233"/>
      <c r="K481" s="233"/>
      <c r="L481" s="214"/>
      <c r="M481" s="214"/>
      <c r="N481" s="307"/>
    </row>
    <row r="482" spans="2:14" ht="12.75" customHeight="1" x14ac:dyDescent="0.2">
      <c r="B482" s="226" t="s">
        <v>602</v>
      </c>
      <c r="C482" s="214"/>
      <c r="D482" s="214"/>
      <c r="E482" s="272"/>
      <c r="F482" s="214"/>
      <c r="G482" s="233"/>
      <c r="H482" s="233"/>
      <c r="I482" s="233"/>
      <c r="J482" s="233"/>
      <c r="K482" s="233"/>
      <c r="L482" s="214"/>
      <c r="M482" s="214"/>
      <c r="N482" s="307"/>
    </row>
    <row r="483" spans="2:14" ht="12.75" customHeight="1" x14ac:dyDescent="0.2">
      <c r="B483" s="227" t="s">
        <v>603</v>
      </c>
      <c r="C483" s="214"/>
      <c r="D483" s="214"/>
      <c r="E483" s="272"/>
      <c r="F483" s="214"/>
      <c r="G483" s="233"/>
      <c r="H483" s="233"/>
      <c r="I483" s="233"/>
      <c r="J483" s="233"/>
      <c r="K483" s="233"/>
      <c r="L483" s="214"/>
      <c r="M483" s="214"/>
      <c r="N483" s="307"/>
    </row>
    <row r="484" spans="2:14" ht="12.75" customHeight="1" x14ac:dyDescent="0.2">
      <c r="B484" s="192" t="s">
        <v>604</v>
      </c>
      <c r="C484" s="214"/>
      <c r="D484" s="214"/>
      <c r="E484" s="272"/>
      <c r="F484" s="214"/>
      <c r="G484" s="233"/>
      <c r="H484" s="233"/>
      <c r="I484" s="233"/>
      <c r="J484" s="233"/>
      <c r="K484" s="233"/>
      <c r="L484" s="214"/>
      <c r="M484" s="214"/>
      <c r="N484" s="307"/>
    </row>
    <row r="485" spans="2:14" ht="12.75" customHeight="1" x14ac:dyDescent="0.2">
      <c r="B485" s="192" t="s">
        <v>605</v>
      </c>
      <c r="C485" s="214"/>
      <c r="D485" s="214"/>
      <c r="E485" s="272"/>
      <c r="F485" s="214"/>
      <c r="G485" s="233"/>
      <c r="H485" s="233"/>
      <c r="I485" s="233"/>
      <c r="J485" s="233"/>
      <c r="K485" s="233"/>
      <c r="L485" s="214"/>
      <c r="M485" s="214"/>
      <c r="N485" s="307"/>
    </row>
    <row r="486" spans="2:14" ht="12.75" customHeight="1" x14ac:dyDescent="0.2">
      <c r="B486" s="192" t="s">
        <v>586</v>
      </c>
      <c r="C486" s="214"/>
      <c r="D486" s="214"/>
      <c r="E486" s="272"/>
      <c r="F486" s="214"/>
      <c r="G486" s="233"/>
      <c r="H486" s="233"/>
      <c r="I486" s="233"/>
      <c r="J486" s="233"/>
      <c r="K486" s="233"/>
      <c r="L486" s="214"/>
      <c r="M486" s="214"/>
      <c r="N486" s="307"/>
    </row>
    <row r="487" spans="2:14" ht="12.75" customHeight="1" x14ac:dyDescent="0.2">
      <c r="B487" s="402" t="s">
        <v>627</v>
      </c>
    </row>
    <row r="488" spans="2:14" ht="12.75" customHeight="1" x14ac:dyDescent="0.2">
      <c r="B488" s="401" t="s">
        <v>628</v>
      </c>
    </row>
    <row r="489" spans="2:14" ht="12.75" customHeight="1" x14ac:dyDescent="0.2"/>
    <row r="490" spans="2:14" ht="12.75" customHeight="1" x14ac:dyDescent="0.2"/>
    <row r="492" spans="2:14" ht="12.75" customHeight="1" x14ac:dyDescent="0.2"/>
    <row r="493" spans="2:14" ht="12.75" customHeight="1" x14ac:dyDescent="0.2"/>
    <row r="494" spans="2:14" ht="12.75" customHeight="1" x14ac:dyDescent="0.2"/>
    <row r="495" spans="2:14" ht="12.75" customHeight="1" x14ac:dyDescent="0.2"/>
    <row r="496" spans="2:14" ht="12.75" customHeight="1" x14ac:dyDescent="0.2"/>
  </sheetData>
  <mergeCells count="27">
    <mergeCell ref="B444:Q444"/>
    <mergeCell ref="B445:N445"/>
    <mergeCell ref="B448:Q448"/>
    <mergeCell ref="B449:Q449"/>
    <mergeCell ref="B450:Q450"/>
    <mergeCell ref="B451:Q451"/>
    <mergeCell ref="B452:N452"/>
    <mergeCell ref="B459:R459"/>
    <mergeCell ref="B460:R460"/>
    <mergeCell ref="B461:N461"/>
    <mergeCell ref="B462:R462"/>
    <mergeCell ref="B463:Q463"/>
    <mergeCell ref="B464:Q464"/>
    <mergeCell ref="B465:Q465"/>
    <mergeCell ref="B466:Q466"/>
    <mergeCell ref="E480:F480"/>
    <mergeCell ref="B470:P470"/>
    <mergeCell ref="B473:N473"/>
    <mergeCell ref="B474:N474"/>
    <mergeCell ref="B475:M475"/>
    <mergeCell ref="B476:M476"/>
    <mergeCell ref="E479:F479"/>
    <mergeCell ref="B467:Q467"/>
    <mergeCell ref="B468:Q468"/>
    <mergeCell ref="B5:N5"/>
    <mergeCell ref="B6:N6"/>
    <mergeCell ref="B7:N7"/>
  </mergeCells>
  <phoneticPr fontId="0" type="noConversion"/>
  <printOptions horizontalCentered="1"/>
  <pageMargins left="0.75" right="0.75" top="0.6692913385826772" bottom="1" header="0.43307086614173229" footer="0"/>
  <pageSetup paperSize="9" scale="40" fitToHeight="4" orientation="landscape" verticalDpi="300" r:id="rId1"/>
  <headerFooter alignWithMargins="0">
    <oddFooter>&amp;L&amp;"Arial,Negrita"&amp;12&amp;F</oddFooter>
  </headerFooter>
  <rowBreaks count="4" manualBreakCount="4">
    <brk id="45" min="1" max="13" man="1"/>
    <brk id="94" min="1" max="13" man="1"/>
    <brk id="181" min="1" max="13" man="1"/>
    <brk id="215" min="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BASE INTERNA</vt:lpstr>
      <vt:lpstr>'BASE INTERNA'!Área_de_impresión</vt:lpstr>
      <vt:lpstr>'BASE INTERNA'!Títulos_a_imprimir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OFICINA DE INFORMATICA</dc:creator>
  <cp:lastModifiedBy>TOSHIBA</cp:lastModifiedBy>
  <cp:lastPrinted>2011-08-02T20:30:54Z</cp:lastPrinted>
  <dcterms:created xsi:type="dcterms:W3CDTF">1999-10-15T00:05:50Z</dcterms:created>
  <dcterms:modified xsi:type="dcterms:W3CDTF">2023-02-02T15:18:59Z</dcterms:modified>
</cp:coreProperties>
</file>