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Mis_Documentos\Gestión y Desembolsos\PAC\Publicacion 2018\"/>
    </mc:Choice>
  </mc:AlternateContent>
  <bookViews>
    <workbookView xWindow="240" yWindow="120" windowWidth="9075" windowHeight="4905" tabRatio="230"/>
  </bookViews>
  <sheets>
    <sheet name="BASE INTERNA" sheetId="1" r:id="rId1"/>
  </sheets>
  <definedNames>
    <definedName name="_xlnm.Print_Area" localSheetId="0">'BASE INTERNA'!$B$1:$N$421</definedName>
    <definedName name="_xlnm.Print_Titles" localSheetId="0">'BASE INTERNA'!$1:$8</definedName>
  </definedNames>
  <calcPr calcId="152511"/>
</workbook>
</file>

<file path=xl/calcChain.xml><?xml version="1.0" encoding="utf-8"?>
<calcChain xmlns="http://schemas.openxmlformats.org/spreadsheetml/2006/main">
  <c r="N292" i="1" l="1"/>
  <c r="N294" i="1"/>
  <c r="N291" i="1"/>
  <c r="N290" i="1"/>
  <c r="N289" i="1"/>
  <c r="N288" i="1"/>
  <c r="N287" i="1"/>
  <c r="N286" i="1"/>
  <c r="N285" i="1"/>
  <c r="N278" i="1"/>
  <c r="N271" i="1"/>
  <c r="N265" i="1"/>
  <c r="N263" i="1"/>
  <c r="N262" i="1"/>
  <c r="N261" i="1"/>
  <c r="N260" i="1"/>
  <c r="N259" i="1"/>
  <c r="N267" i="1"/>
  <c r="N254" i="1"/>
  <c r="N253" i="1"/>
  <c r="N252" i="1" s="1"/>
  <c r="N250" i="1"/>
  <c r="N248" i="1"/>
  <c r="N249" i="1"/>
  <c r="N247" i="1"/>
  <c r="N243" i="1"/>
  <c r="N242" i="1"/>
  <c r="N241" i="1"/>
  <c r="N240" i="1"/>
  <c r="N239" i="1"/>
  <c r="N234" i="1"/>
  <c r="N238" i="1"/>
  <c r="N233" i="1"/>
  <c r="N232" i="1"/>
  <c r="N231" i="1"/>
  <c r="N230" i="1"/>
  <c r="N226" i="1"/>
  <c r="N225" i="1"/>
  <c r="N224" i="1"/>
  <c r="N223" i="1"/>
  <c r="N219" i="1"/>
  <c r="N218" i="1"/>
  <c r="N204" i="1"/>
  <c r="N213" i="1"/>
  <c r="N212" i="1"/>
  <c r="N211" i="1"/>
  <c r="N210" i="1"/>
  <c r="N209" i="1"/>
  <c r="L203" i="1"/>
  <c r="N198" i="1"/>
  <c r="N194" i="1"/>
  <c r="N193" i="1" s="1"/>
  <c r="L193" i="1"/>
  <c r="N132" i="1"/>
  <c r="N131" i="1" s="1"/>
  <c r="N126" i="1" s="1"/>
  <c r="L124" i="1"/>
  <c r="L123" i="1"/>
  <c r="N113" i="1"/>
  <c r="N111" i="1" s="1"/>
  <c r="N106" i="1" s="1"/>
  <c r="N97" i="1"/>
  <c r="N96" i="1" s="1"/>
  <c r="L182" i="1"/>
  <c r="N187" i="1"/>
  <c r="N183" i="1"/>
  <c r="L172" i="1"/>
  <c r="N172" i="1"/>
  <c r="N179" i="1"/>
  <c r="N178" i="1"/>
  <c r="L177" i="1"/>
  <c r="L176" i="1" s="1"/>
  <c r="N162" i="1"/>
  <c r="N167" i="1"/>
  <c r="L146" i="1"/>
  <c r="L145" i="1"/>
  <c r="N154" i="1"/>
  <c r="N155" i="1"/>
  <c r="N158" i="1"/>
  <c r="N157" i="1" s="1"/>
  <c r="L153" i="1"/>
  <c r="L152" i="1" s="1"/>
  <c r="L157" i="1"/>
  <c r="N146" i="1"/>
  <c r="N145" i="1" s="1"/>
  <c r="L135" i="1"/>
  <c r="L134" i="1" s="1"/>
  <c r="L127" i="1"/>
  <c r="L126" i="1" s="1"/>
  <c r="L131" i="1"/>
  <c r="L116" i="1"/>
  <c r="N85" i="1"/>
  <c r="N135" i="1"/>
  <c r="N134" i="1" s="1"/>
  <c r="N139" i="1"/>
  <c r="N127" i="1"/>
  <c r="N116" i="1"/>
  <c r="L111" i="1"/>
  <c r="N107" i="1"/>
  <c r="L107" i="1"/>
  <c r="L100" i="1"/>
  <c r="N89" i="1"/>
  <c r="N84" i="1" s="1"/>
  <c r="L85" i="1"/>
  <c r="L89" i="1"/>
  <c r="N100" i="1"/>
  <c r="N71" i="1"/>
  <c r="N70" i="1" s="1"/>
  <c r="N78" i="1"/>
  <c r="N59" i="1"/>
  <c r="N65" i="1"/>
  <c r="N47" i="1"/>
  <c r="N46" i="1" s="1"/>
  <c r="N55" i="1"/>
  <c r="N41" i="1"/>
  <c r="N40" i="1" s="1"/>
  <c r="N35" i="1"/>
  <c r="N34" i="1" s="1"/>
  <c r="N30" i="1"/>
  <c r="N29" i="1"/>
  <c r="N25" i="1"/>
  <c r="N24" i="1"/>
  <c r="N20" i="1"/>
  <c r="N19" i="1" s="1"/>
  <c r="N11" i="1"/>
  <c r="N10" i="1" s="1"/>
  <c r="L96" i="1"/>
  <c r="L95" i="1" s="1"/>
  <c r="L73" i="1"/>
  <c r="L71" i="1" s="1"/>
  <c r="L78" i="1"/>
  <c r="L59" i="1"/>
  <c r="L65" i="1"/>
  <c r="L58" i="1" s="1"/>
  <c r="L47" i="1"/>
  <c r="L46" i="1" s="1"/>
  <c r="L55" i="1"/>
  <c r="L41" i="1"/>
  <c r="L40" i="1"/>
  <c r="L35" i="1"/>
  <c r="L34" i="1" s="1"/>
  <c r="L30" i="1"/>
  <c r="L29" i="1" s="1"/>
  <c r="L25" i="1"/>
  <c r="L24" i="1" s="1"/>
  <c r="L20" i="1"/>
  <c r="L19" i="1"/>
  <c r="L13" i="1"/>
  <c r="L14" i="1"/>
  <c r="L16" i="1"/>
  <c r="L17" i="1"/>
  <c r="N124" i="1"/>
  <c r="N123" i="1" s="1"/>
  <c r="N115" i="1" s="1"/>
  <c r="N270" i="1"/>
  <c r="N177" i="1" l="1"/>
  <c r="N176" i="1" s="1"/>
  <c r="N171" i="1" s="1"/>
  <c r="L106" i="1"/>
  <c r="N153" i="1"/>
  <c r="N152" i="1" s="1"/>
  <c r="N222" i="1"/>
  <c r="N182" i="1"/>
  <c r="L171" i="1"/>
  <c r="N208" i="1"/>
  <c r="N203" i="1" s="1"/>
  <c r="N161" i="1"/>
  <c r="N217" i="1"/>
  <c r="N216" i="1" s="1"/>
  <c r="N237" i="1"/>
  <c r="N258" i="1"/>
  <c r="N257" i="1" s="1"/>
  <c r="L84" i="1"/>
  <c r="N229" i="1"/>
  <c r="N246" i="1"/>
  <c r="N245" i="1" s="1"/>
  <c r="L11" i="1"/>
  <c r="L10" i="1" s="1"/>
  <c r="L70" i="1"/>
  <c r="N58" i="1"/>
  <c r="L115" i="1"/>
  <c r="N95" i="1"/>
  <c r="N284" i="1"/>
  <c r="N228" i="1" l="1"/>
</calcChain>
</file>

<file path=xl/sharedStrings.xml><?xml version="1.0" encoding="utf-8"?>
<sst xmlns="http://schemas.openxmlformats.org/spreadsheetml/2006/main" count="1317" uniqueCount="559">
  <si>
    <t>Acreedor</t>
  </si>
  <si>
    <t>Deudor</t>
  </si>
  <si>
    <t>MEF</t>
  </si>
  <si>
    <t>Transportes</t>
  </si>
  <si>
    <t xml:space="preserve">SECTOR </t>
  </si>
  <si>
    <t>D.S. 024-95-EF</t>
  </si>
  <si>
    <t>Bonos del Tesoro Público</t>
  </si>
  <si>
    <t>Adq. Carteras del Banco Continental</t>
  </si>
  <si>
    <t>Economía</t>
  </si>
  <si>
    <t>D.S. 096-95-EF</t>
  </si>
  <si>
    <t>ONP</t>
  </si>
  <si>
    <t>-.-</t>
  </si>
  <si>
    <t>D.S. 166-95-EF</t>
  </si>
  <si>
    <t>LIBOR + 1.0</t>
  </si>
  <si>
    <t>D.U. 128-96</t>
  </si>
  <si>
    <t>Pagos FONAVI</t>
  </si>
  <si>
    <t>TIPMN</t>
  </si>
  <si>
    <t>D.S. 132-96</t>
  </si>
  <si>
    <t>D.S. 079-96</t>
  </si>
  <si>
    <t>D.U. 020-97</t>
  </si>
  <si>
    <t>Plan Financiero 1996 (Brady)</t>
  </si>
  <si>
    <t>D.U. 033-97</t>
  </si>
  <si>
    <t>Banco de la Nación</t>
  </si>
  <si>
    <t>Pago de Deuda URSS</t>
  </si>
  <si>
    <t>Libor + 0 .5</t>
  </si>
  <si>
    <t>1 año</t>
  </si>
  <si>
    <t>4 años</t>
  </si>
  <si>
    <t>D.S. 117-97-EF</t>
  </si>
  <si>
    <t>Adq. De Maq. Pesada Obras El Niño</t>
  </si>
  <si>
    <t>MTC</t>
  </si>
  <si>
    <t>Agricultura</t>
  </si>
  <si>
    <t>MAG</t>
  </si>
  <si>
    <t>Libor+2.5</t>
  </si>
  <si>
    <t>D.S. 118-97-EF</t>
  </si>
  <si>
    <t>FRONFAS</t>
  </si>
  <si>
    <t>1.5 años</t>
  </si>
  <si>
    <t>6 m</t>
  </si>
  <si>
    <t>Libor +1.5</t>
  </si>
  <si>
    <t>D.S. 109-97-EF</t>
  </si>
  <si>
    <t>Bonos del tesor Público</t>
  </si>
  <si>
    <t>D.S. 026-98-EF</t>
  </si>
  <si>
    <t>Defensa</t>
  </si>
  <si>
    <t>Mº Defensa</t>
  </si>
  <si>
    <t>2 años</t>
  </si>
  <si>
    <t>8 años</t>
  </si>
  <si>
    <t>Libor +2</t>
  </si>
  <si>
    <t>D.S. 062-98-EF</t>
  </si>
  <si>
    <t>Infraestructura Vial</t>
  </si>
  <si>
    <t>D.S. 129-98-EF</t>
  </si>
  <si>
    <t>Bco. Popular y Provenir</t>
  </si>
  <si>
    <t>Justicia</t>
  </si>
  <si>
    <t>P. Judicial</t>
  </si>
  <si>
    <t>Reducción de la Deuda Pública Externa</t>
  </si>
  <si>
    <t>D.S. 080-98-EF</t>
  </si>
  <si>
    <t>D.S. 114-98-EF</t>
  </si>
  <si>
    <t>D.S. 024-99-EF</t>
  </si>
  <si>
    <t>D.U. 063-99</t>
  </si>
  <si>
    <t>D.U. 061-99</t>
  </si>
  <si>
    <t>D.S. 099-99-EF</t>
  </si>
  <si>
    <t>D.S. 114-99-EF</t>
  </si>
  <si>
    <t>D.U. 041-99</t>
  </si>
  <si>
    <t>D.U. 068-99</t>
  </si>
  <si>
    <t>Coadyuvar a la continuidad de la Política Eco.</t>
  </si>
  <si>
    <t>Prog. Equipam. Básico Municipal</t>
  </si>
  <si>
    <t>Bonos del Tesoro Püblico</t>
  </si>
  <si>
    <t>Canje con Portafolio del SFN</t>
  </si>
  <si>
    <t>Adq de Activos en el SFN</t>
  </si>
  <si>
    <t>Multisectorial</t>
  </si>
  <si>
    <t>PRES</t>
  </si>
  <si>
    <t>D.S. 053-2000-EF</t>
  </si>
  <si>
    <t>Programa FOPE y RFA</t>
  </si>
  <si>
    <t>Reconocimiento Deuda Agraria</t>
  </si>
  <si>
    <t>D.U. 084-2000</t>
  </si>
  <si>
    <t>Reclamo Judicial - Elliot</t>
  </si>
  <si>
    <t>MINISTERIO DE ECONOMIA Y FINANZAS</t>
  </si>
  <si>
    <t>D.U  091-97</t>
  </si>
  <si>
    <t>Tasa Eximbank</t>
  </si>
  <si>
    <t>3  años</t>
  </si>
  <si>
    <t>Tipmex</t>
  </si>
  <si>
    <t>5.años</t>
  </si>
  <si>
    <t>9 años</t>
  </si>
  <si>
    <t>Libor + 2%</t>
  </si>
  <si>
    <t>Libor + 3%</t>
  </si>
  <si>
    <t>7 años</t>
  </si>
  <si>
    <t>2,5 años</t>
  </si>
  <si>
    <t>3 años</t>
  </si>
  <si>
    <t>Sin tasa</t>
  </si>
  <si>
    <t>Tipmn y Tipmex</t>
  </si>
  <si>
    <t>10 años</t>
  </si>
  <si>
    <t>Recompra de Deuda Externa</t>
  </si>
  <si>
    <t>1,5 años</t>
  </si>
  <si>
    <t>8,5 años</t>
  </si>
  <si>
    <t>Libor 6 + 2%</t>
  </si>
  <si>
    <t>Canje de carteras IFI's</t>
  </si>
  <si>
    <t>D.S. 045-90-EF</t>
  </si>
  <si>
    <t>L. T. Mantaro - Lima</t>
  </si>
  <si>
    <t>Energía</t>
  </si>
  <si>
    <t>Electro Perú</t>
  </si>
  <si>
    <t>Fijada por BCR</t>
  </si>
  <si>
    <t>3 meses</t>
  </si>
  <si>
    <t>15 meses</t>
  </si>
  <si>
    <t>D.S. 314-91-EF</t>
  </si>
  <si>
    <t>Bonos de Tesorería</t>
  </si>
  <si>
    <t>Fijada por B.N.</t>
  </si>
  <si>
    <t>D.S. 066-94-EF</t>
  </si>
  <si>
    <t xml:space="preserve">  -.-</t>
  </si>
  <si>
    <t>Capitalización del BCR - Serie "A"</t>
  </si>
  <si>
    <t>Capitalización del BCR - Serie "B"</t>
  </si>
  <si>
    <t xml:space="preserve"> -.-</t>
  </si>
  <si>
    <t>Créditos</t>
  </si>
  <si>
    <t>Bonos</t>
  </si>
  <si>
    <t>M. de Defensa</t>
  </si>
  <si>
    <t>-</t>
  </si>
  <si>
    <t>Construcción de Viviendas para Personal Militar</t>
  </si>
  <si>
    <t>Destino</t>
  </si>
  <si>
    <t>5 Años</t>
  </si>
  <si>
    <t>Const. Viviendas para Personal de la Policía</t>
  </si>
  <si>
    <t>D: Ley 26165 - Art. 1º</t>
  </si>
  <si>
    <t>D: Ley 26165- Art. 2º</t>
  </si>
  <si>
    <t>D.S. 061-90-EF</t>
  </si>
  <si>
    <t>Imp. Rep. Equipos y Otros para la PNP</t>
  </si>
  <si>
    <t>Captac.+0.5%</t>
  </si>
  <si>
    <t>6 meses</t>
  </si>
  <si>
    <t>4,5 Años</t>
  </si>
  <si>
    <t>M. Interior</t>
  </si>
  <si>
    <t>D.U. 108-2000-EF</t>
  </si>
  <si>
    <t>D.U. 059-2000-EF</t>
  </si>
  <si>
    <t>D.U. 088-2000-EF</t>
  </si>
  <si>
    <t>Consolidación Sistema Financiero</t>
  </si>
  <si>
    <t>Línea de Crédito FSD-D.U. N° 108-2000</t>
  </si>
  <si>
    <t>15  años</t>
  </si>
  <si>
    <t>Plan de Recup. De la Cap. Operativa de las FF.AA.</t>
  </si>
  <si>
    <t>BCR + 0.5%</t>
  </si>
  <si>
    <t>M. Defensa</t>
  </si>
  <si>
    <t>D.S. 060-90-EF  Art. 1</t>
  </si>
  <si>
    <t>D.S. 060-90-EF  Art. 2</t>
  </si>
  <si>
    <t>Recorrido del BAP Carbajal</t>
  </si>
  <si>
    <t>Eq. de campaña, vehículos, repuestos</t>
  </si>
  <si>
    <t>1/</t>
  </si>
  <si>
    <r>
      <t xml:space="preserve">D.S. 142-90-EF   </t>
    </r>
    <r>
      <rPr>
        <b/>
        <sz val="10"/>
        <color indexed="10"/>
        <rFont val="Arial"/>
        <family val="2"/>
      </rPr>
      <t>2/</t>
    </r>
  </si>
  <si>
    <t>3/</t>
  </si>
  <si>
    <t>4/</t>
  </si>
  <si>
    <t>5/</t>
  </si>
  <si>
    <t>6/</t>
  </si>
  <si>
    <r>
      <t xml:space="preserve">D.U. 066-98  </t>
    </r>
    <r>
      <rPr>
        <b/>
        <sz val="10"/>
        <color indexed="10"/>
        <rFont val="Arial"/>
        <family val="2"/>
      </rPr>
      <t xml:space="preserve"> 7/</t>
    </r>
  </si>
  <si>
    <r>
      <t xml:space="preserve">D.S. 126-98-EF  </t>
    </r>
    <r>
      <rPr>
        <b/>
        <sz val="10"/>
        <color indexed="10"/>
        <rFont val="Arial"/>
        <family val="2"/>
      </rPr>
      <t>8/</t>
    </r>
  </si>
  <si>
    <t>D.U. 036-99</t>
  </si>
  <si>
    <t>Adq.Vehículos y Equipam. De la PNP</t>
  </si>
  <si>
    <t>9/</t>
  </si>
  <si>
    <t>10/</t>
  </si>
  <si>
    <t xml:space="preserve">MEDIANO Y LARGO PLAZO </t>
  </si>
  <si>
    <t>D.U. 034-99-RM146-99-EF/10</t>
  </si>
  <si>
    <t>Otorgamiento del Aval del Esttado</t>
  </si>
  <si>
    <t>Libor 6 + 3%</t>
  </si>
  <si>
    <t>Libor 6 +3%</t>
  </si>
  <si>
    <t>7,5 años</t>
  </si>
  <si>
    <t>5 años</t>
  </si>
  <si>
    <t>D.S. 191-90-EF</t>
  </si>
  <si>
    <t>D.U. 049-2001</t>
  </si>
  <si>
    <t>D.U. 015-2001</t>
  </si>
  <si>
    <t>Prog. de Emisión Bonos Soberanos 2001</t>
  </si>
  <si>
    <t>D.U. 030-2001</t>
  </si>
  <si>
    <t>D.U. 076-2001-EF</t>
  </si>
  <si>
    <t>4M</t>
  </si>
  <si>
    <t>1A</t>
  </si>
  <si>
    <t>1,8años</t>
  </si>
  <si>
    <t>D.U. 106-2001</t>
  </si>
  <si>
    <t>Segundo Prog. Emisión Bonos Soberanos 2001</t>
  </si>
  <si>
    <t>D.S. 069-2001-EF</t>
  </si>
  <si>
    <t>30 años</t>
  </si>
  <si>
    <t>*</t>
  </si>
  <si>
    <t>D.S.  007-2002-EF</t>
  </si>
  <si>
    <t>Prog. de Emisión Bonos Soberanos 2002</t>
  </si>
  <si>
    <t>D.U. 022-2002</t>
  </si>
  <si>
    <t>6M</t>
  </si>
  <si>
    <t>Pago de Deuda a Caja Pensiones Militar-Policial</t>
  </si>
  <si>
    <t>Créditos a familias damnificadas por el sismo Zona Sur</t>
  </si>
  <si>
    <t>Bonos de la ONP</t>
  </si>
  <si>
    <t>Créditos a familias damnificadas por el sismo 23-06-2001</t>
  </si>
  <si>
    <t>D.S. 185-2002-EF</t>
  </si>
  <si>
    <t>11/</t>
  </si>
  <si>
    <t>D.S. 198-2002-EF</t>
  </si>
  <si>
    <t>Fdo. MIVIVIENDA</t>
  </si>
  <si>
    <t>Financiar 2,000 Bonos Familiares Habitacionales</t>
  </si>
  <si>
    <t>12/</t>
  </si>
  <si>
    <t xml:space="preserve">       intereses corrspondientes al semestre siguiente y será pagadera semestralmente.</t>
  </si>
  <si>
    <t>9A6M</t>
  </si>
  <si>
    <t>13/</t>
  </si>
  <si>
    <t>14/</t>
  </si>
  <si>
    <t>D.S. 041-2003-EF</t>
  </si>
  <si>
    <t>Primera Emisión de Bonos Soberanos 2004</t>
  </si>
  <si>
    <t>15/</t>
  </si>
  <si>
    <t>--</t>
  </si>
  <si>
    <t>16/</t>
  </si>
  <si>
    <t>a) El 31-03-03, se colocó S/. 150 millones denominados "Bonos Soberanos Junio 2004", a una Tasa estimada de 5,89%, Tasa cupón de 12,85% nominal anual fija con pagos semestrales, a ser redimidos el 21-06-04.</t>
  </si>
  <si>
    <t>b) El 08-04-03, se colocó S/. 150 millones denominados "Bonos Soberanos Octubre 2004", a una Tasa cupón de 5,8975% nominal anual fija con pagos semestrales, a ser redimidos el 08-10-04.</t>
  </si>
  <si>
    <t>c) El 12-05-03, se colocó S/.    75 millones denominados "Bonos Soberanos Octubre 2004", a una Tasa cupón de 5,8975 % nominal anual fija con pagos semestrales, a ser redimidos el 08-10-04.</t>
  </si>
  <si>
    <t>d) El 13-05-03, se colocó S/.  150 millones denominados "Bonos Soberanos 2002/18ENE2005", a una Tasa  cupón de 7,9433 % nominal fija con pagos semestrales, a ser redimidos el 18-01-05.</t>
  </si>
  <si>
    <t>e) El  10-06-03, se colocó S/.   75 millones denominados "Bonos Soberanos JUNIO 2010 - VAC", a una Tasa spread de 6,7% +VAC con pagos semestrales, a ser redimidos el 10-06-10.</t>
  </si>
  <si>
    <t>D.S. 079-2003-EF</t>
  </si>
  <si>
    <t>Segunda Emisión de Bonos Soberanos 2004</t>
  </si>
  <si>
    <t>17/</t>
  </si>
  <si>
    <t>a) El 11-06-03, se colocó S/. 150 millones denominados "Bonos Soberanos 11JUN 2005", a una Tasa cupón de 5,89% nominal  anual fija con pagos semestrales, a ser redimidos el 11-06-05.</t>
  </si>
  <si>
    <t>b) El 08-07-03, se colocó S/. 147 millones denominados "Bonos Soberanos 11JUN2005", a una Tasa cupón de 4,69 % nominal anual fija con pagos semestrales, a ser redimidos el  11-06-05.</t>
  </si>
  <si>
    <t>c) El 09-07-03, se colocó S/.   75 millones denominados  "Bonos Soberanos 09JUL2008", a una Tasa cupón de 9,47 % nominal anual fija con pagos semestrales, a ser redimidos el 09-07-08.</t>
  </si>
  <si>
    <t>d) El 12-08-03, se colocó S/. 150 millones denominados "Bonos Soberanos 12AGO2006", a una Tasa cupón de 4,98% nominal anual fija con pagos semestrales, a ser redimidos el 12-08-06.</t>
  </si>
  <si>
    <t xml:space="preserve">e) El 09-09-03, se colocó S/. 150 millones denominados "Bonos Soberanos 09JUL2008", a una Tasa cupón de 9,47% nominal anual fija con pagos semestrales, a ser redimidos el 09-07-08. </t>
  </si>
  <si>
    <t>f)  El 07-10-03, se colocó  S/. 72 millones denominados "Bonos Soberanos 12AGO2006", a una Tasa cupón de 4,98 % nominal anual fija con pagos semestrales, a ser redimidos el 12-08-06.</t>
  </si>
  <si>
    <t>g) El 09-10-03, se colocó S/. 110 750 000,00 denominados "Bonos Soberanos 09OCT2007", a una Tasa cupón de 5,94 % nominal anual fija con pagos semestrales, a ser redimidos el 09-10-07.</t>
  </si>
  <si>
    <t>Bonos de Reconocimiento de la ONP</t>
  </si>
  <si>
    <t>Crédito Interno</t>
  </si>
  <si>
    <t>D.S. 032-2003-EF</t>
  </si>
  <si>
    <t>Financiar 2,778 Bonos Familiares Habitacionales</t>
  </si>
  <si>
    <t>18/</t>
  </si>
  <si>
    <t xml:space="preserve">      cálculo de intereses correspondientes al siguiente semestre y será pagadera semestralmente.</t>
  </si>
  <si>
    <r>
      <t xml:space="preserve">18/ </t>
    </r>
    <r>
      <rPr>
        <sz val="9"/>
        <rFont val="Arial"/>
        <family val="2"/>
      </rPr>
      <t>Devengará intereses a una tasa efectiva anual equivalente al rendimiento de las inversiones en bonos del Fondo MIVIVIENDA, la cual será aprobada semestralmente, por el Directorio para ser aplicada al</t>
    </r>
  </si>
  <si>
    <t>19/</t>
  </si>
  <si>
    <t>20/</t>
  </si>
  <si>
    <t>D.S. 162-2003-EF</t>
  </si>
  <si>
    <r>
      <t xml:space="preserve">D.S. 112-2003-EF     </t>
    </r>
    <r>
      <rPr>
        <b/>
        <sz val="10"/>
        <color indexed="10"/>
        <rFont val="Arial"/>
        <family val="2"/>
      </rPr>
      <t xml:space="preserve">  21/</t>
    </r>
  </si>
  <si>
    <t>Tercera Emisión de Bonos Soberanos 2004</t>
  </si>
  <si>
    <t>h) El 10-11-03 se colocó S/ 75 millones de los denominados "Bonos Soberanos 12AGO2006" Tasa cupón de 4,98% nominal fija con pagos semestrales, a ser redimidos el 12-08-03.</t>
  </si>
  <si>
    <t>i) El 11-11-03 se colocó S/. 71 millones de los denominados "Bonos Soberanos 09OCT2007", Tasa cupón de 5,94% nominal anual fija con pagos semestrales, a ser redimidos el 09-10-07, de este monto se colocó 20 250 000 millones con cargo a los 950 millones.</t>
  </si>
  <si>
    <t>22/</t>
  </si>
  <si>
    <r>
      <t xml:space="preserve">19/ </t>
    </r>
    <r>
      <rPr>
        <sz val="9"/>
        <rFont val="Arial"/>
        <family val="2"/>
      </rPr>
      <t>Desde la fecha de Suscripción del Contrato hasta el 30-09-04.</t>
    </r>
  </si>
  <si>
    <r>
      <t xml:space="preserve">20/ </t>
    </r>
    <r>
      <rPr>
        <sz val="9"/>
        <rFont val="Arial"/>
        <family val="2"/>
      </rPr>
      <t>Desde el  30-09-04 hasta el 30-09-10.</t>
    </r>
  </si>
  <si>
    <t>a) El 11-11-03 se colocó S/. 71 millones de los denominados "Bonos Soberanos 09OCT2007", Tasa cupón de 5,94% nominal anual fija con pagos semestrales, a ser redimidos el 09-10-07, la diferencia S/. 50 750 000 millones se coloca con cargo a los S/. 220 millones.</t>
  </si>
  <si>
    <t>b) El 09-12-03, se colocó S/. 36 millones de los denominados "Bonos Soberanos 09JUL2008", Tasa cupón de 9,47% nominal anual fija con pagos semestrales, a ser redimidos el 09-07-08.</t>
  </si>
  <si>
    <t>c) El 10-12-03, se colocó S/. 75 millones de los denominados "Bonos Soberanos 11DIC2013- VAC", Tasa spread de 5,79% con pagos semestrales, a ser redimidos el 11-12-13.</t>
  </si>
  <si>
    <t>D.S. 168-2003-EF</t>
  </si>
  <si>
    <t>Modifican el D.S. 112-2003-EF</t>
  </si>
  <si>
    <t>D.S. 015-2004-EF</t>
  </si>
  <si>
    <t>D.S. 054-2004-EF</t>
  </si>
  <si>
    <t>Emisión interna de Bonos Soberanos 2004</t>
  </si>
  <si>
    <t>23/</t>
  </si>
  <si>
    <t>D.S. Nº 057-2004-EF</t>
  </si>
  <si>
    <t>Bca Comerc.Local</t>
  </si>
  <si>
    <t>Garantía del Gob. Nacional Concesión Proy. Yuncán</t>
  </si>
  <si>
    <t>EGECEN S.A.</t>
  </si>
  <si>
    <t>a) El 29-01-2004, se colocó S/. 104,2 millones de los denominados "Bonos Soberanos 09JUL2008",  Tasa estimada de 6,45%, Tasa cupón de 9,47% nominal anual fija con pagos semestrales, a ser redimidos el 09-07-2008.</t>
  </si>
  <si>
    <t>b)  El  30-01-2004, se colocó S/.   106,9 millones de los denominados "Bonos Soberanos 30ENE2014 - VAC", Tasa spread de 5,80% +VAC con pagos semestrales, a ser redimidos el 30-01-2014.</t>
  </si>
  <si>
    <t>c) El 10-02-2004, se colocó S/. 125,0 millones de los denominados "Bonos Soberanos 12AGO2006",  Tasa cupón de 4,98% nominal anual fija con pagos semestrales, a ser redimidos el 12-08-2006.</t>
  </si>
  <si>
    <t>ch) El 11-02-2004, se colocó S/. 61,6 millones de los denominados "Bonos Soberanos 11FEB2009",  Tasa cupón de 7,25% nominal anual fija con pagos semestrales, a ser redimidos el 11-02-2009.</t>
  </si>
  <si>
    <t>d) El 09-03-2004, se colocó S/. 124,5 millones de los denominados "Bonos Soberanos 11FEB2009",  Tasa cupón de 7,25% nominal anual fija con pagos semestrales, a ser redimidos el 11-02-2009.</t>
  </si>
  <si>
    <t>e) El 10-03-2004, se colocó S/. 62,2 millones de los denominados "Bonos Soberanos 10MAR2010",  Tasa cupón de 8,61 % nominal anual fija con pagos semestrales, a ser redimidos el 10-03-2010.</t>
  </si>
  <si>
    <t>f) El 13-04-2004, se colocó S/. 74,5 millones de los denominados "Bonos Soberanos 09OCT2007",  Tasa cupón de 5,94 % nominal anual fija con pagos semestrales, a ser redimidos el 09-10-2007.</t>
  </si>
  <si>
    <t>g)  El  14-04-2004, se colocó S/. 150 millones de los denominados "Bonos Soberanos 14ABR2016 - VAC", Tasa spread de 5,90% +VAC con pagos semestrales, a ser redimidos el 14-04-2016.</t>
  </si>
  <si>
    <t>h)  El  08-06-2004, se colocó S/. 80,4 millones de los denominados "Bonos Soberanos 08JUN2016 - VAC", Tasa spread de 6,84% +VAC con pagos semestrales, a ser redimidos el 08-06-2016.</t>
  </si>
  <si>
    <t>i) El 09-06-2004, se colocó S/. 30,0 millones de los denominados "Bonos Soberanos 09JUL2008", Tasa Estimada de 9%; Tasa cupón de 9,47% nominal anual fija con pagos semestrales, a ser redimidos el 09-07-2008.</t>
  </si>
  <si>
    <t>j)  El  13-07-2004, se colocó S/. 49,8 millones de los denominados "Bonos Soberanos 13JUL2019 - VAC", Tasa spread de 7,40% +VAC con pagos semestrales, a ser redimidos el 13-07-2019.</t>
  </si>
  <si>
    <t>k) El 14-07-2004, se colocó S/. 22,0 millones de los denominados "Bonos Soberanos 09OCT2007", Tasa Estimada de 8,46%; Tasa cupón de 5,94% nominal anual fija con pagos semestrales, a ser redimidos el 09-10-2007.</t>
  </si>
  <si>
    <t>l) El 14-07-2004, se colocó S/. 23,0 millones de los denominados "Bonos Soberanos 09JULIO2008", Tasa Estimada de 9,30%; Tasa cupón de 9,47% nominal anual fija con pagos semestrales, a ser redimidos el 09-07-2008.</t>
  </si>
  <si>
    <t>ll) El 10-08-2004, se colocó S/. 25,0 millones de los denominados "Bonos Soberanos 10AGO2011",  Tasa cupón de 12,25% nominal anual fija con pagos semestrales, a ser redimidos el 10-08-2011.</t>
  </si>
  <si>
    <t>m) El 10-08-2004, se colocó S/. 30,0 millones de los denominados "Bonos Soberanos 09JUL2008", Tasa Estimada de 8,99%; Tasa cupón de 9,47% nominal anual fija con pagos semestrales, a ser redimidos el 09-07-2008.</t>
  </si>
  <si>
    <t>n) El 11-08-2004, se colocó S/. 44,9 millones de los denominados "Bonos Soberanos 11FEB2007", Tasa cupón de 7,2% nominal anual fija con pagos semestrales, a ser redimidos el 11-02-2007.</t>
  </si>
  <si>
    <t>ñ) El 07-09-2004, se colocó S/. 44,970 millones de los denominados "Bonos Soberanos 07MAR2006", Tasa cupón de 5,15% nominal anual fija con pagos semestrales, a ser redimidos el 07-03-2006.</t>
  </si>
  <si>
    <t>o) El 07-09-2004, se colocó S/. 45,0 millones de los denominados "Bonos Soberanos 10AGO2011", Tasa estimada de 11,31% nominal anual fija, tasa cupon de 12,25%  con pagos semestrales, a ser redimidos el 10-08-2011.</t>
  </si>
  <si>
    <t>p) El 08-09-2004, se colocó S/. 75,0 millones de los denominados "Bonos Soberanos 11FEB2007", Tasa estimada de 6,57%, yasa cupon de 7,20% nominal anual fija con pagos semestrales, a ser redimidos el 11-02-2007.</t>
  </si>
  <si>
    <t>q) El 08-09-2004, se colocó S/. 30,0 millones de los denominados "Bonos Soberanos 10MAR2010", Tasa estimada de 9,49%, tasa Cupón de 8,61% nominal anual fija con pagos semestrales, a ser redimidos el 10-03-2010.</t>
  </si>
  <si>
    <t>r) El 12-10-2004, se colocó S/. 62,5 millones de los denominados "Bonos Soberanos 09OCT2007", Tasa estimada de 6,58%, Tasa Cupón de 5,94% nominal anual fija con pagos semestrales, a ser redimidos el 09-10-2007.</t>
  </si>
  <si>
    <t>rr) El 12-10-2004, se colocó S/. 45,0 millones de los denominados "Bonos Soberanos 10AGO2011", Tasa estimada de 9,97%, Tasa Cupón de 12,25% nominal anual fija con pagos semestrales, a ser redimidos el 10-08-2011.</t>
  </si>
  <si>
    <t>s) El 13-10-2004, se colocó S/. 45,0 millones de los denominados "Bonos Soberanos 10MAR2010", Tasa estimada de 8,70%, Tasa Cupón de 8,61% nominal anual fija con pagos semestrales, a ser redimidos el 10-03-2010.</t>
  </si>
  <si>
    <t>t)  El  13-10-2004, se colocó S/. 73,0 millones de los denominados "Bonos Soberanos 13OCT2024 - VAC", Tasa spread de 6,8399% +VAC con pagos semestrales, a ser redimidos el 13-10-2024.</t>
  </si>
  <si>
    <t>u) El 09-11-2004, se colocó S/. 45,0 millones de los denominados "Bonos Soberanos 11FEB2007", Tasa estimada de 5,90%, Tasa Cupón de 7,20% nominal anual fija con pagos semestrales, a ser redimidos el 11-02-2007.</t>
  </si>
  <si>
    <t>v) El 09-11-2004, se colocó S/. 37,27 millones de los denominados "Bonos Soberanos 10AGO2011", Tasa estimada de 9,73%, Tasa Cupón de 12,25% nominal anual fija con pagos semestrales, a ser redimidos el 10-08-2011.</t>
  </si>
  <si>
    <t>w)  El  10-11-2004, se colocó S/. 59,93 millones de los denominados "Bonos Soberanos 30ENE2014-VAC", Tasa spread de 5,80% +VAC con pagos semestrales, a ser redimidos el 30-01-2014.</t>
  </si>
  <si>
    <t>y)  El  10-11-2004, se colocó S/. 62,5 millones de los denominados "Bonos Soberanos 13OCT2024-VAC", Tasa spread de 6,8399% +VAC con pagos semestrales, a ser redimidos el 13-10-2024.</t>
  </si>
  <si>
    <t>z) El 07-12-2004, se colocó S/. 60,0 millones de los denominados "Bonos Soberanos 11FEB2007", Tasa estimada de 6,29%, Tasa Cupón de 7,20% nominal anual fija con pagos semestrales, a ser redimidos el 11-02-2007.</t>
  </si>
  <si>
    <t>z1)  El  07-12-2004, se colocó S/. 42,0 millones de los denominados "Bonos Soberanos 30ENE2014-VAC", Tasa spread estimada de 6,15% +VAC, Tasa Cupón 5,80%+VAC con pagos semestrales, a ser redimidos el 30-01-2014.</t>
  </si>
  <si>
    <t>z2) El 09-12-2004, se colocó S/. 45,0 millones de los denominados "Bonos Soberanos 10AGO2011", Tasa estimada de 9,71%, Tasa Cupón de 12,25% nominal anual fija con pagos semestrales, a ser redimidos el 10-08-2011.</t>
  </si>
  <si>
    <t>z3)  El  09-12-2004, se colocó S/. 19,5 millones de los denominados "Bonos Soberanos 13JUL2019 - VAC", Tasa spread estimada de 6,60% +VAC, tasa cupín de 7,40%+VAC con pagos semestrales, a ser redimidos el 13-07-2019.</t>
  </si>
  <si>
    <t>24/</t>
  </si>
  <si>
    <r>
      <t xml:space="preserve">24/ </t>
    </r>
    <r>
      <rPr>
        <sz val="9"/>
        <rFont val="Arial"/>
        <family val="2"/>
      </rPr>
      <t xml:space="preserve">Comisión de 1,44% efectiva pagadera bimestralmente a cargo de EGECEN </t>
    </r>
  </si>
  <si>
    <t>D.S. Nº 188-2005-EF</t>
  </si>
  <si>
    <t>Bco. Continental</t>
  </si>
  <si>
    <t xml:space="preserve">Operac.de End. Interno (Arrendto Fciero.) para financiar el </t>
  </si>
  <si>
    <t>del Perú"</t>
  </si>
  <si>
    <t xml:space="preserve">Proyec. "Reabst. en el Mar buques de la Marina de Guerra </t>
  </si>
  <si>
    <t>M.Guerra</t>
  </si>
  <si>
    <t>4 meses</t>
  </si>
  <si>
    <t>TEA 8,27%</t>
  </si>
  <si>
    <t>D.S. 055-2005-EF</t>
  </si>
  <si>
    <t>Garantía del Gobierno Nacional a la emisión de Bonos de Recoc. y Compl. de la ONP</t>
  </si>
  <si>
    <t>-,-</t>
  </si>
  <si>
    <t>28/</t>
  </si>
  <si>
    <t>D.S. 014-2005-EF</t>
  </si>
  <si>
    <t>Emisión interna de Bonos Soberanos 2005</t>
  </si>
  <si>
    <t>25/</t>
  </si>
  <si>
    <r>
      <t>25/</t>
    </r>
    <r>
      <rPr>
        <sz val="9"/>
        <rFont val="Arial"/>
        <family val="2"/>
      </rPr>
      <t xml:space="preserve"> Emisión autorizada por D.S. Nº 014-2005-EF (Modificada por el D. S. 073-2005-EF), hasta por S/. 2 090,0 millones, en el marco del "Programa Creadores de Mercado". Con cargo a dicha autorización se emitió S/. 2 013,4 millones</t>
    </r>
  </si>
  <si>
    <t>(En miles de Unidades Monetarias)</t>
  </si>
  <si>
    <t>D.S. Nº 018-2006-EF</t>
  </si>
  <si>
    <t>D.S. Nº 053-2006-EF</t>
  </si>
  <si>
    <t>Emisión interna de Bonos Soberanos 2006</t>
  </si>
  <si>
    <t>D.S. Nº 011-2007-EF</t>
  </si>
  <si>
    <t>D.S. Nº 048-2007-EF</t>
  </si>
  <si>
    <t>Emisión interna de Bonos Soberanos 2007</t>
  </si>
  <si>
    <t>Garantía del Gobierno Nacional a la emisión de Bonos de Recon. y Compl. de la ONP</t>
  </si>
  <si>
    <t>Núcleo Básico Eficaz del Ministerio de Defensa</t>
  </si>
  <si>
    <t>Mº DEF.</t>
  </si>
  <si>
    <r>
      <t>26/</t>
    </r>
    <r>
      <rPr>
        <b/>
        <sz val="9"/>
        <rFont val="Arial"/>
        <family val="2"/>
      </rPr>
      <t xml:space="preserve"> </t>
    </r>
    <r>
      <rPr>
        <sz val="9"/>
        <rFont val="Arial"/>
        <family val="2"/>
      </rPr>
      <t xml:space="preserve">Se amortizará de acuerdo a las características de la  serie emitida. Al 31.12.06 se han emitido un total de S/ 2 131 999 000,00, en el marco del D.S. Nº 018-2006-EF </t>
    </r>
  </si>
  <si>
    <r>
      <t>27/</t>
    </r>
    <r>
      <rPr>
        <sz val="9"/>
        <rFont val="Arial"/>
        <family val="2"/>
      </rPr>
      <t xml:space="preserve"> Monto Ley End.  Nº 28928 - Ampliada por la Ley Nº 29035 en S/. 550 millones</t>
    </r>
  </si>
  <si>
    <t>26/</t>
  </si>
  <si>
    <r>
      <t xml:space="preserve">2007 </t>
    </r>
    <r>
      <rPr>
        <b/>
        <u/>
        <sz val="9"/>
        <color indexed="10"/>
        <rFont val="Arial"/>
        <family val="2"/>
      </rPr>
      <t>27</t>
    </r>
    <r>
      <rPr>
        <b/>
        <u/>
        <sz val="10"/>
        <color indexed="10"/>
        <rFont val="Arial"/>
        <family val="2"/>
      </rPr>
      <t>/</t>
    </r>
  </si>
  <si>
    <t>Emisión interna de Bonos Soberanos 2008</t>
  </si>
  <si>
    <r>
      <t xml:space="preserve">7% </t>
    </r>
    <r>
      <rPr>
        <sz val="10"/>
        <color indexed="10"/>
        <rFont val="Arial"/>
        <family val="2"/>
      </rPr>
      <t>2</t>
    </r>
    <r>
      <rPr>
        <b/>
        <sz val="10"/>
        <color indexed="10"/>
        <rFont val="Arial"/>
        <family val="2"/>
      </rPr>
      <t>9</t>
    </r>
    <r>
      <rPr>
        <b/>
        <sz val="8"/>
        <color indexed="10"/>
        <rFont val="Arial"/>
        <family val="2"/>
      </rPr>
      <t>/</t>
    </r>
  </si>
  <si>
    <r>
      <t xml:space="preserve">8 años </t>
    </r>
    <r>
      <rPr>
        <b/>
        <sz val="10"/>
        <color indexed="10"/>
        <rFont val="Arial"/>
        <family val="2"/>
      </rPr>
      <t>30</t>
    </r>
    <r>
      <rPr>
        <b/>
        <sz val="8"/>
        <color indexed="10"/>
        <rFont val="Arial"/>
        <family val="2"/>
      </rPr>
      <t>/</t>
    </r>
  </si>
  <si>
    <r>
      <t>D.S. Nº 218-2007-EF</t>
    </r>
    <r>
      <rPr>
        <b/>
        <sz val="10"/>
        <rFont val="Arial"/>
        <family val="2"/>
      </rPr>
      <t xml:space="preserve"> </t>
    </r>
    <r>
      <rPr>
        <b/>
        <sz val="10"/>
        <color indexed="10"/>
        <rFont val="Arial"/>
        <family val="2"/>
      </rPr>
      <t>31</t>
    </r>
    <r>
      <rPr>
        <b/>
        <sz val="8"/>
        <color indexed="10"/>
        <rFont val="Arial"/>
        <family val="2"/>
      </rPr>
      <t>/</t>
    </r>
  </si>
  <si>
    <r>
      <t>28/</t>
    </r>
    <r>
      <rPr>
        <b/>
        <sz val="9"/>
        <rFont val="Arial"/>
        <family val="2"/>
      </rPr>
      <t xml:space="preserve"> </t>
    </r>
    <r>
      <rPr>
        <sz val="9"/>
        <rFont val="Arial"/>
        <family val="2"/>
      </rPr>
      <t xml:space="preserve">Se amortizará de acuerdo a las características de la  serie emitida. Al 31.12.07 se ha emitido S/. 2 216,7 millones en el marco del D.S. Nº 011-2007-EF </t>
    </r>
  </si>
  <si>
    <r>
      <t>29/</t>
    </r>
    <r>
      <rPr>
        <sz val="9"/>
        <rFont val="Arial"/>
        <family val="2"/>
      </rPr>
      <t xml:space="preserve"> Efectiva Anual</t>
    </r>
  </si>
  <si>
    <r>
      <t>30/</t>
    </r>
    <r>
      <rPr>
        <sz val="9"/>
        <rFont val="Arial"/>
        <family val="2"/>
      </rPr>
      <t xml:space="preserve"> Mediante 32 cuotas trimestrales</t>
    </r>
  </si>
  <si>
    <r>
      <t>31/</t>
    </r>
    <r>
      <rPr>
        <sz val="9"/>
        <rFont val="Arial"/>
        <family val="2"/>
      </rPr>
      <t xml:space="preserve"> El servicio de la deuda será atendido por el MEF con cargo a los recursos del Fondo de Defensa creado por la Ley Nº 28455</t>
    </r>
  </si>
  <si>
    <t>32/</t>
  </si>
  <si>
    <r>
      <t xml:space="preserve">7,25% </t>
    </r>
    <r>
      <rPr>
        <sz val="9"/>
        <color indexed="10"/>
        <rFont val="Arial"/>
        <family val="2"/>
      </rPr>
      <t xml:space="preserve"> </t>
    </r>
    <r>
      <rPr>
        <b/>
        <sz val="9"/>
        <color indexed="10"/>
        <rFont val="Arial"/>
        <family val="2"/>
      </rPr>
      <t>29/</t>
    </r>
  </si>
  <si>
    <r>
      <t>7 años</t>
    </r>
    <r>
      <rPr>
        <b/>
        <sz val="9"/>
        <rFont val="Arial"/>
        <family val="2"/>
      </rPr>
      <t xml:space="preserve">  </t>
    </r>
    <r>
      <rPr>
        <b/>
        <sz val="9"/>
        <color indexed="10"/>
        <rFont val="Arial"/>
        <family val="2"/>
      </rPr>
      <t>33/</t>
    </r>
  </si>
  <si>
    <r>
      <t>33/</t>
    </r>
    <r>
      <rPr>
        <sz val="9"/>
        <rFont val="Arial"/>
        <family val="2"/>
      </rPr>
      <t xml:space="preserve"> Mediante 28 cuotas trimestrales</t>
    </r>
  </si>
  <si>
    <r>
      <t>32/</t>
    </r>
    <r>
      <rPr>
        <b/>
        <sz val="9"/>
        <rFont val="Arial"/>
        <family val="2"/>
      </rPr>
      <t xml:space="preserve"> </t>
    </r>
    <r>
      <rPr>
        <sz val="9"/>
        <rFont val="Arial"/>
        <family val="2"/>
      </rPr>
      <t xml:space="preserve">Se amortizará de acuerdo a las características de la  serie emitida. Al 31.12.08 se ha emitido S/. 1 227,0 millones en el marco del D.S. Nº 015-2008-EF </t>
    </r>
  </si>
  <si>
    <r>
      <t xml:space="preserve">D.S. Nº 143-2008-EF </t>
    </r>
    <r>
      <rPr>
        <b/>
        <sz val="9"/>
        <color indexed="10"/>
        <rFont val="Arial"/>
        <family val="2"/>
      </rPr>
      <t>31/</t>
    </r>
  </si>
  <si>
    <t>D.S. Nº 092-2008-EF</t>
  </si>
  <si>
    <r>
      <t xml:space="preserve">D.S. Nº 015-2008-EF </t>
    </r>
    <r>
      <rPr>
        <b/>
        <sz val="10"/>
        <color indexed="10"/>
        <rFont val="Arial"/>
        <family val="2"/>
      </rPr>
      <t>34</t>
    </r>
    <r>
      <rPr>
        <b/>
        <sz val="8"/>
        <color indexed="10"/>
        <rFont val="Arial"/>
        <family val="2"/>
      </rPr>
      <t>/</t>
    </r>
  </si>
  <si>
    <r>
      <t>34/</t>
    </r>
    <r>
      <rPr>
        <sz val="9"/>
        <rFont val="Arial"/>
        <family val="2"/>
      </rPr>
      <t xml:space="preserve"> Mediante el Art. 1º del D.S. Nº 153-2008-EF (10.12.08), se redujo en S/. 195 MM la emisíón de Bonos Soberanos autorizadospor el D. S. Nº 015-2008-EF (S/. 2 880,0 MM)</t>
    </r>
  </si>
  <si>
    <t>Emisión interna de Bonos Soberanos 2009</t>
  </si>
  <si>
    <t>31/12/209</t>
  </si>
  <si>
    <t>Banco Nación</t>
  </si>
  <si>
    <t>Adq. Inmueble Misión Diplomática del Perú en la ciudad de Bogotá</t>
  </si>
  <si>
    <t>Proyecto "Mejoramiento y Ampliación de la Boca de Entrada al Terminal Portuario del Callao"</t>
  </si>
  <si>
    <t>Tercer Tramo "Núcleo Básico de Defensa"</t>
  </si>
  <si>
    <t>APN</t>
  </si>
  <si>
    <t>RREE</t>
  </si>
  <si>
    <t>35/</t>
  </si>
  <si>
    <t>37/</t>
  </si>
  <si>
    <t>38/</t>
  </si>
  <si>
    <t>D.S. Nº 032-2009-EF</t>
  </si>
  <si>
    <t>D.S. Nº 118-2009-EF</t>
  </si>
  <si>
    <t>D.S. Nº 205-2009-EF</t>
  </si>
  <si>
    <t>D.S. Nº 316-2009-EF</t>
  </si>
  <si>
    <t>D.S. Nº 204-2009-EF</t>
  </si>
  <si>
    <t>D.S. Nº 059-2010-EF</t>
  </si>
  <si>
    <t>D.S. Nº 090-2010-EF</t>
  </si>
  <si>
    <t>Emisión interna de Bonos Soberanos 2010</t>
  </si>
  <si>
    <t>Garantía del Gobierno Nacional a la emisión de Bonos de Reconocimiento y Complementarios de la ONP</t>
  </si>
  <si>
    <t>39/</t>
  </si>
  <si>
    <r>
      <rPr>
        <b/>
        <sz val="9"/>
        <color indexed="10"/>
        <rFont val="Arial"/>
        <family val="2"/>
      </rPr>
      <t xml:space="preserve">39/ </t>
    </r>
    <r>
      <rPr>
        <sz val="9"/>
        <rFont val="Arial"/>
        <family val="2"/>
      </rPr>
      <t xml:space="preserve">Se amortizará de acuerdo a las características de la  serie emitida. Al 31.12.10 se ha emitido S/. 1 140,0 millones en el marco del D.S. Nº 059-2010-EF </t>
    </r>
  </si>
  <si>
    <t>D.S. Nº149-2010-EF</t>
  </si>
  <si>
    <t>D.S. Nº 271-2010-EF</t>
  </si>
  <si>
    <t>Adquisición de equipamiento militar para operaciones en la zona del Valle de los Ríos Apurímac y ENE (VRAE)</t>
  </si>
  <si>
    <t>Proyecto "Mejoramiento de la Av. Néstor Gambetta-Callao"</t>
  </si>
  <si>
    <t>GR.-Callao</t>
  </si>
  <si>
    <r>
      <rPr>
        <b/>
        <sz val="9"/>
        <color indexed="10"/>
        <rFont val="Arial"/>
        <family val="2"/>
      </rPr>
      <t>41/</t>
    </r>
    <r>
      <rPr>
        <b/>
        <sz val="9"/>
        <rFont val="Arial"/>
        <family val="2"/>
      </rPr>
      <t xml:space="preserve"> </t>
    </r>
    <r>
      <rPr>
        <sz val="9"/>
        <rFont val="Arial"/>
        <family val="2"/>
      </rPr>
      <t>Será amortizado el 12.02.12 con cargo a la emisón de Bonos Soberanos a ser emitidos en el marco de lo dispuesto por el Art. 2º del D.S. Nº 149-2010-EF.</t>
    </r>
  </si>
  <si>
    <t>40/</t>
  </si>
  <si>
    <t>41/</t>
  </si>
  <si>
    <t>DIRECCION GENERAL DE ENDEUDAMIENTO Y TESORO PÚBLICO</t>
  </si>
  <si>
    <t>D.S. Nº 026-2011-EF</t>
  </si>
  <si>
    <t>Bonistas</t>
  </si>
  <si>
    <t>Emisión interna de Bonos Soberanos 2011</t>
  </si>
  <si>
    <t>D.S. Nº 064-2011-EF</t>
  </si>
  <si>
    <t>D.S. Nº 134-2011-EF</t>
  </si>
  <si>
    <t>Adquisición de un resonador magnético para el Centro Médico Naval y de una flota de trasporte pesado para los centros educativos y de formación naval.</t>
  </si>
  <si>
    <t>D.S. Nº 247-2011-EF</t>
  </si>
  <si>
    <t>Proyecto "Mejoramiento de la Av. Néstor Gambetta - Callao"</t>
  </si>
  <si>
    <t>42/</t>
  </si>
  <si>
    <t>43/</t>
  </si>
  <si>
    <t>44/</t>
  </si>
  <si>
    <t>45/</t>
  </si>
  <si>
    <t>D.S. Nº 065-2012-EF</t>
  </si>
  <si>
    <t>Garatía del Gobierno Nacional a la emisión de Bonos de Reconocimiento y Complementarios de la ONP durante el año 2012.</t>
  </si>
  <si>
    <t>Emisión Externa  y/o interna de Bonos</t>
  </si>
  <si>
    <t>D.S. Nº 020-2012-EF</t>
  </si>
  <si>
    <t>B.Nación</t>
  </si>
  <si>
    <t>Proyecto "Recuperación del  Servicio de Instrucción Básica de vuelos de Aeronaves de Ala Fija en la FAP- Grupo Aéreo Nº 51 en la Base Cap. FAP Renán Elías Olivera"</t>
  </si>
  <si>
    <t>MINDEF</t>
  </si>
  <si>
    <t>4,30%</t>
  </si>
  <si>
    <t>4.5 años</t>
  </si>
  <si>
    <t xml:space="preserve">            D.S. Nº 263-2012-EF</t>
  </si>
  <si>
    <t>Requerimientos denominados "Requerimientos Intermedios" e "Implementación, mantenimiento y equipamaiento de unidades militares en el VRAEM"</t>
  </si>
  <si>
    <t>TIEA 3,9%</t>
  </si>
  <si>
    <t>3.5 años</t>
  </si>
  <si>
    <t xml:space="preserve">            D.S. Nº 261-2012-EF</t>
  </si>
  <si>
    <t xml:space="preserve">            D.S. Nº 286-2012-EF</t>
  </si>
  <si>
    <t xml:space="preserve">            D.S. Nº 287-2012-EF</t>
  </si>
  <si>
    <t>Proyecto"Ampliación de los Servicios en la Facultad de Industrias Alimentarias-UNAP-en el Caserío Zungarococha-San Juan Bautista-Maynas-Loreto"</t>
  </si>
  <si>
    <t>Cartera de Veintiseis (26) Proyectos de Inversión Pública para el Gobierno Regional del Departamento de Apurímac</t>
  </si>
  <si>
    <t>Cartera de Once (11) Proyectos de Inversión Pública para la  Municipalidad Provincial de Abancay</t>
  </si>
  <si>
    <t>UNAP</t>
  </si>
  <si>
    <t>G.R.Apurimac</t>
  </si>
  <si>
    <t>MP. Abancay/MD.Curahuasi</t>
  </si>
  <si>
    <t>4años</t>
  </si>
  <si>
    <t>47/</t>
  </si>
  <si>
    <t>46/</t>
  </si>
  <si>
    <r>
      <rPr>
        <b/>
        <sz val="9"/>
        <color indexed="10"/>
        <rFont val="Arial"/>
        <family val="2"/>
      </rPr>
      <t>46/</t>
    </r>
    <r>
      <rPr>
        <b/>
        <sz val="9"/>
        <rFont val="Arial"/>
        <family val="2"/>
      </rPr>
      <t xml:space="preserve"> </t>
    </r>
    <r>
      <rPr>
        <sz val="9"/>
        <rFont val="Arial"/>
        <family val="2"/>
      </rPr>
      <t>Se amortizará de acuerdo a las características de la  serie emitida. Al 31.12.2012 se han emitido  el total autorizado.</t>
    </r>
  </si>
  <si>
    <t>48/</t>
  </si>
  <si>
    <t>49/</t>
  </si>
  <si>
    <t xml:space="preserve">            D.S. Nº 211-2012-EF</t>
  </si>
  <si>
    <t xml:space="preserve">     D.S. Nº 084-2013-EF</t>
  </si>
  <si>
    <t>Garatía del Gobierno Nacional a la emisión de Bonos de Reconocimiento y Complementarios de la ONP durante el año 2013.</t>
  </si>
  <si>
    <t xml:space="preserve">         D.S. Nº 224-2013-EF</t>
  </si>
  <si>
    <t>Emisión Interna de Bonos Soberanos para financiar PIPs que se encuentran en ejecución de los GR y GL.</t>
  </si>
  <si>
    <t xml:space="preserve">         D. S. Nº 235-2013-EF</t>
  </si>
  <si>
    <t xml:space="preserve">         D. S. Nº 267-2013-EF</t>
  </si>
  <si>
    <t xml:space="preserve">         D. S. Nº 358-2013-EF</t>
  </si>
  <si>
    <t xml:space="preserve">         D. S. Nº 359-2013-EF</t>
  </si>
  <si>
    <t>B. Nación</t>
  </si>
  <si>
    <t>Proyectos M.P Cotabambas/Proyectos M.D. de Chalhuahuacho</t>
  </si>
  <si>
    <t>Primera Etapa de la Fase I de Siete PIP's</t>
  </si>
  <si>
    <t>Requerimientos del Ministerio de Defensa</t>
  </si>
  <si>
    <t>Financiar parte de ocho componentes de Propyecto de Inversión a cargo del Ministerio de Defensa</t>
  </si>
  <si>
    <t>M.P. Cotabambas/M.D- Chalhuahuacho</t>
  </si>
  <si>
    <t>4,65% IEA</t>
  </si>
  <si>
    <t>5,36%</t>
  </si>
  <si>
    <r>
      <t>51/</t>
    </r>
    <r>
      <rPr>
        <b/>
        <sz val="9"/>
        <rFont val="Arial"/>
        <family val="2"/>
      </rPr>
      <t xml:space="preserve"> </t>
    </r>
    <r>
      <rPr>
        <sz val="9"/>
        <rFont val="Arial"/>
        <family val="2"/>
      </rPr>
      <t xml:space="preserve">Se amortizará de acuerdo a las características de la  serie emitida. </t>
    </r>
  </si>
  <si>
    <t>51/</t>
  </si>
  <si>
    <r>
      <t>52/</t>
    </r>
    <r>
      <rPr>
        <sz val="9"/>
        <rFont val="Arial"/>
        <family val="2"/>
      </rPr>
      <t xml:space="preserve"> Se pagara en una sola cuota que vencerá el 05.01.2017</t>
    </r>
  </si>
  <si>
    <r>
      <t>53/</t>
    </r>
    <r>
      <rPr>
        <sz val="9"/>
        <rFont val="Arial"/>
        <family val="2"/>
      </rPr>
      <t xml:space="preserve"> Se pagara en una sola cuota que vencerá el 05.07.2017</t>
    </r>
  </si>
  <si>
    <t>52/</t>
  </si>
  <si>
    <t>53/</t>
  </si>
  <si>
    <t xml:space="preserve">Emisión de Bonos Soberanos </t>
  </si>
  <si>
    <t xml:space="preserve">         D.S. Nº 098-2014-EF</t>
  </si>
  <si>
    <t xml:space="preserve">         D.S. Nº 126-2014-EF</t>
  </si>
  <si>
    <t xml:space="preserve">         D.S. Nº 318-2014-EF</t>
  </si>
  <si>
    <t xml:space="preserve">         D.S. Nº 330-2014-EF</t>
  </si>
  <si>
    <t xml:space="preserve">         D.S. Nº 331-2014-EF</t>
  </si>
  <si>
    <t xml:space="preserve">         D.S. Nº 361-2014-EF</t>
  </si>
  <si>
    <t xml:space="preserve">         D.S. Nº 250-2014-EF</t>
  </si>
  <si>
    <t xml:space="preserve">         D.S. Nº 373-2014-EF</t>
  </si>
  <si>
    <t>Proyecto Línea 2 del Metro de Lima</t>
  </si>
  <si>
    <t>Financiamiento de Proyectos de Inversión Pública a cargo de Gobiernos Regionales</t>
  </si>
  <si>
    <t>Proyectos varios de las M.D. de Coyllurqui, Haquira, Challhuahuacho y Cotambambas</t>
  </si>
  <si>
    <t>PIPs. Municipalidad Provincial de Chincheros</t>
  </si>
  <si>
    <t>PIPs. Municipalidad Provincial de Andahuaylas</t>
  </si>
  <si>
    <t>Segunda Etapa de la Primera Fase de 04 (cuatro) Proyectos de Inversión Pública a cargo del Ministerio de Defensa</t>
  </si>
  <si>
    <t>Cinco proyectos de inversión pública</t>
  </si>
  <si>
    <t>AATE/MEF</t>
  </si>
  <si>
    <t>La República</t>
  </si>
  <si>
    <t>M.P. de Grau</t>
  </si>
  <si>
    <t>M.Distritales de Apurimac</t>
  </si>
  <si>
    <t>M.P.Chincheros</t>
  </si>
  <si>
    <t>M.P de Andahuaylas</t>
  </si>
  <si>
    <t>M.Defensa</t>
  </si>
  <si>
    <t>4,67%</t>
  </si>
  <si>
    <t>4,43%</t>
  </si>
  <si>
    <t>5,17%</t>
  </si>
  <si>
    <t>Garatía del Gobierno Nacional a la emisión de Bonos de Reconocimiento y Complementarios de la ONP durante el año 2014.</t>
  </si>
  <si>
    <t xml:space="preserve">         Ley Nº 30116 </t>
  </si>
  <si>
    <t xml:space="preserve">         Ley Nº 30116</t>
  </si>
  <si>
    <t xml:space="preserve">         D.S. Nº 099-2014-EF</t>
  </si>
  <si>
    <t xml:space="preserve">         D.S. Nº 322-2015-EF</t>
  </si>
  <si>
    <t>Proyecto "Construcción de la vía Costa Verde Tramo Callao"</t>
  </si>
  <si>
    <t>G.R. Callao</t>
  </si>
  <si>
    <t>AATE</t>
  </si>
  <si>
    <t xml:space="preserve">         D.S. Nº 095-2015-EF</t>
  </si>
  <si>
    <t>Otorgamiento de la garantía del Gobieno Nacional  a los Bonos de Reconocimiento y Complementarios que la ONP emita en el año fiscal 2015.</t>
  </si>
  <si>
    <t xml:space="preserve">         D.S. Nº 254-2015-EF</t>
  </si>
  <si>
    <t xml:space="preserve">         D.S. Nº 280-2015-EF</t>
  </si>
  <si>
    <t>Proyecto Inversión Pública del MINDEF</t>
  </si>
  <si>
    <t>Dos Proyecto Inversión Pública del MINDEF</t>
  </si>
  <si>
    <t>4.65%</t>
  </si>
  <si>
    <r>
      <rPr>
        <b/>
        <sz val="9"/>
        <color indexed="10"/>
        <rFont val="Arial"/>
        <family val="2"/>
      </rPr>
      <t>50</t>
    </r>
    <r>
      <rPr>
        <sz val="9"/>
        <color indexed="10"/>
        <rFont val="Arial"/>
        <family val="2"/>
      </rPr>
      <t>/</t>
    </r>
    <r>
      <rPr>
        <sz val="9"/>
        <rFont val="Arial"/>
        <family val="2"/>
      </rPr>
      <t xml:space="preserve"> Emisión autorizada, en uno o más tramos,  por la Primera Disposición Complementaria y Transitoria de la Ley Nº 29953. Los montos de esta autorización pueden reasignarse a los montos previstos en el literal b) del numeral 4.1 del artículo 4º de la referida Ley. Durante el año 2012 se prefinanció, de conformidad con lo  dispuesto en  el segundo párrafo  de la Primera Disposición Complementaria y Transitoria  de la Ley Nº 29814- Ley de Endeudamiento del S. Público para el Año Fiscal 2012, una parte de los requerimientos del Sector Público No Financiero del año 2013, un monto de S/.  368 493 000,00; quedado un saldo por emitir durante el presente año de S/. 966 507 000,00 con cargo a la referida autorización de la Ley Nº 29953. Con cargo a dicho saldo se ha emiitido, al 31.12.2013, S/. 809,46 millones. </t>
    </r>
  </si>
  <si>
    <r>
      <t>54/</t>
    </r>
    <r>
      <rPr>
        <sz val="9"/>
        <rFont val="Arial"/>
        <family val="2"/>
      </rPr>
      <t xml:space="preserve"> Se pagara en una sola cuota que vencerá el 05.01.2019</t>
    </r>
  </si>
  <si>
    <t>54/</t>
  </si>
  <si>
    <t>55/</t>
  </si>
  <si>
    <r>
      <rPr>
        <b/>
        <sz val="9"/>
        <color indexed="10"/>
        <rFont val="Arial"/>
        <family val="2"/>
      </rPr>
      <t>56/</t>
    </r>
    <r>
      <rPr>
        <sz val="9"/>
        <rFont val="Arial"/>
        <family val="2"/>
      </rPr>
      <t xml:space="preserve"> El principal del préstamo será integramente cancelado en una cuota el 05.07.2018.</t>
    </r>
  </si>
  <si>
    <r>
      <t>55/</t>
    </r>
    <r>
      <rPr>
        <sz val="9"/>
        <rFont val="Arial"/>
        <family val="2"/>
      </rPr>
      <t xml:space="preserve"> Se pagara en una sola cuota que vencerá el 05.01.2018</t>
    </r>
  </si>
  <si>
    <t>56/</t>
  </si>
  <si>
    <r>
      <rPr>
        <b/>
        <sz val="9"/>
        <color indexed="10"/>
        <rFont val="Arial"/>
        <family val="2"/>
      </rPr>
      <t>3</t>
    </r>
    <r>
      <rPr>
        <b/>
        <sz val="9"/>
        <color indexed="10"/>
        <rFont val="Arial"/>
        <family val="2"/>
      </rPr>
      <t>5/</t>
    </r>
    <r>
      <rPr>
        <b/>
        <sz val="9"/>
        <rFont val="Arial"/>
        <family val="2"/>
      </rPr>
      <t xml:space="preserve"> </t>
    </r>
    <r>
      <rPr>
        <sz val="9"/>
        <rFont val="Arial"/>
        <family val="2"/>
      </rPr>
      <t xml:space="preserve">Se amortizará de acuerdo a las características de la  serie emitida. Al 31.12.09 se ha emitido S/. 1,401,0 millones en el marco del D.S. Nº 032-2009-EF </t>
    </r>
  </si>
  <si>
    <r>
      <rPr>
        <b/>
        <sz val="9"/>
        <color indexed="10"/>
        <rFont val="Arial"/>
        <family val="2"/>
      </rPr>
      <t>36/</t>
    </r>
    <r>
      <rPr>
        <b/>
        <sz val="9"/>
        <rFont val="Arial"/>
        <family val="2"/>
      </rPr>
      <t xml:space="preserve"> </t>
    </r>
    <r>
      <rPr>
        <sz val="9"/>
        <rFont val="Arial"/>
        <family val="2"/>
      </rPr>
      <t>Se amortizará en 24 cuotas trimestrales.</t>
    </r>
  </si>
  <si>
    <r>
      <rPr>
        <b/>
        <sz val="9"/>
        <color indexed="10"/>
        <rFont val="Arial"/>
        <family val="2"/>
      </rPr>
      <t>3</t>
    </r>
    <r>
      <rPr>
        <b/>
        <sz val="9"/>
        <color indexed="10"/>
        <rFont val="Arial"/>
        <family val="2"/>
      </rPr>
      <t xml:space="preserve">7/ </t>
    </r>
    <r>
      <rPr>
        <sz val="9"/>
        <rFont val="Arial"/>
        <family val="2"/>
      </rPr>
      <t xml:space="preserve">Se amortizará en 8 años mediante cuotas mensuales iguales y consecutivas, a partir del primer desembolso. </t>
    </r>
  </si>
  <si>
    <r>
      <rPr>
        <b/>
        <sz val="9"/>
        <color indexed="10"/>
        <rFont val="Arial"/>
        <family val="2"/>
      </rPr>
      <t>38/</t>
    </r>
    <r>
      <rPr>
        <b/>
        <sz val="9"/>
        <rFont val="Arial"/>
        <family val="2"/>
      </rPr>
      <t xml:space="preserve"> </t>
    </r>
    <r>
      <rPr>
        <sz val="9"/>
        <rFont val="Arial"/>
        <family val="2"/>
      </rPr>
      <t xml:space="preserve">Se amortizará en 11 cuotas semestrales, iguales y consecutivas a partir del primer desembolso. </t>
    </r>
  </si>
  <si>
    <r>
      <rPr>
        <b/>
        <sz val="9"/>
        <color indexed="10"/>
        <rFont val="Arial"/>
        <family val="2"/>
      </rPr>
      <t>40</t>
    </r>
    <r>
      <rPr>
        <b/>
        <sz val="9"/>
        <color indexed="10"/>
        <rFont val="Arial"/>
        <family val="2"/>
      </rPr>
      <t>/</t>
    </r>
    <r>
      <rPr>
        <b/>
        <sz val="9"/>
        <rFont val="Arial"/>
        <family val="2"/>
      </rPr>
      <t xml:space="preserve"> </t>
    </r>
    <r>
      <rPr>
        <sz val="9"/>
        <rFont val="Arial"/>
        <family val="2"/>
      </rPr>
      <t>Devengará una tasa de interés de 2,05% efectiva anual, los cuales serán pagados semestralmente a partir del 12.02.11.</t>
    </r>
  </si>
  <si>
    <r>
      <rPr>
        <b/>
        <sz val="9"/>
        <color indexed="10"/>
        <rFont val="Arial"/>
        <family val="2"/>
      </rPr>
      <t>42/</t>
    </r>
    <r>
      <rPr>
        <b/>
        <sz val="9"/>
        <rFont val="Arial"/>
        <family val="2"/>
      </rPr>
      <t xml:space="preserve"> </t>
    </r>
    <r>
      <rPr>
        <sz val="9"/>
        <rFont val="Arial"/>
        <family val="2"/>
      </rPr>
      <t>Se amortizará de acuerdo a las características de la  serie emitida. Al 31.12.2011 se han emitido S/. 1 146,37 millones con cargo al monto autorizado mediante el D.S. Nº 026-2011-EF.</t>
    </r>
  </si>
  <si>
    <r>
      <rPr>
        <b/>
        <sz val="9"/>
        <color indexed="10"/>
        <rFont val="Arial"/>
        <family val="2"/>
      </rPr>
      <t>43/</t>
    </r>
    <r>
      <rPr>
        <b/>
        <sz val="9"/>
        <rFont val="Arial"/>
        <family val="2"/>
      </rPr>
      <t xml:space="preserve"> </t>
    </r>
    <r>
      <rPr>
        <sz val="9"/>
        <rFont val="Arial"/>
        <family val="2"/>
      </rPr>
      <t xml:space="preserve">Durante el período de desembolso devengará una TEA equivalente a la tasa de referencia del BCRP que se encuentre vigente en la fecha de cada desembolso, más 10 pb. Al finalizar el período de desembolso se determinará una tasa fija hasta la cancelación del préstamo, la cual será equivalente a aquella que corresponda a un bono soberano de similar vida media más 40 pb. </t>
    </r>
  </si>
  <si>
    <r>
      <rPr>
        <b/>
        <sz val="9"/>
        <color indexed="10"/>
        <rFont val="Arial"/>
        <family val="2"/>
      </rPr>
      <t>45/</t>
    </r>
    <r>
      <rPr>
        <sz val="9"/>
        <rFont val="Arial"/>
        <family val="2"/>
      </rPr>
      <t xml:space="preserve"> Pago bullet que vence el 03/01/2013</t>
    </r>
  </si>
  <si>
    <r>
      <rPr>
        <b/>
        <sz val="9"/>
        <color indexed="10"/>
        <rFont val="Arial"/>
        <family val="2"/>
      </rPr>
      <t>47/</t>
    </r>
    <r>
      <rPr>
        <b/>
        <sz val="9"/>
        <rFont val="Arial"/>
        <family val="2"/>
      </rPr>
      <t xml:space="preserve"> </t>
    </r>
    <r>
      <rPr>
        <sz val="9"/>
        <rFont val="Arial"/>
        <family val="2"/>
      </rPr>
      <t xml:space="preserve">Se amortizará en una sola cuota que vencerá el 03.07.17. </t>
    </r>
  </si>
  <si>
    <r>
      <rPr>
        <b/>
        <sz val="9"/>
        <color indexed="10"/>
        <rFont val="Arial"/>
        <family val="2"/>
      </rPr>
      <t>48/</t>
    </r>
    <r>
      <rPr>
        <b/>
        <sz val="9"/>
        <rFont val="Arial"/>
        <family val="2"/>
      </rPr>
      <t xml:space="preserve"> </t>
    </r>
    <r>
      <rPr>
        <sz val="9"/>
        <rFont val="Arial"/>
        <family val="2"/>
      </rPr>
      <t xml:space="preserve">Se amortizará en una sola cuota que vencerá el 04.07.16. </t>
    </r>
  </si>
  <si>
    <r>
      <rPr>
        <b/>
        <sz val="9"/>
        <color indexed="10"/>
        <rFont val="Arial"/>
        <family val="2"/>
      </rPr>
      <t>49/</t>
    </r>
    <r>
      <rPr>
        <b/>
        <sz val="9"/>
        <rFont val="Arial"/>
        <family val="2"/>
      </rPr>
      <t xml:space="preserve"> </t>
    </r>
    <r>
      <rPr>
        <sz val="9"/>
        <rFont val="Arial"/>
        <family val="2"/>
      </rPr>
      <t xml:space="preserve">Se amortizará en una sola cuota que vencerá el 05.01.16. </t>
    </r>
  </si>
  <si>
    <r>
      <rPr>
        <b/>
        <sz val="9"/>
        <color indexed="10"/>
        <rFont val="Arial"/>
        <family val="2"/>
      </rPr>
      <t>57/</t>
    </r>
    <r>
      <rPr>
        <sz val="9"/>
        <rFont val="Arial"/>
        <family val="2"/>
      </rPr>
      <t xml:space="preserve"> Emisión autorizada, en uno o más tramos,  por la Primera Disposición Complementaria y Transitoria de la Ley Nº 30283. La citada emisión interna de bonos está sujeta a lo dispuesto en el Reglamento del Programa de Creadores de Mercado  y en el Reglamento de Bonos Soberanos, vigentes.</t>
    </r>
  </si>
  <si>
    <t xml:space="preserve">        D.S.Nº039-2016-EF</t>
  </si>
  <si>
    <t>Proyectos varios</t>
  </si>
  <si>
    <t>Garantía del Gobierno Nacional a la emisión de Bonos ONP en el año 2016</t>
  </si>
  <si>
    <t xml:space="preserve">        D.S.Nº 378-2016-EF</t>
  </si>
  <si>
    <t>Financiamiento de 24 proyectos de inversión pública a cargo del Gobierno Regional de Cajamarca</t>
  </si>
  <si>
    <t>G.R. Cajamarca</t>
  </si>
  <si>
    <t>G.R. Cajamarca/MEF</t>
  </si>
  <si>
    <t xml:space="preserve">        D.S.Nº279-2016-EF</t>
  </si>
  <si>
    <t>GGRR/GGLL</t>
  </si>
  <si>
    <r>
      <rPr>
        <b/>
        <sz val="9"/>
        <color indexed="10"/>
        <rFont val="Arial"/>
        <family val="2"/>
      </rPr>
      <t>58/</t>
    </r>
    <r>
      <rPr>
        <b/>
        <sz val="9"/>
        <rFont val="Arial"/>
        <family val="2"/>
      </rPr>
      <t xml:space="preserve"> </t>
    </r>
    <r>
      <rPr>
        <sz val="9"/>
        <rFont val="Arial"/>
        <family val="2"/>
      </rPr>
      <t xml:space="preserve">Emisión autorizada, en uno o más tramos,  por la Única Disposición Complementaria y Transitoria de la Ley Nº 30374. La citada emisión interna de bonos está sujeta a lo dispuesto en el Reglamento del Programa de Creadores de Mercado  y en el Reglamento de Bonos Soberanos, vigentes. </t>
    </r>
  </si>
  <si>
    <r>
      <rPr>
        <b/>
        <sz val="9"/>
        <color indexed="10"/>
        <rFont val="Arial"/>
        <family val="2"/>
      </rPr>
      <t xml:space="preserve">59/ </t>
    </r>
    <r>
      <rPr>
        <sz val="9"/>
        <rFont val="Arial"/>
        <family val="2"/>
      </rPr>
      <t xml:space="preserve"> Emisión externa de bonos autorizada por el primer párrafo de la Única Disposición Complementaria y Transitoria de la Ley Nº 30374. Dicho monto ha  sido reasignado al PAC DI 2016 en virtud de lo  dispuesto por el nuemral 4.3 del artículo 4 de la Ley Nº 30374, y conforme a lo señalado en el segundo párrafo de la mencionada Disposición, en el que se señala que "Cuando el monto de endeudamiento previsto en el párrafo anterior se reasigne a operaciones de endeudamiento interno, apruébase la emisión interna de bonos que, en una o más colocaciones, puede efectuar el Gobierno Nacional hasta por el monto resultante de la recomposición de los montos de endeudamiento previstos en el artículo 4 de la presente Ley."</t>
    </r>
  </si>
  <si>
    <r>
      <rPr>
        <b/>
        <sz val="9"/>
        <color indexed="10"/>
        <rFont val="Arial"/>
        <family val="2"/>
      </rPr>
      <t>60/</t>
    </r>
    <r>
      <rPr>
        <b/>
        <sz val="9"/>
        <rFont val="Arial"/>
        <family val="2"/>
      </rPr>
      <t xml:space="preserve"> </t>
    </r>
    <r>
      <rPr>
        <sz val="9"/>
        <rFont val="Arial"/>
        <family val="2"/>
      </rPr>
      <t xml:space="preserve">Emisión autorizada, en uno o más tramos,  por la Única Disposición Complementaria y Transitoria de la Ley Nº 30374. El citado monto fue emitido en el año 2015 como prefinaciamiento del año 2016. </t>
    </r>
  </si>
  <si>
    <t xml:space="preserve">      (i) S/ 281 678 070 para los Bonos de Reconocimiento</t>
  </si>
  <si>
    <r>
      <rPr>
        <b/>
        <sz val="9"/>
        <color indexed="10"/>
        <rFont val="Arial"/>
        <family val="2"/>
      </rPr>
      <t>44</t>
    </r>
    <r>
      <rPr>
        <sz val="9"/>
        <rFont val="Arial"/>
        <family val="2"/>
      </rPr>
      <t>/ TIEA equivalente a la tasa de referencia establecida por el BCRP que se encuentre vigente en la fecha de cada desembolso, más 10 pb. Se pagarán semestralmente el 03/01/2012,03/07/2012 y 03/01/2013</t>
    </r>
  </si>
  <si>
    <r>
      <t xml:space="preserve">21/  </t>
    </r>
    <r>
      <rPr>
        <sz val="9"/>
        <rFont val="Arial"/>
        <family val="2"/>
      </rPr>
      <t xml:space="preserve">Modifica el D.S. 112-2003-EF. De los 321 089 777 se destina de la siguiente manera: </t>
    </r>
  </si>
  <si>
    <r>
      <t xml:space="preserve">      </t>
    </r>
    <r>
      <rPr>
        <sz val="9"/>
        <rFont val="Arial"/>
        <family val="2"/>
      </rPr>
      <t>(ii) S/ 39 411 707 para los Bonos Complementarios</t>
    </r>
  </si>
  <si>
    <r>
      <t>22/</t>
    </r>
    <r>
      <rPr>
        <b/>
        <sz val="9"/>
        <rFont val="Arial"/>
        <family val="2"/>
      </rPr>
      <t xml:space="preserve"> </t>
    </r>
    <r>
      <rPr>
        <sz val="9"/>
        <rFont val="Arial"/>
        <family val="2"/>
      </rPr>
      <t xml:space="preserve"> De los S/. 220 millones autorizados a emitr, se colocó S/. 161,75 millones</t>
    </r>
  </si>
  <si>
    <r>
      <t>23/</t>
    </r>
    <r>
      <rPr>
        <b/>
        <sz val="9"/>
        <rFont val="Arial"/>
        <family val="2"/>
      </rPr>
      <t xml:space="preserve">  </t>
    </r>
    <r>
      <rPr>
        <sz val="9"/>
        <rFont val="Arial"/>
        <family val="2"/>
      </rPr>
      <t>De los 1 950 millones autorizados a emitirse, se emitió 1 905,8 millones</t>
    </r>
  </si>
  <si>
    <r>
      <t xml:space="preserve">1/ </t>
    </r>
    <r>
      <rPr>
        <sz val="9"/>
        <rFont val="Arial"/>
        <family val="2"/>
      </rPr>
      <t>Préstamo otorgado en I/. 60,000 millones</t>
    </r>
  </si>
  <si>
    <r>
      <t xml:space="preserve">2/ </t>
    </r>
    <r>
      <rPr>
        <sz val="9"/>
        <rFont val="Arial"/>
        <family val="2"/>
      </rPr>
      <t>Mediante el D:S. 200-90-EF se modifica el cronograma de desembolsos establecido en el Art. 2° del D.S. 142-90-EF</t>
    </r>
  </si>
  <si>
    <r>
      <t xml:space="preserve">3/ </t>
    </r>
    <r>
      <rPr>
        <sz val="9"/>
        <rFont val="Arial"/>
        <family val="2"/>
      </rPr>
      <t>Similar a la que pagó el BN por los depósitos de la Caja Militar y Policial más 1%</t>
    </r>
  </si>
  <si>
    <r>
      <t>4/</t>
    </r>
    <r>
      <rPr>
        <sz val="9"/>
        <rFont val="Arial"/>
        <family val="2"/>
      </rPr>
      <t xml:space="preserve"> Series A 1 año, B 2 años, C 3 años, D 4años,E 5 años</t>
    </r>
  </si>
  <si>
    <r>
      <t xml:space="preserve">5/ </t>
    </r>
    <r>
      <rPr>
        <sz val="9"/>
        <rFont val="Arial"/>
        <family val="2"/>
      </rPr>
      <t xml:space="preserve"> Series A 7 años, B 8 años, C 9 años, D 10años</t>
    </r>
  </si>
  <si>
    <r>
      <t xml:space="preserve">6/  </t>
    </r>
    <r>
      <rPr>
        <sz val="9"/>
        <rFont val="Arial"/>
        <family val="2"/>
      </rPr>
      <t>Condiciones Eximbank</t>
    </r>
  </si>
  <si>
    <r>
      <t xml:space="preserve">7/  </t>
    </r>
    <r>
      <rPr>
        <sz val="9"/>
        <rFont val="Arial"/>
        <family val="2"/>
      </rPr>
      <t>Derogado con el D.U. 025-99</t>
    </r>
  </si>
  <si>
    <r>
      <t xml:space="preserve">8/ </t>
    </r>
    <r>
      <rPr>
        <sz val="9"/>
        <rFont val="Arial"/>
        <family val="2"/>
      </rPr>
      <t>Mediante el D.U. 034-99-, se modifica las caracteristicas de los Bonos autorizados por el D.S. Nº 126-98-EF, con lo cual, estos Bonos seran para el Programa de Consolidación Patrimonial.</t>
    </r>
  </si>
  <si>
    <r>
      <t>9/</t>
    </r>
    <r>
      <rPr>
        <sz val="9"/>
        <rFont val="Arial"/>
        <family val="2"/>
      </rPr>
      <t xml:space="preserve"> Tasa mínima aplicada por Eximbank más una prima de riesgo mínima establecido por la OECD</t>
    </r>
  </si>
  <si>
    <r>
      <t xml:space="preserve">10/ </t>
    </r>
    <r>
      <rPr>
        <sz val="9"/>
        <rFont val="Arial"/>
        <family val="2"/>
      </rPr>
      <t>Entre cuatro y veinte cuotas semestrales dependiendo del monto de cada contrato aprobado.</t>
    </r>
  </si>
  <si>
    <r>
      <t xml:space="preserve">11/ </t>
    </r>
    <r>
      <rPr>
        <sz val="9"/>
        <rFont val="Arial"/>
        <family val="2"/>
      </rPr>
      <t>Definido al momento de cada colocación</t>
    </r>
  </si>
  <si>
    <r>
      <t>12/</t>
    </r>
    <r>
      <rPr>
        <sz val="9"/>
        <rFont val="Arial"/>
        <family val="2"/>
      </rPr>
      <t xml:space="preserve"> Devengará intereses a una  tasa efectiva anual equivalente al rendimiento de las inversiones en bonos del Fondo MIVIVIENDA, la cual será determinada semestralmente, por el Directorio para ser aplicada al cálculo de </t>
    </r>
  </si>
  <si>
    <r>
      <t xml:space="preserve">13/ </t>
    </r>
    <r>
      <rPr>
        <sz val="9"/>
        <rFont val="Arial"/>
        <family val="2"/>
      </rPr>
      <t>Desde la fecha de Suscripción  del Contrato (6-02-2003) hasta el 31-12-2003.</t>
    </r>
  </si>
  <si>
    <r>
      <t xml:space="preserve">14/ </t>
    </r>
    <r>
      <rPr>
        <sz val="9"/>
        <rFont val="Arial"/>
        <family val="2"/>
      </rPr>
      <t>Desde el 31-01-2004 hasta el 31-01-2006.</t>
    </r>
  </si>
  <si>
    <r>
      <t xml:space="preserve">15/ </t>
    </r>
    <r>
      <rPr>
        <sz val="9"/>
        <rFont val="Arial"/>
        <family val="2"/>
      </rPr>
      <t>Tasa de interés nominal anual fijada en la fecha de emisión.</t>
    </r>
  </si>
  <si>
    <r>
      <t>16/</t>
    </r>
    <r>
      <rPr>
        <sz val="9"/>
        <color indexed="8"/>
        <rFont val="Arial"/>
        <family val="2"/>
      </rPr>
      <t xml:space="preserve"> Se emitió el total autorizado (S/. 600,0 millones)</t>
    </r>
  </si>
  <si>
    <r>
      <t xml:space="preserve">17/ </t>
    </r>
    <r>
      <rPr>
        <sz val="9"/>
        <color indexed="8"/>
        <rFont val="Arial"/>
        <family val="2"/>
      </rPr>
      <t>Se emitió el total autorizado (</t>
    </r>
    <r>
      <rPr>
        <sz val="9"/>
        <rFont val="Arial"/>
        <family val="2"/>
      </rPr>
      <t>S/. 950 millones)</t>
    </r>
  </si>
  <si>
    <r>
      <t xml:space="preserve">6 años </t>
    </r>
    <r>
      <rPr>
        <b/>
        <sz val="10"/>
        <color indexed="10"/>
        <rFont val="Arial"/>
        <family val="2"/>
      </rPr>
      <t>36/</t>
    </r>
  </si>
  <si>
    <r>
      <t xml:space="preserve">         Ley Nº 29953</t>
    </r>
    <r>
      <rPr>
        <b/>
        <sz val="10"/>
        <rFont val="Arial"/>
        <family val="2"/>
      </rPr>
      <t xml:space="preserve"> </t>
    </r>
    <r>
      <rPr>
        <b/>
        <sz val="10"/>
        <color indexed="10"/>
        <rFont val="Arial"/>
        <family val="2"/>
      </rPr>
      <t>50/</t>
    </r>
  </si>
  <si>
    <r>
      <t xml:space="preserve">         Ley Nº 30283 </t>
    </r>
    <r>
      <rPr>
        <b/>
        <sz val="10"/>
        <color indexed="10"/>
        <rFont val="Arial"/>
        <family val="2"/>
      </rPr>
      <t>57/</t>
    </r>
  </si>
  <si>
    <r>
      <t xml:space="preserve">         Ley Nº 30374 </t>
    </r>
    <r>
      <rPr>
        <b/>
        <sz val="10"/>
        <color indexed="10"/>
        <rFont val="Arial"/>
        <family val="2"/>
      </rPr>
      <t>58/</t>
    </r>
  </si>
  <si>
    <r>
      <t xml:space="preserve">         Ley Nº 30374</t>
    </r>
    <r>
      <rPr>
        <b/>
        <sz val="10"/>
        <rFont val="Arial"/>
        <family val="2"/>
      </rPr>
      <t xml:space="preserve"> </t>
    </r>
    <r>
      <rPr>
        <b/>
        <sz val="10"/>
        <color indexed="10"/>
        <rFont val="Arial"/>
        <family val="2"/>
      </rPr>
      <t>59</t>
    </r>
    <r>
      <rPr>
        <sz val="10"/>
        <color indexed="10"/>
        <rFont val="Arial"/>
        <family val="2"/>
      </rPr>
      <t>/</t>
    </r>
  </si>
  <si>
    <r>
      <t xml:space="preserve">         Ley Nº 30374 </t>
    </r>
    <r>
      <rPr>
        <b/>
        <sz val="10"/>
        <color indexed="10"/>
        <rFont val="Arial"/>
        <family val="2"/>
      </rPr>
      <t>60/</t>
    </r>
  </si>
  <si>
    <r>
      <t xml:space="preserve">         Ley Nº 30520 </t>
    </r>
    <r>
      <rPr>
        <b/>
        <sz val="8"/>
        <rFont val="Arial"/>
        <family val="2"/>
      </rPr>
      <t>1/</t>
    </r>
  </si>
  <si>
    <t xml:space="preserve">        D.S. Nº 260-2017-EF</t>
  </si>
  <si>
    <t>D.S. Nº 048-2017-EF</t>
  </si>
  <si>
    <t>Cartera de proyectos de inversión de infraestructura vial, priorizados por el MTC</t>
  </si>
  <si>
    <t>Garantía del Gobierno Nacional a los Bonos de Reconocimiento y Complementarios que emita la ONP en el año 2017</t>
  </si>
  <si>
    <t>CONCERTACIONES INTERNAS   -     GOBIERNO CENTRAL  - 1990 - 2018</t>
  </si>
  <si>
    <t>D. S. Nº 316-2018-EF</t>
  </si>
  <si>
    <t>D. S. Nº 334-2018-EF</t>
  </si>
  <si>
    <t>Proyecto "Amplia.y Mej. Sist. Agua Potable y Alcant. Nueva Rinconada, Distritos San Juan de Miraflores y Villa María del Triunfo"</t>
  </si>
  <si>
    <t>Programa de Inversión “Modernización de la Prestación de los Servicios de Agua Potable y Saneamiento de las EPS EMAPACOP, SEDACUSCO, SEDAPAR, SEMAPA Barranca, EMAPA Huaral y EMAPA Huacho”</t>
  </si>
  <si>
    <t>Sedapal</t>
  </si>
  <si>
    <t>AATE/La República</t>
  </si>
  <si>
    <t>FONDES/La República</t>
  </si>
  <si>
    <t>MVCS/La República</t>
  </si>
  <si>
    <t>Sedapal/La República</t>
  </si>
  <si>
    <t>MVCS/
PNSU-OTASS</t>
  </si>
  <si>
    <t>MINEDU</t>
  </si>
  <si>
    <t xml:space="preserve">         D.S. Nº 075-2018-EF</t>
  </si>
  <si>
    <r>
      <rPr>
        <b/>
        <sz val="9"/>
        <color indexed="10"/>
        <rFont val="Arial"/>
        <family val="2"/>
      </rPr>
      <t>61/</t>
    </r>
    <r>
      <rPr>
        <b/>
        <sz val="9"/>
        <rFont val="Arial"/>
        <family val="2"/>
      </rPr>
      <t xml:space="preserve"> </t>
    </r>
    <r>
      <rPr>
        <sz val="9"/>
        <rFont val="Arial"/>
        <family val="2"/>
      </rPr>
      <t>Emisión autorizada, en uno o más tramos,  por la  Primera Disposición Complementaria Transitoria de la Ley Nº 30695. La citada emisión interna de bonos se sujeta a lo dispuesto en el Reglamento del Programa de Creadores de Mercado y en el Reglamento de Bonos Soberanos,vigentes.</t>
    </r>
  </si>
  <si>
    <r>
      <t xml:space="preserve">         Ley Nº 30695 </t>
    </r>
    <r>
      <rPr>
        <b/>
        <sz val="8"/>
        <color indexed="10"/>
        <rFont val="Arial"/>
        <family val="2"/>
      </rPr>
      <t>6</t>
    </r>
    <r>
      <rPr>
        <b/>
        <sz val="8"/>
        <color indexed="10"/>
        <rFont val="Arial"/>
        <family val="2"/>
      </rPr>
      <t>1/</t>
    </r>
  </si>
  <si>
    <r>
      <rPr>
        <b/>
        <sz val="9"/>
        <color indexed="10"/>
        <rFont val="Arial"/>
        <family val="2"/>
      </rPr>
      <t>6</t>
    </r>
    <r>
      <rPr>
        <b/>
        <sz val="9"/>
        <color indexed="10"/>
        <rFont val="Arial"/>
        <family val="2"/>
      </rPr>
      <t>2/</t>
    </r>
    <r>
      <rPr>
        <b/>
        <sz val="9"/>
        <rFont val="Arial"/>
        <family val="2"/>
      </rPr>
      <t xml:space="preserve"> </t>
    </r>
    <r>
      <rPr>
        <sz val="9"/>
        <rFont val="Arial"/>
        <family val="2"/>
      </rPr>
      <t>Al me</t>
    </r>
    <r>
      <rPr>
        <b/>
        <sz val="9"/>
        <rFont val="Arial"/>
        <family val="2"/>
      </rPr>
      <t xml:space="preserve">s </t>
    </r>
    <r>
      <rPr>
        <sz val="9"/>
        <rFont val="Arial"/>
        <family val="2"/>
      </rPr>
      <t xml:space="preserve">de diciembre se ha captado un monto de </t>
    </r>
    <r>
      <rPr>
        <sz val="9"/>
        <color indexed="10"/>
        <rFont val="Arial"/>
        <family val="2"/>
      </rPr>
      <t>S/ 3 500 976 000,00.</t>
    </r>
  </si>
  <si>
    <r>
      <rPr>
        <b/>
        <sz val="9"/>
        <color indexed="10"/>
        <rFont val="Arial"/>
        <family val="2"/>
      </rPr>
      <t>63/</t>
    </r>
    <r>
      <rPr>
        <b/>
        <sz val="9"/>
        <rFont val="Arial"/>
        <family val="2"/>
      </rPr>
      <t xml:space="preserve"> </t>
    </r>
    <r>
      <rPr>
        <sz val="9"/>
        <rFont val="Arial"/>
        <family val="2"/>
      </rPr>
      <t>Ley Nº 30736, Ley que autoriza la  transferencia de S/ 527 373 520,00 con cargo a la emisión interna de Bonos aprobada por la Primera Disposición Complementaria y Transitoria de la Ley 30695 para el proyecto Linea 2 del Metro de Lima, para financiar proyectos de inversión del MVCS.</t>
    </r>
  </si>
  <si>
    <r>
      <rPr>
        <b/>
        <sz val="9"/>
        <color indexed="10"/>
        <rFont val="Arial"/>
        <family val="2"/>
      </rPr>
      <t>64/</t>
    </r>
    <r>
      <rPr>
        <b/>
        <sz val="9"/>
        <rFont val="Arial"/>
        <family val="2"/>
      </rPr>
      <t xml:space="preserve"> </t>
    </r>
    <r>
      <rPr>
        <sz val="9"/>
        <rFont val="Arial"/>
        <family val="2"/>
      </rPr>
      <t>En el marco de lo dispuesto en el numeral 4,3 del artículo 4 de la Ley 30695, se reasignó un monto S/ 990,0 milloes (equivalente a USD 300,0 millones) del Destino "Apoyo a la Balnza de Pagos" del PAC interno, hacia el Destino "Apoyo a la Balanza de Pagos" del PAC Externo.</t>
    </r>
  </si>
  <si>
    <r>
      <t xml:space="preserve">         Ley Nº 30695 </t>
    </r>
    <r>
      <rPr>
        <b/>
        <sz val="8"/>
        <color indexed="10"/>
        <rFont val="Arial"/>
        <family val="2"/>
      </rPr>
      <t>61</t>
    </r>
    <r>
      <rPr>
        <b/>
        <sz val="8"/>
        <color indexed="10"/>
        <rFont val="Arial"/>
        <family val="2"/>
      </rPr>
      <t>/, 63/</t>
    </r>
  </si>
  <si>
    <r>
      <t xml:space="preserve">         Ley Nº 30695 </t>
    </r>
    <r>
      <rPr>
        <b/>
        <sz val="8"/>
        <color indexed="10"/>
        <rFont val="Arial"/>
        <family val="2"/>
      </rPr>
      <t>6</t>
    </r>
    <r>
      <rPr>
        <b/>
        <sz val="8"/>
        <color indexed="10"/>
        <rFont val="Arial"/>
        <family val="2"/>
      </rPr>
      <t>1/, 63/</t>
    </r>
  </si>
  <si>
    <r>
      <t xml:space="preserve">         Ley Nº 30695</t>
    </r>
    <r>
      <rPr>
        <b/>
        <sz val="9"/>
        <rFont val="Arial"/>
        <family val="2"/>
      </rPr>
      <t xml:space="preserve"> </t>
    </r>
    <r>
      <rPr>
        <b/>
        <sz val="8"/>
        <color indexed="10"/>
        <rFont val="Arial"/>
        <family val="2"/>
      </rPr>
      <t>6</t>
    </r>
    <r>
      <rPr>
        <b/>
        <sz val="8"/>
        <color indexed="10"/>
        <rFont val="Arial"/>
        <family val="2"/>
      </rPr>
      <t xml:space="preserve">1/, </t>
    </r>
    <r>
      <rPr>
        <b/>
        <sz val="8"/>
        <color indexed="10"/>
        <rFont val="Arial"/>
        <family val="2"/>
      </rPr>
      <t>6</t>
    </r>
    <r>
      <rPr>
        <b/>
        <sz val="8"/>
        <color indexed="10"/>
        <rFont val="Arial"/>
        <family val="2"/>
      </rPr>
      <t>2/, 64/</t>
    </r>
  </si>
  <si>
    <t xml:space="preserve">Garantía del Gobierno Nacional emisiones Bonos de Reconocimiento y Complementarios de la ONP en el año 2018 </t>
  </si>
  <si>
    <r>
      <rPr>
        <b/>
        <sz val="9"/>
        <color rgb="FFFF0000"/>
        <rFont val="Arial"/>
        <family val="2"/>
      </rPr>
      <t>65/</t>
    </r>
    <r>
      <rPr>
        <sz val="9"/>
        <rFont val="Arial"/>
        <family val="2"/>
      </rPr>
      <t xml:space="preserve"> La cancelación es de 7 años a partir del primer desembolso, que incluye 3 años de periodo de gracia, mediante cuota semestrales consecutivas y en lo posible iguales.</t>
    </r>
  </si>
  <si>
    <t>Adquisición de inmueble</t>
  </si>
  <si>
    <t>Compens. Econ. captura de Montesinos</t>
  </si>
  <si>
    <t>Bonos de Reconocimiento y Complementario" de la ONP</t>
  </si>
  <si>
    <t>Núcleo Básico de Defensa - Segundo Tramo</t>
  </si>
  <si>
    <t>Financiamiento de las expropiaciones e interferencias del Proyecto Construcción de la Línea 2 y Ramal Av. Faucett-Gambeta de la Red Básica del Metro de Lima y Callao, Provincias de Lima y Callao, Departamento de Lima</t>
  </si>
  <si>
    <t>Proyectos M. Provincial de Grau</t>
  </si>
  <si>
    <t xml:space="preserve">Financiamiento proyectos de inversión pública a cargo de los G. Regionales, G. Locales, en los Sectores salud, saneamiento, vivienda y construcción, educación y transporte. </t>
  </si>
  <si>
    <t>Programa para la Mejora de la Calidad y Pertinencia de los Servicios de Educación Superior Universitaria y Tecnológica a Nivel Nacional</t>
  </si>
  <si>
    <t>Amortizac.</t>
  </si>
  <si>
    <t>Monto en 
S/</t>
  </si>
  <si>
    <t>Monto en 
US$</t>
  </si>
  <si>
    <t>Período 
Gracia</t>
  </si>
  <si>
    <t>Tasa de 
Interés</t>
  </si>
  <si>
    <t>Unidad Ejecutora 
/ Emisor</t>
  </si>
  <si>
    <t>Fecha de 
Publicación</t>
  </si>
  <si>
    <t>Dispositivo 
Legal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</si>
</sst>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dd\-mmm\-yy_)"/>
    <numFmt numFmtId="165" formatCode="#,##0.0"/>
    <numFmt numFmtId="166" formatCode="dd\-mm\-yy"/>
    <numFmt numFmtId="167" formatCode="0.0000%"/>
    <numFmt numFmtId="168" formatCode="0.0000"/>
    <numFmt numFmtId="169" formatCode="0.0%"/>
    <numFmt numFmtId="170" formatCode="d\-mmm\-yyyy"/>
  </numFmts>
  <fonts count="31" x14ac:knownFonts="1">
    <font>
      <sz val="10"/>
      <name val="Arial"/>
    </font>
    <font>
      <sz val="10"/>
      <name val="Arial"/>
      <family val="2"/>
    </font>
    <font>
      <b/>
      <sz val="12"/>
      <name val="Helv"/>
    </font>
    <font>
      <b/>
      <sz val="14"/>
      <name val="Helv"/>
    </font>
    <font>
      <b/>
      <sz val="10"/>
      <name val="Arial"/>
      <family val="2"/>
    </font>
    <font>
      <b/>
      <sz val="14"/>
      <name val="Arial"/>
      <family val="2"/>
    </font>
    <font>
      <b/>
      <u/>
      <sz val="12"/>
      <color indexed="12"/>
      <name val="Arial"/>
      <family val="2"/>
    </font>
    <font>
      <sz val="10"/>
      <name val="Arial"/>
      <family val="2"/>
    </font>
    <font>
      <b/>
      <sz val="16"/>
      <name val="Helv"/>
    </font>
    <font>
      <b/>
      <sz val="12"/>
      <name val="Arial"/>
      <family val="2"/>
    </font>
    <font>
      <b/>
      <u/>
      <sz val="9"/>
      <color indexed="16"/>
      <name val="Arial"/>
      <family val="2"/>
    </font>
    <font>
      <sz val="9"/>
      <color indexed="16"/>
      <name val="Arial"/>
      <family val="2"/>
    </font>
    <font>
      <b/>
      <u/>
      <sz val="10"/>
      <color indexed="16"/>
      <name val="Arial"/>
      <family val="2"/>
    </font>
    <font>
      <sz val="12"/>
      <name val="Arial"/>
      <family val="2"/>
    </font>
    <font>
      <b/>
      <sz val="9"/>
      <name val="Arial"/>
      <family val="2"/>
    </font>
    <font>
      <b/>
      <sz val="10"/>
      <color indexed="10"/>
      <name val="Arial"/>
      <family val="2"/>
    </font>
    <font>
      <sz val="9"/>
      <name val="Arial"/>
      <family val="2"/>
    </font>
    <font>
      <b/>
      <sz val="9"/>
      <color indexed="10"/>
      <name val="Arial"/>
      <family val="2"/>
    </font>
    <font>
      <u/>
      <sz val="10"/>
      <name val="Arial"/>
      <family val="2"/>
    </font>
    <font>
      <sz val="10"/>
      <color indexed="8"/>
      <name val="Arial"/>
      <family val="2"/>
    </font>
    <font>
      <b/>
      <u/>
      <sz val="10"/>
      <color indexed="10"/>
      <name val="Arial"/>
      <family val="2"/>
    </font>
    <font>
      <b/>
      <u/>
      <sz val="9"/>
      <color indexed="10"/>
      <name val="Arial"/>
      <family val="2"/>
    </font>
    <font>
      <b/>
      <sz val="8"/>
      <color indexed="10"/>
      <name val="Arial"/>
      <family val="2"/>
    </font>
    <font>
      <sz val="9"/>
      <name val="Arial"/>
      <family val="2"/>
    </font>
    <font>
      <sz val="10"/>
      <color indexed="10"/>
      <name val="Arial"/>
      <family val="2"/>
    </font>
    <font>
      <sz val="9"/>
      <color indexed="10"/>
      <name val="Arial"/>
      <family val="2"/>
    </font>
    <font>
      <sz val="9"/>
      <color indexed="8"/>
      <name val="Arial"/>
      <family val="2"/>
    </font>
    <font>
      <b/>
      <sz val="8"/>
      <name val="Arial"/>
      <family val="2"/>
    </font>
    <font>
      <b/>
      <sz val="9"/>
      <color rgb="FFFF0000"/>
      <name val="Arial"/>
      <family val="2"/>
    </font>
    <font>
      <sz val="9"/>
      <color rgb="FFFF0000"/>
      <name val="Arial"/>
      <family val="2"/>
    </font>
    <font>
      <b/>
      <sz val="10"/>
      <color rgb="FFFF0000"/>
      <name val="Arial"/>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22">
    <border>
      <left/>
      <right/>
      <top/>
      <bottom/>
      <diagonal/>
    </border>
    <border>
      <left/>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style="double">
        <color indexed="64"/>
      </right>
      <top style="double">
        <color indexed="64"/>
      </top>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style="double">
        <color indexed="64"/>
      </left>
      <right style="double">
        <color indexed="64"/>
      </right>
      <top/>
      <bottom/>
      <diagonal/>
    </border>
    <border>
      <left style="double">
        <color indexed="64"/>
      </left>
      <right/>
      <top/>
      <bottom/>
      <diagonal/>
    </border>
    <border>
      <left/>
      <right style="double">
        <color indexed="64"/>
      </right>
      <top/>
      <bottom/>
      <diagonal/>
    </border>
    <border>
      <left style="double">
        <color indexed="64"/>
      </left>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right/>
      <top style="thin">
        <color theme="0" tint="-0.24994659260841701"/>
      </top>
      <bottom style="thin">
        <color theme="0" tint="-0.24994659260841701"/>
      </bottom>
      <diagonal/>
    </border>
    <border>
      <left style="double">
        <color indexed="64"/>
      </left>
      <right style="double">
        <color indexed="64"/>
      </right>
      <top style="thin">
        <color theme="0" tint="-0.24994659260841701"/>
      </top>
      <bottom style="thin">
        <color theme="0" tint="-0.24994659260841701"/>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s>
  <cellStyleXfs count="2">
    <xf numFmtId="0" fontId="0" fillId="0" borderId="0"/>
    <xf numFmtId="9" fontId="1" fillId="0" borderId="0" applyFont="0" applyFill="0" applyBorder="0" applyAlignment="0" applyProtection="0"/>
  </cellStyleXfs>
  <cellXfs count="327">
    <xf numFmtId="0" fontId="0" fillId="0" borderId="0" xfId="0"/>
    <xf numFmtId="14" fontId="16" fillId="0" borderId="9" xfId="0" applyNumberFormat="1" applyFont="1" applyBorder="1" applyAlignment="1">
      <alignment horizontal="center" vertical="center"/>
    </xf>
    <xf numFmtId="0" fontId="16" fillId="0" borderId="9" xfId="0" applyFont="1" applyBorder="1" applyAlignment="1">
      <alignment horizontal="center" vertical="center"/>
    </xf>
    <xf numFmtId="14" fontId="16" fillId="0" borderId="6" xfId="0" applyNumberFormat="1" applyFont="1"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 fillId="0" borderId="10" xfId="0" applyFont="1" applyFill="1" applyBorder="1" applyAlignment="1">
      <alignment horizontal="left" vertical="center"/>
    </xf>
    <xf numFmtId="14" fontId="1" fillId="0" borderId="9" xfId="0" applyNumberFormat="1" applyFont="1" applyBorder="1" applyAlignment="1">
      <alignment horizontal="center" vertical="center"/>
    </xf>
    <xf numFmtId="0" fontId="1" fillId="0" borderId="9" xfId="0" applyFont="1" applyBorder="1" applyAlignment="1">
      <alignment horizontal="center" vertical="center"/>
    </xf>
    <xf numFmtId="14" fontId="1" fillId="0" borderId="6" xfId="0" applyNumberFormat="1"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vertical="center"/>
    </xf>
    <xf numFmtId="0" fontId="1" fillId="0" borderId="9" xfId="0" applyFont="1" applyBorder="1" applyAlignment="1">
      <alignment vertical="center"/>
    </xf>
    <xf numFmtId="10" fontId="1" fillId="0" borderId="9" xfId="1" applyNumberFormat="1" applyFont="1" applyBorder="1" applyAlignment="1">
      <alignment horizontal="center" vertical="center"/>
    </xf>
    <xf numFmtId="0" fontId="1" fillId="0" borderId="10" xfId="0" applyFont="1" applyBorder="1" applyAlignment="1">
      <alignment horizontal="center" vertical="center"/>
    </xf>
    <xf numFmtId="0" fontId="16" fillId="0" borderId="10" xfId="0" applyFont="1" applyBorder="1" applyAlignment="1">
      <alignment vertical="center"/>
    </xf>
    <xf numFmtId="14" fontId="16" fillId="0" borderId="0" xfId="0" applyNumberFormat="1" applyFont="1" applyBorder="1" applyAlignment="1">
      <alignment horizontal="center" vertical="center"/>
    </xf>
    <xf numFmtId="170" fontId="16" fillId="0" borderId="16" xfId="0" quotePrefix="1" applyNumberFormat="1" applyFont="1" applyFill="1" applyBorder="1" applyAlignment="1">
      <alignment horizontal="center" vertical="center"/>
    </xf>
    <xf numFmtId="14" fontId="16" fillId="0" borderId="11" xfId="0" applyNumberFormat="1" applyFont="1" applyBorder="1" applyAlignment="1">
      <alignment horizontal="center" vertical="center"/>
    </xf>
    <xf numFmtId="0" fontId="16" fillId="0" borderId="9" xfId="0" applyFont="1" applyBorder="1" applyAlignment="1">
      <alignment vertical="center"/>
    </xf>
    <xf numFmtId="0" fontId="16" fillId="0" borderId="9" xfId="0" applyFont="1" applyBorder="1" applyAlignment="1">
      <alignment horizontal="center" vertical="center" wrapText="1"/>
    </xf>
    <xf numFmtId="0" fontId="16" fillId="0" borderId="17" xfId="0" applyFont="1" applyBorder="1" applyAlignment="1">
      <alignment horizontal="center" vertical="center" wrapText="1"/>
    </xf>
    <xf numFmtId="14" fontId="16" fillId="0" borderId="5" xfId="0" applyNumberFormat="1" applyFont="1" applyBorder="1" applyAlignment="1">
      <alignment horizontal="center" vertical="center"/>
    </xf>
    <xf numFmtId="0" fontId="16" fillId="0" borderId="6" xfId="0" applyFont="1" applyBorder="1" applyAlignment="1">
      <alignment vertical="center"/>
    </xf>
    <xf numFmtId="0" fontId="2" fillId="0" borderId="0" xfId="0" applyFont="1" applyAlignment="1">
      <alignment vertical="center"/>
    </xf>
    <xf numFmtId="166" fontId="3" fillId="0" borderId="0" xfId="0" applyNumberFormat="1" applyFont="1" applyAlignment="1">
      <alignment horizontal="center" vertical="center"/>
    </xf>
    <xf numFmtId="0" fontId="5" fillId="0" borderId="0" xfId="0" applyFont="1" applyAlignment="1" applyProtection="1">
      <alignment horizontal="centerContinuous" vertical="center"/>
    </xf>
    <xf numFmtId="0" fontId="3" fillId="0" borderId="0" xfId="0" applyFont="1" applyAlignment="1">
      <alignment horizontal="centerContinuous" vertical="center"/>
    </xf>
    <xf numFmtId="0" fontId="0" fillId="0" borderId="0" xfId="0" applyAlignment="1">
      <alignment vertical="center"/>
    </xf>
    <xf numFmtId="0" fontId="0" fillId="0" borderId="0" xfId="0" applyAlignment="1" applyProtection="1">
      <alignment horizontal="left" vertical="center"/>
    </xf>
    <xf numFmtId="164" fontId="0" fillId="0" borderId="0" xfId="0" applyNumberFormat="1" applyAlignment="1" applyProtection="1">
      <alignment vertical="center"/>
    </xf>
    <xf numFmtId="10" fontId="0" fillId="0" borderId="0" xfId="0" applyNumberFormat="1" applyAlignment="1" applyProtection="1">
      <alignment vertical="center"/>
    </xf>
    <xf numFmtId="0" fontId="0" fillId="0" borderId="0" xfId="0" applyAlignment="1" applyProtection="1">
      <alignment horizontal="center" vertical="center"/>
    </xf>
    <xf numFmtId="3" fontId="0" fillId="0" borderId="0" xfId="0" applyNumberFormat="1" applyAlignment="1" applyProtection="1">
      <alignment vertical="center"/>
    </xf>
    <xf numFmtId="3" fontId="0" fillId="0" borderId="0" xfId="0" applyNumberFormat="1" applyBorder="1" applyAlignment="1" applyProtection="1">
      <alignment vertical="center"/>
    </xf>
    <xf numFmtId="15" fontId="3" fillId="0" borderId="0" xfId="0" applyNumberFormat="1" applyFont="1" applyAlignment="1">
      <alignment horizontal="centerContinuous" vertical="center"/>
    </xf>
    <xf numFmtId="0" fontId="3" fillId="0" borderId="0" xfId="0" applyFont="1" applyAlignment="1">
      <alignment horizontal="left" vertical="center"/>
    </xf>
    <xf numFmtId="166" fontId="3" fillId="0" borderId="0" xfId="0" applyNumberFormat="1" applyFont="1" applyAlignment="1">
      <alignment vertical="center"/>
    </xf>
    <xf numFmtId="0" fontId="5" fillId="0" borderId="0" xfId="0" applyFont="1" applyAlignment="1" applyProtection="1">
      <alignment vertical="center"/>
    </xf>
    <xf numFmtId="0" fontId="3" fillId="0" borderId="0" xfId="0" applyFont="1" applyAlignment="1">
      <alignment vertical="center"/>
    </xf>
    <xf numFmtId="15" fontId="3" fillId="0" borderId="0" xfId="0" applyNumberFormat="1" applyFont="1" applyAlignment="1">
      <alignment vertical="center"/>
    </xf>
    <xf numFmtId="0" fontId="8" fillId="0" borderId="0" xfId="0" applyFont="1" applyAlignment="1">
      <alignment horizontal="centerContinuous" vertical="center"/>
    </xf>
    <xf numFmtId="0" fontId="8" fillId="0" borderId="0" xfId="0" applyFont="1" applyAlignment="1">
      <alignment horizontal="center" vertical="center"/>
    </xf>
    <xf numFmtId="0" fontId="13" fillId="0" borderId="0" xfId="0" applyFont="1" applyAlignment="1">
      <alignment vertical="center"/>
    </xf>
    <xf numFmtId="0" fontId="2" fillId="0" borderId="0" xfId="0" applyFont="1" applyAlignment="1">
      <alignment horizontal="center" vertical="center"/>
    </xf>
    <xf numFmtId="0" fontId="11" fillId="0" borderId="0" xfId="0" applyFont="1" applyAlignment="1">
      <alignment vertical="center"/>
    </xf>
    <xf numFmtId="3" fontId="6" fillId="2" borderId="3" xfId="0" applyNumberFormat="1" applyFont="1" applyFill="1" applyBorder="1" applyAlignment="1">
      <alignment horizontal="right" vertical="center"/>
    </xf>
    <xf numFmtId="3" fontId="6" fillId="2" borderId="4" xfId="0" applyNumberFormat="1" applyFont="1" applyFill="1" applyBorder="1" applyAlignment="1">
      <alignment horizontal="right" vertical="center"/>
    </xf>
    <xf numFmtId="0" fontId="10" fillId="0" borderId="10" xfId="0" applyFont="1" applyBorder="1" applyAlignment="1">
      <alignment horizontal="left" vertical="center"/>
    </xf>
    <xf numFmtId="166" fontId="10" fillId="0" borderId="9" xfId="0" applyNumberFormat="1" applyFont="1" applyBorder="1" applyAlignment="1">
      <alignment horizontal="center" vertical="center"/>
    </xf>
    <xf numFmtId="0" fontId="0" fillId="0" borderId="9" xfId="0" applyBorder="1" applyAlignment="1">
      <alignment vertical="center"/>
    </xf>
    <xf numFmtId="0" fontId="10" fillId="0" borderId="9" xfId="0" applyFont="1" applyBorder="1" applyAlignment="1">
      <alignment vertical="center"/>
    </xf>
    <xf numFmtId="0" fontId="10" fillId="0" borderId="0" xfId="0" applyFont="1" applyBorder="1" applyAlignment="1">
      <alignment vertical="center"/>
    </xf>
    <xf numFmtId="3" fontId="12" fillId="2" borderId="0" xfId="0" applyNumberFormat="1" applyFont="1" applyFill="1" applyBorder="1" applyAlignment="1">
      <alignment horizontal="right" vertical="center"/>
    </xf>
    <xf numFmtId="3" fontId="10" fillId="2" borderId="0" xfId="0" applyNumberFormat="1" applyFont="1" applyFill="1" applyBorder="1" applyAlignment="1">
      <alignment horizontal="right" vertical="center"/>
    </xf>
    <xf numFmtId="3" fontId="12" fillId="2" borderId="9" xfId="0" applyNumberFormat="1" applyFont="1" applyFill="1" applyBorder="1" applyAlignment="1">
      <alignment horizontal="right" vertical="center"/>
    </xf>
    <xf numFmtId="0" fontId="0" fillId="0" borderId="10" xfId="0" applyBorder="1" applyAlignment="1">
      <alignment vertical="center"/>
    </xf>
    <xf numFmtId="166" fontId="0" fillId="0" borderId="9" xfId="0" applyNumberFormat="1" applyBorder="1" applyAlignment="1">
      <alignment horizontal="center" vertical="center"/>
    </xf>
    <xf numFmtId="0" fontId="0" fillId="0" borderId="0" xfId="0" applyBorder="1" applyAlignment="1">
      <alignment vertical="center"/>
    </xf>
    <xf numFmtId="0" fontId="0" fillId="0" borderId="9" xfId="0" applyBorder="1" applyAlignment="1">
      <alignment horizontal="right" vertical="center"/>
    </xf>
    <xf numFmtId="14" fontId="0" fillId="0" borderId="9" xfId="0" applyNumberFormat="1" applyFill="1" applyBorder="1" applyAlignment="1">
      <alignment horizontal="center" vertical="center"/>
    </xf>
    <xf numFmtId="3" fontId="0" fillId="2" borderId="0" xfId="0" applyNumberFormat="1" applyFill="1" applyBorder="1" applyAlignment="1">
      <alignment horizontal="right" vertical="center"/>
    </xf>
    <xf numFmtId="3" fontId="15" fillId="2" borderId="0" xfId="0" quotePrefix="1" applyNumberFormat="1" applyFont="1" applyFill="1" applyBorder="1" applyAlignment="1">
      <alignment horizontal="right" vertical="center"/>
    </xf>
    <xf numFmtId="3" fontId="0" fillId="2" borderId="9" xfId="0" quotePrefix="1" applyNumberFormat="1" applyFill="1" applyBorder="1" applyAlignment="1">
      <alignment horizontal="right" vertical="center"/>
    </xf>
    <xf numFmtId="0" fontId="7" fillId="0" borderId="9" xfId="0" applyFont="1" applyBorder="1" applyAlignment="1">
      <alignment vertical="center"/>
    </xf>
    <xf numFmtId="10" fontId="7" fillId="0" borderId="9" xfId="0" applyNumberFormat="1" applyFont="1" applyBorder="1" applyAlignment="1">
      <alignment horizontal="center" vertical="center"/>
    </xf>
    <xf numFmtId="0" fontId="7" fillId="0" borderId="9" xfId="0" applyFont="1" applyBorder="1" applyAlignment="1">
      <alignment horizontal="center" vertical="center"/>
    </xf>
    <xf numFmtId="15" fontId="7" fillId="0" borderId="9" xfId="0" applyNumberFormat="1" applyFont="1" applyBorder="1" applyAlignment="1">
      <alignment horizontal="center" vertical="center"/>
    </xf>
    <xf numFmtId="0" fontId="0" fillId="0" borderId="7" xfId="0" applyBorder="1" applyAlignment="1">
      <alignment vertical="center"/>
    </xf>
    <xf numFmtId="166" fontId="0" fillId="0" borderId="6" xfId="0" applyNumberFormat="1" applyBorder="1" applyAlignment="1">
      <alignment horizontal="center" vertical="center"/>
    </xf>
    <xf numFmtId="0" fontId="0" fillId="0" borderId="6" xfId="0" applyBorder="1" applyAlignment="1">
      <alignment vertical="center"/>
    </xf>
    <xf numFmtId="0" fontId="0" fillId="0" borderId="1" xfId="0" applyBorder="1" applyAlignment="1">
      <alignment vertical="center"/>
    </xf>
    <xf numFmtId="10" fontId="7" fillId="0" borderId="6" xfId="0" applyNumberFormat="1" applyFont="1" applyBorder="1" applyAlignment="1">
      <alignment horizontal="center" vertical="center"/>
    </xf>
    <xf numFmtId="0" fontId="0" fillId="0" borderId="6" xfId="0" applyBorder="1" applyAlignment="1">
      <alignment horizontal="right" vertical="center"/>
    </xf>
    <xf numFmtId="0" fontId="7" fillId="0" borderId="6" xfId="0" applyFont="1" applyBorder="1" applyAlignment="1">
      <alignment horizontal="center" vertical="center"/>
    </xf>
    <xf numFmtId="3" fontId="0" fillId="2" borderId="1" xfId="0" applyNumberFormat="1" applyFill="1" applyBorder="1" applyAlignment="1">
      <alignment horizontal="right" vertical="center"/>
    </xf>
    <xf numFmtId="3" fontId="15" fillId="2" borderId="1" xfId="0" quotePrefix="1" applyNumberFormat="1" applyFont="1" applyFill="1" applyBorder="1" applyAlignment="1">
      <alignment horizontal="right" vertical="center"/>
    </xf>
    <xf numFmtId="3" fontId="0" fillId="2" borderId="6" xfId="0" quotePrefix="1" applyNumberFormat="1" applyFill="1" applyBorder="1" applyAlignment="1">
      <alignment horizontal="right" vertical="center"/>
    </xf>
    <xf numFmtId="14" fontId="0" fillId="0" borderId="6" xfId="0" applyNumberFormat="1" applyFill="1" applyBorder="1" applyAlignment="1">
      <alignment horizontal="center" vertical="center"/>
    </xf>
    <xf numFmtId="0" fontId="15" fillId="0" borderId="9" xfId="0" quotePrefix="1" applyFont="1" applyBorder="1" applyAlignment="1">
      <alignment horizontal="center" vertical="center"/>
    </xf>
    <xf numFmtId="0" fontId="0" fillId="0" borderId="9" xfId="0" applyBorder="1" applyAlignment="1">
      <alignment horizontal="center" vertical="center"/>
    </xf>
    <xf numFmtId="3" fontId="0" fillId="2" borderId="0" xfId="0" applyNumberFormat="1" applyFill="1" applyBorder="1" applyAlignment="1">
      <alignment vertical="center"/>
    </xf>
    <xf numFmtId="0" fontId="0" fillId="2" borderId="0" xfId="0" applyFill="1" applyBorder="1" applyAlignment="1">
      <alignment vertical="center"/>
    </xf>
    <xf numFmtId="0" fontId="0" fillId="2" borderId="9" xfId="0" applyFill="1" applyBorder="1" applyAlignment="1">
      <alignment vertical="center"/>
    </xf>
    <xf numFmtId="0" fontId="15" fillId="0" borderId="6" xfId="0" quotePrefix="1" applyFont="1" applyBorder="1" applyAlignment="1">
      <alignment horizontal="center" vertical="center"/>
    </xf>
    <xf numFmtId="0" fontId="0" fillId="0" borderId="6" xfId="0" applyBorder="1" applyAlignment="1">
      <alignment horizontal="center" vertical="center"/>
    </xf>
    <xf numFmtId="3" fontId="0" fillId="2" borderId="1" xfId="0" applyNumberFormat="1" applyFill="1" applyBorder="1" applyAlignment="1">
      <alignment vertical="center"/>
    </xf>
    <xf numFmtId="0" fontId="0" fillId="2" borderId="1" xfId="0" applyFill="1" applyBorder="1" applyAlignment="1">
      <alignment vertical="center"/>
    </xf>
    <xf numFmtId="0" fontId="0" fillId="2" borderId="6" xfId="0" applyFill="1" applyBorder="1" applyAlignment="1">
      <alignment vertical="center"/>
    </xf>
    <xf numFmtId="14" fontId="0" fillId="0" borderId="6" xfId="0" applyNumberFormat="1" applyFill="1" applyBorder="1" applyAlignment="1">
      <alignment horizontal="right" vertical="center"/>
    </xf>
    <xf numFmtId="0" fontId="6" fillId="0" borderId="0" xfId="0" applyFont="1" applyAlignment="1">
      <alignment vertical="center"/>
    </xf>
    <xf numFmtId="0" fontId="0" fillId="0" borderId="9" xfId="0" quotePrefix="1" applyBorder="1" applyAlignment="1">
      <alignment horizontal="right" vertical="center"/>
    </xf>
    <xf numFmtId="14" fontId="15" fillId="0" borderId="9" xfId="0" quotePrefix="1" applyNumberFormat="1" applyFont="1" applyFill="1" applyBorder="1" applyAlignment="1">
      <alignment horizontal="center" vertical="center"/>
    </xf>
    <xf numFmtId="3" fontId="0" fillId="2" borderId="0" xfId="0" quotePrefix="1" applyNumberFormat="1" applyFill="1" applyBorder="1" applyAlignment="1">
      <alignment horizontal="right" vertical="center"/>
    </xf>
    <xf numFmtId="3" fontId="0" fillId="2" borderId="9" xfId="0" applyNumberFormat="1" applyFill="1" applyBorder="1" applyAlignment="1">
      <alignment horizontal="right" vertical="center"/>
    </xf>
    <xf numFmtId="0" fontId="0" fillId="0" borderId="6" xfId="0" quotePrefix="1" applyBorder="1" applyAlignment="1">
      <alignment horizontal="right" vertical="center"/>
    </xf>
    <xf numFmtId="3" fontId="0" fillId="2" borderId="1" xfId="0" quotePrefix="1" applyNumberFormat="1" applyFill="1" applyBorder="1" applyAlignment="1">
      <alignment horizontal="right" vertical="center"/>
    </xf>
    <xf numFmtId="3" fontId="0" fillId="2" borderId="6" xfId="0" applyNumberFormat="1" applyFill="1" applyBorder="1" applyAlignment="1">
      <alignment horizontal="right" vertical="center"/>
    </xf>
    <xf numFmtId="0" fontId="0" fillId="0" borderId="9" xfId="0" quotePrefix="1" applyFill="1" applyBorder="1" applyAlignment="1">
      <alignment horizontal="right" vertical="center"/>
    </xf>
    <xf numFmtId="14" fontId="15" fillId="0" borderId="9" xfId="0" applyNumberFormat="1" applyFont="1" applyFill="1" applyBorder="1" applyAlignment="1">
      <alignment horizontal="center" vertical="center"/>
    </xf>
    <xf numFmtId="0" fontId="0" fillId="0" borderId="6" xfId="0" quotePrefix="1" applyFill="1" applyBorder="1" applyAlignment="1">
      <alignment horizontal="right" vertical="center"/>
    </xf>
    <xf numFmtId="0" fontId="6" fillId="0" borderId="10" xfId="0" applyFont="1" applyBorder="1" applyAlignment="1">
      <alignment horizontal="center" vertical="center"/>
    </xf>
    <xf numFmtId="166" fontId="6" fillId="0" borderId="9" xfId="0" applyNumberFormat="1" applyFont="1" applyBorder="1" applyAlignment="1">
      <alignment horizontal="center" vertical="center"/>
    </xf>
    <xf numFmtId="0" fontId="6" fillId="0" borderId="9" xfId="0" applyFont="1" applyBorder="1" applyAlignment="1">
      <alignment vertical="center"/>
    </xf>
    <xf numFmtId="3" fontId="6" fillId="2" borderId="0" xfId="0" applyNumberFormat="1" applyFont="1" applyFill="1" applyBorder="1" applyAlignment="1">
      <alignment horizontal="right" vertical="center"/>
    </xf>
    <xf numFmtId="3" fontId="6" fillId="2" borderId="9" xfId="0" applyNumberFormat="1" applyFont="1" applyFill="1" applyBorder="1" applyAlignment="1">
      <alignment horizontal="right" vertical="center"/>
    </xf>
    <xf numFmtId="0" fontId="0" fillId="0" borderId="9" xfId="0" applyFill="1" applyBorder="1" applyAlignment="1">
      <alignment horizontal="right" vertical="center"/>
    </xf>
    <xf numFmtId="18" fontId="0" fillId="0" borderId="9" xfId="0" applyNumberFormat="1" applyBorder="1" applyAlignment="1">
      <alignment horizontal="right" vertical="center"/>
    </xf>
    <xf numFmtId="9" fontId="0" fillId="0" borderId="9" xfId="0" applyNumberFormat="1" applyBorder="1" applyAlignment="1">
      <alignment vertical="center"/>
    </xf>
    <xf numFmtId="0" fontId="7" fillId="3" borderId="9" xfId="0" applyFont="1" applyFill="1" applyBorder="1" applyAlignment="1">
      <alignment horizontal="right" vertical="center"/>
    </xf>
    <xf numFmtId="0" fontId="0" fillId="0" borderId="10" xfId="0" applyFill="1" applyBorder="1" applyAlignment="1">
      <alignment vertical="center"/>
    </xf>
    <xf numFmtId="9" fontId="0" fillId="0" borderId="9" xfId="0" applyNumberFormat="1" applyBorder="1" applyAlignment="1">
      <alignment horizontal="right" vertical="center"/>
    </xf>
    <xf numFmtId="0" fontId="0" fillId="3" borderId="10" xfId="0" applyFill="1" applyBorder="1" applyAlignment="1">
      <alignment vertical="center"/>
    </xf>
    <xf numFmtId="0" fontId="0" fillId="0" borderId="7" xfId="0" applyFill="1" applyBorder="1" applyAlignment="1">
      <alignment vertical="center"/>
    </xf>
    <xf numFmtId="0" fontId="15" fillId="0" borderId="9" xfId="0" applyFont="1" applyBorder="1" applyAlignment="1">
      <alignment horizontal="center" vertical="center"/>
    </xf>
    <xf numFmtId="3" fontId="0" fillId="0" borderId="9" xfId="0" applyNumberFormat="1" applyBorder="1" applyAlignment="1">
      <alignment horizontal="right" vertical="center"/>
    </xf>
    <xf numFmtId="3" fontId="0" fillId="2" borderId="10" xfId="0" quotePrefix="1" applyNumberFormat="1" applyFill="1" applyBorder="1" applyAlignment="1">
      <alignment horizontal="right" vertical="center"/>
    </xf>
    <xf numFmtId="3" fontId="0" fillId="2" borderId="10" xfId="0" applyNumberFormat="1" applyFill="1" applyBorder="1" applyAlignment="1">
      <alignment horizontal="right" vertical="center"/>
    </xf>
    <xf numFmtId="0" fontId="10" fillId="0" borderId="10" xfId="0" applyFont="1" applyBorder="1" applyAlignment="1">
      <alignment vertical="center"/>
    </xf>
    <xf numFmtId="3" fontId="12" fillId="2" borderId="10" xfId="0" applyNumberFormat="1" applyFont="1" applyFill="1" applyBorder="1" applyAlignment="1">
      <alignment horizontal="right" vertical="center"/>
    </xf>
    <xf numFmtId="10" fontId="0" fillId="0" borderId="9" xfId="0" quotePrefix="1" applyNumberFormat="1" applyBorder="1" applyAlignment="1">
      <alignment horizontal="right" vertical="center"/>
    </xf>
    <xf numFmtId="10" fontId="0" fillId="0" borderId="6" xfId="0" applyNumberFormat="1" applyBorder="1" applyAlignment="1">
      <alignment horizontal="right" vertical="center"/>
    </xf>
    <xf numFmtId="3" fontId="0" fillId="2" borderId="7" xfId="0" quotePrefix="1" applyNumberFormat="1" applyFill="1" applyBorder="1" applyAlignment="1">
      <alignment horizontal="right" vertical="center"/>
    </xf>
    <xf numFmtId="10" fontId="0" fillId="0" borderId="9" xfId="0" applyNumberFormat="1" applyBorder="1" applyAlignment="1">
      <alignment horizontal="right" vertical="center"/>
    </xf>
    <xf numFmtId="3" fontId="0" fillId="2" borderId="11" xfId="0" applyNumberFormat="1" applyFill="1" applyBorder="1" applyAlignment="1">
      <alignment horizontal="right" vertical="center"/>
    </xf>
    <xf numFmtId="0" fontId="15" fillId="0" borderId="9" xfId="0" quotePrefix="1" applyFont="1" applyBorder="1" applyAlignment="1">
      <alignment horizontal="right" vertical="center"/>
    </xf>
    <xf numFmtId="0" fontId="15" fillId="0" borderId="0" xfId="0" applyFont="1" applyAlignment="1">
      <alignment vertical="center"/>
    </xf>
    <xf numFmtId="0" fontId="0" fillId="0" borderId="1" xfId="0" quotePrefix="1" applyBorder="1" applyAlignment="1">
      <alignment horizontal="right" vertical="center"/>
    </xf>
    <xf numFmtId="0" fontId="10" fillId="0" borderId="9" xfId="0" applyFont="1" applyBorder="1" applyAlignment="1">
      <alignment horizontal="left" vertical="center"/>
    </xf>
    <xf numFmtId="166" fontId="0" fillId="0" borderId="0" xfId="0" applyNumberFormat="1" applyBorder="1" applyAlignment="1">
      <alignment horizontal="center" vertical="center"/>
    </xf>
    <xf numFmtId="0" fontId="0" fillId="0" borderId="0" xfId="0" quotePrefix="1" applyBorder="1" applyAlignment="1">
      <alignment horizontal="right" vertical="center"/>
    </xf>
    <xf numFmtId="0" fontId="0" fillId="0" borderId="9" xfId="0" applyFill="1" applyBorder="1" applyAlignment="1">
      <alignment vertical="center"/>
    </xf>
    <xf numFmtId="9" fontId="0" fillId="0" borderId="9" xfId="0" quotePrefix="1" applyNumberFormat="1" applyBorder="1" applyAlignment="1">
      <alignment horizontal="right" vertical="center"/>
    </xf>
    <xf numFmtId="0" fontId="0" fillId="0" borderId="0" xfId="0" applyFill="1" applyBorder="1" applyAlignment="1">
      <alignment vertical="center"/>
    </xf>
    <xf numFmtId="0" fontId="0" fillId="0" borderId="0" xfId="0" applyBorder="1" applyAlignment="1">
      <alignment horizontal="right" vertical="center"/>
    </xf>
    <xf numFmtId="166" fontId="0" fillId="0" borderId="1" xfId="0" applyNumberFormat="1" applyBorder="1" applyAlignment="1">
      <alignment horizontal="center" vertical="center"/>
    </xf>
    <xf numFmtId="10" fontId="15" fillId="0" borderId="6" xfId="0" applyNumberFormat="1" applyFont="1" applyBorder="1" applyAlignment="1">
      <alignment horizontal="center" vertical="center"/>
    </xf>
    <xf numFmtId="14" fontId="15" fillId="0" borderId="1" xfId="0" applyNumberFormat="1" applyFont="1" applyBorder="1" applyAlignment="1">
      <alignment horizontal="right" vertical="center"/>
    </xf>
    <xf numFmtId="0" fontId="15" fillId="0" borderId="6" xfId="0" applyFont="1" applyBorder="1" applyAlignment="1">
      <alignment horizontal="right" vertical="center"/>
    </xf>
    <xf numFmtId="168" fontId="0" fillId="0" borderId="0" xfId="0" applyNumberFormat="1" applyAlignment="1">
      <alignment vertical="center"/>
    </xf>
    <xf numFmtId="0" fontId="12" fillId="0" borderId="9" xfId="0" applyFont="1" applyBorder="1" applyAlignment="1">
      <alignment vertical="center"/>
    </xf>
    <xf numFmtId="3" fontId="12" fillId="2" borderId="9" xfId="0" quotePrefix="1" applyNumberFormat="1" applyFont="1" applyFill="1" applyBorder="1" applyAlignment="1">
      <alignment horizontal="right" vertical="center"/>
    </xf>
    <xf numFmtId="10" fontId="15" fillId="0" borderId="9" xfId="0" applyNumberFormat="1" applyFont="1" applyBorder="1" applyAlignment="1">
      <alignment horizontal="center" vertical="center"/>
    </xf>
    <xf numFmtId="0" fontId="0" fillId="0" borderId="0" xfId="0" quotePrefix="1" applyBorder="1" applyAlignment="1">
      <alignment horizontal="center" vertical="center"/>
    </xf>
    <xf numFmtId="0" fontId="0" fillId="0" borderId="9" xfId="0" quotePrefix="1" applyBorder="1" applyAlignment="1">
      <alignment horizontal="center" vertical="center"/>
    </xf>
    <xf numFmtId="3" fontId="0" fillId="0" borderId="0" xfId="0" applyNumberFormat="1" applyAlignment="1">
      <alignment vertical="center"/>
    </xf>
    <xf numFmtId="0" fontId="0" fillId="0" borderId="1" xfId="0" applyFill="1" applyBorder="1" applyAlignment="1">
      <alignment vertical="center"/>
    </xf>
    <xf numFmtId="0" fontId="0" fillId="0" borderId="6" xfId="0" applyFill="1" applyBorder="1" applyAlignment="1">
      <alignment vertical="center"/>
    </xf>
    <xf numFmtId="14" fontId="0" fillId="0" borderId="0" xfId="0" applyNumberFormat="1" applyBorder="1" applyAlignment="1">
      <alignment horizontal="center" vertical="center"/>
    </xf>
    <xf numFmtId="0" fontId="0" fillId="0" borderId="11" xfId="0" applyBorder="1" applyAlignment="1">
      <alignment vertical="center"/>
    </xf>
    <xf numFmtId="166" fontId="0" fillId="0" borderId="11" xfId="0" applyNumberFormat="1" applyBorder="1" applyAlignment="1">
      <alignment horizontal="center" vertical="center"/>
    </xf>
    <xf numFmtId="0" fontId="7" fillId="0" borderId="6" xfId="0" applyFont="1" applyBorder="1" applyAlignment="1">
      <alignment vertical="center"/>
    </xf>
    <xf numFmtId="14" fontId="0" fillId="0" borderId="6" xfId="0" applyNumberFormat="1" applyBorder="1" applyAlignment="1">
      <alignment horizontal="center" vertical="center"/>
    </xf>
    <xf numFmtId="0" fontId="0" fillId="0" borderId="1" xfId="0" applyBorder="1" applyAlignment="1">
      <alignment horizontal="center" vertical="center"/>
    </xf>
    <xf numFmtId="0" fontId="0" fillId="0" borderId="6" xfId="0" quotePrefix="1" applyBorder="1" applyAlignment="1">
      <alignment horizontal="center" vertical="center"/>
    </xf>
    <xf numFmtId="0" fontId="0" fillId="0" borderId="1" xfId="0" quotePrefix="1" applyBorder="1" applyAlignment="1">
      <alignment horizontal="center" vertical="center"/>
    </xf>
    <xf numFmtId="3" fontId="0" fillId="2" borderId="5" xfId="0" applyNumberFormat="1" applyFill="1" applyBorder="1" applyAlignment="1">
      <alignment horizontal="right" vertical="center"/>
    </xf>
    <xf numFmtId="0" fontId="19" fillId="0" borderId="9" xfId="0" applyFont="1" applyBorder="1" applyAlignment="1">
      <alignment vertical="center"/>
    </xf>
    <xf numFmtId="3" fontId="4" fillId="0" borderId="9" xfId="0" applyNumberFormat="1" applyFont="1" applyBorder="1" applyAlignment="1">
      <alignment horizontal="center" vertical="center"/>
    </xf>
    <xf numFmtId="0" fontId="0" fillId="0" borderId="0" xfId="0" applyBorder="1" applyAlignment="1">
      <alignment horizontal="center" vertical="center"/>
    </xf>
    <xf numFmtId="3" fontId="0" fillId="0" borderId="11" xfId="0" applyNumberFormat="1" applyBorder="1" applyAlignment="1">
      <alignment horizontal="center" vertical="center"/>
    </xf>
    <xf numFmtId="166" fontId="0" fillId="0" borderId="5" xfId="0" applyNumberFormat="1" applyBorder="1" applyAlignment="1">
      <alignment horizontal="center" vertical="center"/>
    </xf>
    <xf numFmtId="0" fontId="0" fillId="0" borderId="5" xfId="0" applyBorder="1" applyAlignment="1">
      <alignment vertical="center"/>
    </xf>
    <xf numFmtId="14" fontId="0" fillId="0" borderId="1" xfId="0" applyNumberFormat="1" applyBorder="1" applyAlignment="1">
      <alignment horizontal="center" vertical="center"/>
    </xf>
    <xf numFmtId="10" fontId="0" fillId="0" borderId="6" xfId="1" applyNumberFormat="1" applyFont="1" applyBorder="1" applyAlignment="1">
      <alignment horizontal="center" vertical="center"/>
    </xf>
    <xf numFmtId="3" fontId="4" fillId="0" borderId="6" xfId="0" applyNumberFormat="1" applyFont="1" applyBorder="1" applyAlignment="1">
      <alignment horizontal="center" vertical="center"/>
    </xf>
    <xf numFmtId="3" fontId="15" fillId="0" borderId="5" xfId="0" applyNumberFormat="1" applyFont="1" applyBorder="1" applyAlignment="1">
      <alignment horizontal="center" vertical="center"/>
    </xf>
    <xf numFmtId="10" fontId="0" fillId="0" borderId="9" xfId="1" applyNumberFormat="1" applyFont="1" applyBorder="1" applyAlignment="1">
      <alignment horizontal="center" vertical="center"/>
    </xf>
    <xf numFmtId="3" fontId="15" fillId="0" borderId="11" xfId="0" applyNumberFormat="1" applyFont="1" applyBorder="1" applyAlignment="1">
      <alignment horizontal="center" vertical="center"/>
    </xf>
    <xf numFmtId="0" fontId="12" fillId="0" borderId="10" xfId="0" applyFont="1" applyBorder="1" applyAlignment="1">
      <alignment vertical="center"/>
    </xf>
    <xf numFmtId="14" fontId="0" fillId="0" borderId="9" xfId="0" applyNumberFormat="1" applyBorder="1" applyAlignment="1">
      <alignment horizontal="center" vertical="center"/>
    </xf>
    <xf numFmtId="3" fontId="15" fillId="0" borderId="11" xfId="0" quotePrefix="1" applyNumberFormat="1" applyFont="1" applyBorder="1" applyAlignment="1">
      <alignment horizontal="center" vertical="center"/>
    </xf>
    <xf numFmtId="3" fontId="7" fillId="0" borderId="11" xfId="0" quotePrefix="1" applyNumberFormat="1" applyFont="1" applyBorder="1" applyAlignment="1">
      <alignment horizontal="center" vertical="center"/>
    </xf>
    <xf numFmtId="9" fontId="0" fillId="0" borderId="9" xfId="0" applyNumberFormat="1" applyBorder="1" applyAlignment="1">
      <alignment horizontal="center" vertical="center"/>
    </xf>
    <xf numFmtId="3" fontId="7" fillId="0" borderId="9" xfId="0" applyNumberFormat="1" applyFont="1" applyBorder="1" applyAlignment="1">
      <alignment horizontal="center" vertical="center"/>
    </xf>
    <xf numFmtId="0" fontId="0" fillId="0" borderId="11" xfId="0" applyBorder="1" applyAlignment="1">
      <alignment horizontal="center" vertical="center"/>
    </xf>
    <xf numFmtId="0" fontId="23" fillId="0" borderId="11" xfId="0" applyFont="1" applyBorder="1" applyAlignment="1">
      <alignment vertical="center"/>
    </xf>
    <xf numFmtId="3" fontId="17" fillId="0" borderId="11" xfId="0" quotePrefix="1" applyNumberFormat="1" applyFont="1" applyBorder="1" applyAlignment="1">
      <alignment horizontal="center" vertical="center"/>
    </xf>
    <xf numFmtId="0" fontId="23" fillId="0" borderId="10" xfId="0" applyFont="1" applyBorder="1" applyAlignment="1">
      <alignment vertical="center"/>
    </xf>
    <xf numFmtId="10" fontId="23" fillId="0" borderId="10" xfId="1" applyNumberFormat="1" applyFont="1" applyBorder="1" applyAlignment="1">
      <alignment horizontal="center" vertical="center"/>
    </xf>
    <xf numFmtId="3" fontId="23" fillId="0" borderId="11" xfId="0" applyNumberFormat="1" applyFont="1" applyBorder="1" applyAlignment="1">
      <alignment horizontal="center" vertical="center"/>
    </xf>
    <xf numFmtId="0" fontId="0" fillId="0" borderId="12" xfId="0" applyBorder="1" applyAlignment="1">
      <alignment vertical="center"/>
    </xf>
    <xf numFmtId="14" fontId="0" fillId="0" borderId="13" xfId="0" applyNumberFormat="1" applyBorder="1" applyAlignment="1">
      <alignment horizontal="center" vertical="center"/>
    </xf>
    <xf numFmtId="0" fontId="0" fillId="0" borderId="13" xfId="0" applyBorder="1" applyAlignment="1">
      <alignment horizontal="center" vertical="center"/>
    </xf>
    <xf numFmtId="0" fontId="23" fillId="0" borderId="14" xfId="0" applyFont="1" applyBorder="1" applyAlignment="1">
      <alignment vertical="center"/>
    </xf>
    <xf numFmtId="0" fontId="0" fillId="0" borderId="15" xfId="0" applyBorder="1" applyAlignment="1">
      <alignment vertical="center"/>
    </xf>
    <xf numFmtId="0" fontId="0" fillId="0" borderId="15" xfId="0" applyBorder="1" applyAlignment="1">
      <alignment horizontal="center" vertical="center"/>
    </xf>
    <xf numFmtId="10" fontId="0" fillId="0" borderId="13" xfId="1" applyNumberFormat="1" applyFont="1" applyBorder="1" applyAlignment="1">
      <alignment horizontal="center" vertical="center"/>
    </xf>
    <xf numFmtId="3" fontId="4" fillId="0" borderId="13" xfId="0" applyNumberFormat="1" applyFont="1" applyBorder="1" applyAlignment="1">
      <alignment horizontal="center" vertical="center"/>
    </xf>
    <xf numFmtId="3" fontId="15" fillId="0" borderId="14" xfId="0" applyNumberFormat="1" applyFont="1" applyBorder="1" applyAlignment="1">
      <alignment horizontal="center" vertical="center"/>
    </xf>
    <xf numFmtId="3" fontId="0" fillId="2" borderId="12" xfId="0" quotePrefix="1" applyNumberFormat="1" applyFill="1" applyBorder="1" applyAlignment="1">
      <alignment horizontal="right" vertical="center"/>
    </xf>
    <xf numFmtId="3" fontId="0" fillId="2" borderId="15" xfId="0" applyNumberFormat="1" applyFill="1" applyBorder="1" applyAlignment="1">
      <alignment horizontal="right" vertical="center"/>
    </xf>
    <xf numFmtId="3" fontId="0" fillId="2" borderId="13" xfId="0" quotePrefix="1" applyNumberFormat="1" applyFill="1" applyBorder="1" applyAlignment="1">
      <alignment horizontal="right" vertical="center"/>
    </xf>
    <xf numFmtId="0" fontId="1" fillId="0" borderId="11"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3" fontId="1" fillId="2" borderId="0" xfId="0" applyNumberFormat="1" applyFont="1" applyFill="1" applyBorder="1" applyAlignment="1">
      <alignment horizontal="right" vertical="center"/>
    </xf>
    <xf numFmtId="3" fontId="30" fillId="0" borderId="11" xfId="0" quotePrefix="1" applyNumberFormat="1" applyFont="1" applyBorder="1" applyAlignment="1">
      <alignment horizontal="center" vertical="center"/>
    </xf>
    <xf numFmtId="3" fontId="1" fillId="2" borderId="10" xfId="0" quotePrefix="1" applyNumberFormat="1" applyFont="1" applyFill="1" applyBorder="1" applyAlignment="1">
      <alignment horizontal="right" vertical="center"/>
    </xf>
    <xf numFmtId="3" fontId="1" fillId="2" borderId="0" xfId="0" quotePrefix="1" applyNumberFormat="1" applyFont="1" applyFill="1" applyBorder="1" applyAlignment="1">
      <alignment horizontal="right" vertical="center"/>
    </xf>
    <xf numFmtId="3" fontId="1" fillId="2" borderId="9" xfId="0" quotePrefix="1" applyNumberFormat="1" applyFont="1" applyFill="1" applyBorder="1" applyAlignment="1">
      <alignment horizontal="right" vertical="center"/>
    </xf>
    <xf numFmtId="3" fontId="1" fillId="0" borderId="11" xfId="0" applyNumberFormat="1" applyFont="1" applyBorder="1" applyAlignment="1">
      <alignment horizontal="center" vertical="center"/>
    </xf>
    <xf numFmtId="0" fontId="1" fillId="0" borderId="10" xfId="0" applyFont="1" applyFill="1" applyBorder="1" applyAlignment="1">
      <alignment vertical="center"/>
    </xf>
    <xf numFmtId="0" fontId="1" fillId="0" borderId="11" xfId="0" applyFont="1" applyFill="1" applyBorder="1" applyAlignment="1">
      <alignment vertical="center"/>
    </xf>
    <xf numFmtId="10" fontId="1" fillId="0" borderId="9" xfId="1" quotePrefix="1" applyNumberFormat="1" applyFont="1" applyFill="1" applyBorder="1" applyAlignment="1">
      <alignment horizontal="center" vertical="center"/>
    </xf>
    <xf numFmtId="0" fontId="1" fillId="0" borderId="11" xfId="0" applyFont="1" applyFill="1" applyBorder="1" applyAlignment="1">
      <alignment horizontal="justify" vertical="center" wrapText="1"/>
    </xf>
    <xf numFmtId="3" fontId="1" fillId="0" borderId="9" xfId="0" applyNumberFormat="1" applyFont="1" applyBorder="1" applyAlignment="1">
      <alignment horizontal="center" vertical="center"/>
    </xf>
    <xf numFmtId="3" fontId="4" fillId="0" borderId="11" xfId="0" quotePrefix="1" applyNumberFormat="1" applyFont="1" applyBorder="1" applyAlignment="1">
      <alignment horizontal="center" vertical="center"/>
    </xf>
    <xf numFmtId="0" fontId="16" fillId="0" borderId="7" xfId="0" applyFont="1" applyBorder="1" applyAlignment="1">
      <alignment vertical="center"/>
    </xf>
    <xf numFmtId="0" fontId="16" fillId="0" borderId="5" xfId="0" applyFont="1" applyBorder="1" applyAlignment="1">
      <alignment vertical="center"/>
    </xf>
    <xf numFmtId="10" fontId="16" fillId="0" borderId="6" xfId="1" applyNumberFormat="1" applyFont="1" applyBorder="1" applyAlignment="1">
      <alignment horizontal="center" vertical="center"/>
    </xf>
    <xf numFmtId="3" fontId="16" fillId="0" borderId="6" xfId="0" applyNumberFormat="1" applyFont="1" applyBorder="1" applyAlignment="1">
      <alignment horizontal="center" vertical="center"/>
    </xf>
    <xf numFmtId="3" fontId="14" fillId="0" borderId="5" xfId="0" quotePrefix="1" applyNumberFormat="1" applyFont="1" applyBorder="1" applyAlignment="1">
      <alignment horizontal="center" vertical="center"/>
    </xf>
    <xf numFmtId="0" fontId="16" fillId="0" borderId="11" xfId="0" applyFont="1" applyBorder="1" applyAlignment="1">
      <alignment vertical="center"/>
    </xf>
    <xf numFmtId="10" fontId="16" fillId="0" borderId="9" xfId="1" applyNumberFormat="1" applyFont="1" applyBorder="1" applyAlignment="1">
      <alignment horizontal="center" vertical="center"/>
    </xf>
    <xf numFmtId="3" fontId="16" fillId="0" borderId="9" xfId="0" applyNumberFormat="1" applyFont="1" applyBorder="1" applyAlignment="1">
      <alignment horizontal="center" vertical="center"/>
    </xf>
    <xf numFmtId="3" fontId="14" fillId="0" borderId="11" xfId="0" quotePrefix="1" applyNumberFormat="1" applyFont="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justify" vertical="center" wrapText="1"/>
    </xf>
    <xf numFmtId="3" fontId="4" fillId="0" borderId="11" xfId="0" applyNumberFormat="1" applyFont="1" applyBorder="1" applyAlignment="1">
      <alignment horizontal="center" vertical="center"/>
    </xf>
    <xf numFmtId="3" fontId="30" fillId="0" borderId="9" xfId="0" quotePrefix="1" applyNumberFormat="1" applyFont="1" applyBorder="1" applyAlignment="1">
      <alignment horizontal="center" vertical="center"/>
    </xf>
    <xf numFmtId="0" fontId="1" fillId="0" borderId="9" xfId="0" applyFont="1" applyBorder="1" applyAlignment="1">
      <alignment horizontal="justify" vertical="center" wrapText="1"/>
    </xf>
    <xf numFmtId="3" fontId="4" fillId="0" borderId="9" xfId="0" quotePrefix="1" applyNumberFormat="1" applyFont="1" applyBorder="1" applyAlignment="1">
      <alignment horizontal="center" vertical="center"/>
    </xf>
    <xf numFmtId="10" fontId="30" fillId="0" borderId="9" xfId="1" applyNumberFormat="1" applyFont="1" applyBorder="1" applyAlignment="1">
      <alignment horizontal="center" vertical="center"/>
    </xf>
    <xf numFmtId="0" fontId="1" fillId="0" borderId="9" xfId="0" applyFont="1" applyFill="1" applyBorder="1" applyAlignment="1">
      <alignment vertical="center" wrapText="1"/>
    </xf>
    <xf numFmtId="10" fontId="30" fillId="0" borderId="9" xfId="1" applyNumberFormat="1" applyFont="1" applyFill="1" applyBorder="1" applyAlignment="1">
      <alignment horizontal="center" vertical="center"/>
    </xf>
    <xf numFmtId="3" fontId="30" fillId="0" borderId="9" xfId="0" applyNumberFormat="1" applyFont="1" applyBorder="1" applyAlignment="1">
      <alignment horizontal="center" vertical="center"/>
    </xf>
    <xf numFmtId="3" fontId="14" fillId="0" borderId="6" xfId="0" quotePrefix="1" applyNumberFormat="1" applyFont="1" applyBorder="1" applyAlignment="1">
      <alignment horizontal="center" vertical="center"/>
    </xf>
    <xf numFmtId="3" fontId="14" fillId="0" borderId="9" xfId="0" quotePrefix="1" applyNumberFormat="1" applyFont="1" applyBorder="1" applyAlignment="1">
      <alignment horizontal="center" vertical="center"/>
    </xf>
    <xf numFmtId="14" fontId="1" fillId="0" borderId="11" xfId="0" applyNumberFormat="1" applyFont="1" applyBorder="1" applyAlignment="1">
      <alignment horizontal="center" vertical="center"/>
    </xf>
    <xf numFmtId="0" fontId="1" fillId="0" borderId="11" xfId="0" applyFont="1" applyFill="1" applyBorder="1" applyAlignment="1">
      <alignment vertical="center" wrapText="1"/>
    </xf>
    <xf numFmtId="0" fontId="1" fillId="0" borderId="9" xfId="0" applyFont="1" applyBorder="1" applyAlignment="1">
      <alignment horizontal="left" vertical="center"/>
    </xf>
    <xf numFmtId="0" fontId="1" fillId="0" borderId="11" xfId="0" applyFont="1" applyBorder="1" applyAlignment="1">
      <alignment horizontal="center" vertical="center"/>
    </xf>
    <xf numFmtId="10" fontId="1" fillId="0" borderId="10" xfId="1" applyNumberFormat="1" applyFont="1" applyBorder="1" applyAlignment="1">
      <alignment horizontal="center" vertical="center"/>
    </xf>
    <xf numFmtId="14" fontId="1" fillId="0" borderId="0" xfId="0" applyNumberFormat="1" applyFont="1" applyBorder="1" applyAlignment="1">
      <alignment horizontal="center" vertical="center"/>
    </xf>
    <xf numFmtId="3" fontId="1" fillId="0" borderId="10" xfId="0" quotePrefix="1" applyNumberFormat="1" applyFont="1" applyBorder="1" applyAlignment="1">
      <alignment horizontal="center" vertical="center"/>
    </xf>
    <xf numFmtId="3" fontId="30" fillId="0" borderId="11" xfId="0" applyNumberFormat="1" applyFont="1" applyBorder="1" applyAlignment="1">
      <alignment horizontal="center" vertical="center"/>
    </xf>
    <xf numFmtId="3" fontId="1" fillId="0" borderId="10" xfId="0" applyNumberFormat="1" applyFont="1" applyBorder="1" applyAlignment="1">
      <alignment horizontal="center" vertical="center"/>
    </xf>
    <xf numFmtId="3" fontId="1" fillId="0" borderId="9" xfId="0" applyNumberFormat="1" applyFont="1" applyFill="1" applyBorder="1" applyAlignment="1">
      <alignment horizontal="center" vertical="center"/>
    </xf>
    <xf numFmtId="0" fontId="1" fillId="0" borderId="9" xfId="0" applyFont="1" applyFill="1" applyBorder="1" applyAlignment="1">
      <alignment vertical="center"/>
    </xf>
    <xf numFmtId="14" fontId="1" fillId="0" borderId="9" xfId="0" applyNumberFormat="1" applyFont="1" applyFill="1" applyBorder="1" applyAlignment="1">
      <alignment horizontal="center" vertical="center"/>
    </xf>
    <xf numFmtId="0" fontId="1" fillId="0" borderId="0" xfId="0" applyFont="1" applyFill="1" applyBorder="1" applyAlignment="1">
      <alignment horizontal="center" vertical="center"/>
    </xf>
    <xf numFmtId="10" fontId="1" fillId="0" borderId="10" xfId="1" applyNumberFormat="1" applyFont="1" applyFill="1" applyBorder="1" applyAlignment="1">
      <alignment horizontal="center" vertical="center"/>
    </xf>
    <xf numFmtId="3" fontId="30" fillId="0" borderId="11"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0" fontId="16" fillId="0" borderId="6" xfId="0" applyFont="1" applyFill="1" applyBorder="1" applyAlignment="1">
      <alignment vertical="center"/>
    </xf>
    <xf numFmtId="14" fontId="16" fillId="0" borderId="6" xfId="0" applyNumberFormat="1" applyFont="1" applyFill="1" applyBorder="1" applyAlignment="1">
      <alignment horizontal="center" vertical="center"/>
    </xf>
    <xf numFmtId="0" fontId="16" fillId="0" borderId="1" xfId="0" applyFont="1" applyBorder="1" applyAlignment="1">
      <alignment horizontal="center" vertical="center"/>
    </xf>
    <xf numFmtId="0" fontId="16" fillId="0" borderId="6" xfId="0" applyFont="1" applyFill="1" applyBorder="1" applyAlignment="1">
      <alignment vertical="center" wrapText="1"/>
    </xf>
    <xf numFmtId="0" fontId="16" fillId="0" borderId="1" xfId="0" applyFont="1" applyFill="1" applyBorder="1" applyAlignment="1">
      <alignment horizontal="center" vertical="center" wrapText="1"/>
    </xf>
    <xf numFmtId="10" fontId="16" fillId="0" borderId="7" xfId="1" applyNumberFormat="1" applyFont="1" applyFill="1" applyBorder="1" applyAlignment="1">
      <alignment horizontal="center" vertical="center"/>
    </xf>
    <xf numFmtId="3" fontId="16" fillId="0" borderId="6" xfId="0" applyNumberFormat="1" applyFont="1" applyFill="1" applyBorder="1" applyAlignment="1">
      <alignment horizontal="center" vertical="center"/>
    </xf>
    <xf numFmtId="3" fontId="28" fillId="0" borderId="5" xfId="0" applyNumberFormat="1" applyFont="1" applyFill="1" applyBorder="1" applyAlignment="1">
      <alignment horizontal="center" vertical="center"/>
    </xf>
    <xf numFmtId="0" fontId="1" fillId="0" borderId="9" xfId="0" applyFont="1" applyFill="1" applyBorder="1" applyAlignment="1">
      <alignment horizontal="center" vertical="center" wrapText="1"/>
    </xf>
    <xf numFmtId="10" fontId="1" fillId="0" borderId="9" xfId="1" applyNumberFormat="1" applyFont="1" applyFill="1" applyBorder="1" applyAlignment="1">
      <alignment horizontal="center" vertical="center"/>
    </xf>
    <xf numFmtId="3" fontId="30" fillId="0" borderId="9" xfId="0" applyNumberFormat="1" applyFont="1" applyFill="1" applyBorder="1" applyAlignment="1">
      <alignment horizontal="center" vertical="center"/>
    </xf>
    <xf numFmtId="0" fontId="1" fillId="0" borderId="9" xfId="0" applyFont="1" applyFill="1" applyBorder="1" applyAlignment="1">
      <alignment horizontal="left" vertical="center"/>
    </xf>
    <xf numFmtId="0" fontId="1" fillId="0" borderId="11" xfId="0" applyFont="1" applyBorder="1" applyAlignment="1">
      <alignment vertical="center" wrapText="1"/>
    </xf>
    <xf numFmtId="0" fontId="1" fillId="0" borderId="9" xfId="0" applyFont="1" applyBorder="1" applyAlignment="1">
      <alignment horizontal="center" vertical="center" wrapText="1"/>
    </xf>
    <xf numFmtId="0" fontId="1" fillId="0" borderId="6" xfId="0" applyFont="1" applyFill="1" applyBorder="1" applyAlignment="1">
      <alignment horizontal="left" vertical="center"/>
    </xf>
    <xf numFmtId="0" fontId="1" fillId="0" borderId="5" xfId="0" applyFont="1" applyFill="1" applyBorder="1" applyAlignment="1">
      <alignment horizontal="justify" vertical="center" wrapText="1"/>
    </xf>
    <xf numFmtId="0" fontId="1" fillId="0" borderId="6" xfId="0" applyFont="1" applyBorder="1" applyAlignment="1">
      <alignment vertical="center"/>
    </xf>
    <xf numFmtId="10" fontId="1" fillId="0" borderId="6" xfId="1" quotePrefix="1" applyNumberFormat="1" applyFont="1" applyFill="1" applyBorder="1" applyAlignment="1">
      <alignment horizontal="center" vertical="center"/>
    </xf>
    <xf numFmtId="3" fontId="1" fillId="0" borderId="6" xfId="0" applyNumberFormat="1" applyFont="1" applyFill="1" applyBorder="1" applyAlignment="1">
      <alignment horizontal="center" vertical="center"/>
    </xf>
    <xf numFmtId="3" fontId="30" fillId="0" borderId="6" xfId="0" quotePrefix="1" applyNumberFormat="1" applyFont="1" applyBorder="1" applyAlignment="1">
      <alignment horizontal="center" vertical="center"/>
    </xf>
    <xf numFmtId="3" fontId="1" fillId="2" borderId="7" xfId="0" quotePrefix="1" applyNumberFormat="1" applyFont="1" applyFill="1" applyBorder="1" applyAlignment="1">
      <alignment horizontal="right" vertical="center"/>
    </xf>
    <xf numFmtId="3" fontId="1" fillId="2" borderId="1" xfId="0" applyNumberFormat="1" applyFont="1" applyFill="1" applyBorder="1" applyAlignment="1">
      <alignment horizontal="right" vertical="center"/>
    </xf>
    <xf numFmtId="3" fontId="1" fillId="2" borderId="6" xfId="0" quotePrefix="1" applyNumberFormat="1" applyFont="1" applyFill="1" applyBorder="1" applyAlignment="1">
      <alignment horizontal="right" vertical="center"/>
    </xf>
    <xf numFmtId="0" fontId="16" fillId="0" borderId="11" xfId="0" applyFont="1" applyFill="1" applyBorder="1" applyAlignment="1">
      <alignment horizontal="justify" vertical="center" wrapText="1"/>
    </xf>
    <xf numFmtId="10" fontId="16" fillId="0" borderId="9" xfId="1" quotePrefix="1" applyNumberFormat="1" applyFont="1" applyFill="1" applyBorder="1" applyAlignment="1">
      <alignment horizontal="center" vertical="center"/>
    </xf>
    <xf numFmtId="0" fontId="1" fillId="0" borderId="9" xfId="0" applyFont="1" applyFill="1" applyBorder="1" applyAlignment="1">
      <alignment horizontal="center" vertical="center"/>
    </xf>
    <xf numFmtId="167" fontId="1" fillId="0" borderId="9" xfId="1" applyNumberFormat="1" applyFont="1" applyFill="1" applyBorder="1" applyAlignment="1">
      <alignment horizontal="center" vertical="center"/>
    </xf>
    <xf numFmtId="10" fontId="1" fillId="0" borderId="0" xfId="1" applyNumberFormat="1" applyFont="1" applyFill="1" applyBorder="1" applyAlignment="1">
      <alignment horizontal="center" vertical="center"/>
    </xf>
    <xf numFmtId="3" fontId="1" fillId="0" borderId="9" xfId="0" quotePrefix="1" applyNumberFormat="1" applyFont="1" applyBorder="1" applyAlignment="1">
      <alignment horizontal="center" vertical="center"/>
    </xf>
    <xf numFmtId="0" fontId="1" fillId="0" borderId="7" xfId="0" applyFont="1" applyBorder="1" applyAlignment="1">
      <alignment vertical="center"/>
    </xf>
    <xf numFmtId="10" fontId="1" fillId="0" borderId="6" xfId="1" applyNumberFormat="1" applyFont="1" applyFill="1" applyBorder="1" applyAlignment="1">
      <alignment horizontal="center" vertical="center"/>
    </xf>
    <xf numFmtId="165" fontId="1" fillId="0" borderId="6" xfId="0" applyNumberFormat="1" applyFont="1" applyFill="1" applyBorder="1" applyAlignment="1">
      <alignment horizontal="center" vertical="center"/>
    </xf>
    <xf numFmtId="3" fontId="30" fillId="0" borderId="5" xfId="0" quotePrefix="1" applyNumberFormat="1" applyFont="1" applyBorder="1" applyAlignment="1">
      <alignment horizontal="center" vertical="center"/>
    </xf>
    <xf numFmtId="3" fontId="28" fillId="0" borderId="11" xfId="0" quotePrefix="1" applyNumberFormat="1" applyFont="1" applyBorder="1" applyAlignment="1">
      <alignment horizontal="center" vertical="center"/>
    </xf>
    <xf numFmtId="0" fontId="16" fillId="0" borderId="5" xfId="0" applyFont="1" applyFill="1" applyBorder="1" applyAlignment="1">
      <alignment horizontal="justify" vertical="center" wrapText="1"/>
    </xf>
    <xf numFmtId="10" fontId="16" fillId="0" borderId="6" xfId="1" quotePrefix="1" applyNumberFormat="1" applyFont="1" applyFill="1" applyBorder="1" applyAlignment="1">
      <alignment horizontal="center" vertical="center"/>
    </xf>
    <xf numFmtId="3" fontId="28" fillId="0" borderId="5" xfId="0" quotePrefix="1" applyNumberFormat="1" applyFont="1" applyBorder="1" applyAlignment="1">
      <alignment horizontal="center" vertical="center"/>
    </xf>
    <xf numFmtId="3" fontId="4" fillId="0" borderId="0" xfId="0" quotePrefix="1" applyNumberFormat="1" applyFont="1" applyBorder="1" applyAlignment="1">
      <alignment horizontal="center" vertical="center"/>
    </xf>
    <xf numFmtId="0" fontId="16" fillId="0" borderId="9" xfId="0" applyFont="1" applyFill="1" applyBorder="1" applyAlignment="1">
      <alignment vertical="center"/>
    </xf>
    <xf numFmtId="14" fontId="16" fillId="0" borderId="9" xfId="0" applyNumberFormat="1" applyFont="1" applyFill="1" applyBorder="1" applyAlignment="1">
      <alignment horizontal="center" vertical="center"/>
    </xf>
    <xf numFmtId="0" fontId="17" fillId="0" borderId="0" xfId="0" applyFont="1" applyBorder="1" applyAlignment="1">
      <alignment vertical="center"/>
    </xf>
    <xf numFmtId="0" fontId="17" fillId="0" borderId="0" xfId="0" quotePrefix="1" applyFont="1" applyAlignment="1">
      <alignment vertical="center"/>
    </xf>
    <xf numFmtId="166" fontId="0" fillId="0" borderId="0" xfId="0" applyNumberFormat="1" applyAlignment="1">
      <alignment horizontal="center" vertical="center"/>
    </xf>
    <xf numFmtId="0" fontId="17" fillId="0" borderId="0" xfId="0" applyFont="1" applyBorder="1" applyAlignment="1">
      <alignment horizontal="left" vertical="center"/>
    </xf>
    <xf numFmtId="0" fontId="17" fillId="0" borderId="0" xfId="0" applyFont="1" applyAlignment="1">
      <alignment vertical="center"/>
    </xf>
    <xf numFmtId="0" fontId="16" fillId="0" borderId="0" xfId="0" applyFont="1" applyAlignment="1">
      <alignment vertical="center"/>
    </xf>
    <xf numFmtId="0" fontId="7" fillId="0" borderId="0" xfId="0" applyFont="1" applyAlignment="1">
      <alignment vertical="center"/>
    </xf>
    <xf numFmtId="3" fontId="16" fillId="0" borderId="0" xfId="0" applyNumberFormat="1" applyFont="1" applyAlignment="1">
      <alignment vertical="center"/>
    </xf>
    <xf numFmtId="0" fontId="18" fillId="0" borderId="0" xfId="0" applyFont="1" applyAlignment="1">
      <alignment vertical="center"/>
    </xf>
    <xf numFmtId="0" fontId="16" fillId="3" borderId="0" xfId="0" applyFont="1" applyFill="1" applyAlignment="1">
      <alignment vertical="center"/>
    </xf>
    <xf numFmtId="0" fontId="7" fillId="3" borderId="0" xfId="0" applyFont="1" applyFill="1" applyAlignment="1">
      <alignment vertical="center"/>
    </xf>
    <xf numFmtId="0" fontId="17" fillId="0" borderId="0" xfId="0" applyFont="1" applyAlignment="1">
      <alignment horizontal="left" vertical="center"/>
    </xf>
    <xf numFmtId="0" fontId="14" fillId="0" borderId="0" xfId="0" applyFont="1" applyAlignment="1">
      <alignment vertical="center"/>
    </xf>
    <xf numFmtId="0" fontId="29" fillId="0" borderId="0" xfId="0" quotePrefix="1" applyFont="1" applyAlignment="1">
      <alignment vertical="center"/>
    </xf>
    <xf numFmtId="4" fontId="20" fillId="0" borderId="0" xfId="0" applyNumberFormat="1" applyFont="1" applyBorder="1" applyAlignment="1">
      <alignment horizontal="right" vertical="center"/>
    </xf>
    <xf numFmtId="169" fontId="16" fillId="0" borderId="0" xfId="1" applyNumberFormat="1" applyFont="1" applyAlignment="1">
      <alignment vertical="center"/>
    </xf>
    <xf numFmtId="0" fontId="28" fillId="0" borderId="0" xfId="0" quotePrefix="1" applyFont="1" applyAlignment="1">
      <alignment vertical="center"/>
    </xf>
    <xf numFmtId="0" fontId="14" fillId="0" borderId="0" xfId="0" applyFont="1" applyAlignment="1">
      <alignment horizontal="justify" vertical="center" wrapText="1"/>
    </xf>
    <xf numFmtId="0" fontId="0" fillId="0" borderId="0" xfId="0" applyAlignment="1">
      <alignment horizontal="justify" vertical="center" wrapText="1"/>
    </xf>
    <xf numFmtId="0" fontId="16" fillId="0" borderId="0" xfId="0" applyFont="1" applyAlignment="1">
      <alignment vertical="center" wrapText="1"/>
    </xf>
    <xf numFmtId="0" fontId="0" fillId="0" borderId="0" xfId="0" applyAlignment="1">
      <alignment vertical="center" wrapText="1"/>
    </xf>
    <xf numFmtId="0" fontId="2" fillId="0" borderId="1" xfId="0" applyFont="1" applyBorder="1" applyAlignment="1">
      <alignment horizontal="center" vertical="center"/>
    </xf>
    <xf numFmtId="0" fontId="16" fillId="0" borderId="0" xfId="0" applyFont="1" applyAlignment="1">
      <alignment horizontal="justify" vertical="center" wrapText="1"/>
    </xf>
    <xf numFmtId="0" fontId="1" fillId="0" borderId="0" xfId="0" applyFont="1" applyAlignment="1">
      <alignment horizontal="justify" vertical="center" wrapText="1"/>
    </xf>
    <xf numFmtId="0" fontId="14" fillId="0" borderId="0" xfId="0" applyFont="1" applyAlignment="1">
      <alignment vertical="center" wrapText="1"/>
    </xf>
    <xf numFmtId="0" fontId="11" fillId="0" borderId="0" xfId="0" applyFont="1" applyFill="1" applyAlignment="1">
      <alignment vertical="center"/>
    </xf>
    <xf numFmtId="0" fontId="13" fillId="0" borderId="0" xfId="0" applyFont="1" applyFill="1" applyAlignment="1">
      <alignment vertical="center"/>
    </xf>
    <xf numFmtId="0" fontId="9" fillId="0" borderId="4" xfId="0" applyFont="1" applyFill="1" applyBorder="1" applyAlignment="1">
      <alignment horizontal="center" vertical="center"/>
    </xf>
    <xf numFmtId="0" fontId="9" fillId="2" borderId="19" xfId="0" applyFont="1" applyFill="1" applyBorder="1" applyAlignment="1">
      <alignment horizontal="center" vertical="center" wrapText="1"/>
    </xf>
    <xf numFmtId="166" fontId="9" fillId="2" borderId="18" xfId="0" applyNumberFormat="1" applyFont="1" applyFill="1" applyBorder="1" applyAlignment="1">
      <alignment horizontal="center" vertical="center" wrapText="1"/>
    </xf>
    <xf numFmtId="0" fontId="9" fillId="2" borderId="18"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6" fillId="0" borderId="0" xfId="0" applyFont="1" applyBorder="1" applyAlignment="1">
      <alignment vertical="center"/>
    </xf>
    <xf numFmtId="0" fontId="9" fillId="0" borderId="8" xfId="0" applyFont="1" applyFill="1" applyBorder="1" applyAlignment="1">
      <alignment horizontal="center" vertical="center"/>
    </xf>
    <xf numFmtId="166" fontId="9" fillId="0" borderId="4" xfId="0" applyNumberFormat="1" applyFont="1" applyFill="1" applyBorder="1" applyAlignment="1">
      <alignment horizontal="center" vertical="center"/>
    </xf>
    <xf numFmtId="0" fontId="9" fillId="0" borderId="3" xfId="0" applyFont="1" applyFill="1" applyBorder="1" applyAlignment="1">
      <alignment horizontal="center" vertical="center"/>
    </xf>
    <xf numFmtId="0" fontId="0" fillId="0" borderId="4" xfId="0" applyFill="1" applyBorder="1" applyAlignment="1">
      <alignment horizontal="center" vertical="center" wrapText="1"/>
    </xf>
    <xf numFmtId="0" fontId="9" fillId="0" borderId="2"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527"/>
  <sheetViews>
    <sheetView tabSelected="1" topLeftCell="A4" zoomScaleNormal="100" zoomScaleSheetLayoutView="84" workbookViewId="0">
      <pane ySplit="2490" topLeftCell="A68" activePane="bottomLeft"/>
      <selection activeCell="J8" sqref="J8"/>
      <selection pane="bottomLeft" activeCell="K77" sqref="K77"/>
    </sheetView>
  </sheetViews>
  <sheetFormatPr baseColWidth="10" defaultRowHeight="12.75" x14ac:dyDescent="0.2"/>
  <cols>
    <col min="1" max="1" width="4.42578125" style="29" customWidth="1"/>
    <col min="2" max="2" width="28.5703125" style="29" customWidth="1"/>
    <col min="3" max="3" width="14.5703125" style="288" customWidth="1"/>
    <col min="4" max="4" width="23.42578125" style="29" customWidth="1"/>
    <col min="5" max="5" width="79.7109375" style="29" customWidth="1"/>
    <col min="6" max="6" width="15.140625" style="29" hidden="1" customWidth="1"/>
    <col min="7" max="7" width="14" style="29" customWidth="1"/>
    <col min="8" max="8" width="20.42578125" style="29" customWidth="1"/>
    <col min="9" max="9" width="16.85546875" style="29" customWidth="1"/>
    <col min="10" max="10" width="9.85546875" style="29" customWidth="1"/>
    <col min="11" max="11" width="15.42578125" style="29" customWidth="1"/>
    <col min="12" max="12" width="14.28515625" style="29" customWidth="1"/>
    <col min="13" max="13" width="2.85546875" style="29" customWidth="1"/>
    <col min="14" max="14" width="14.42578125" style="29" customWidth="1"/>
    <col min="15" max="15" width="12.7109375" style="29" customWidth="1"/>
    <col min="16" max="16384" width="11.42578125" style="29"/>
  </cols>
  <sheetData>
    <row r="1" spans="2:34" ht="19.5" x14ac:dyDescent="0.2">
      <c r="B1" s="25" t="s">
        <v>74</v>
      </c>
      <c r="C1" s="26"/>
      <c r="D1" s="27"/>
      <c r="E1" s="28"/>
      <c r="F1" s="28"/>
      <c r="G1" s="28"/>
      <c r="H1" s="28"/>
      <c r="I1" s="28"/>
      <c r="J1" s="28"/>
      <c r="K1" s="28"/>
      <c r="L1" s="28"/>
      <c r="M1" s="28"/>
      <c r="N1" s="28"/>
      <c r="O1" s="28"/>
    </row>
    <row r="2" spans="2:34" ht="19.5" x14ac:dyDescent="0.2">
      <c r="B2" s="25" t="s">
        <v>350</v>
      </c>
      <c r="C2" s="26"/>
      <c r="D2" s="27"/>
      <c r="E2" s="28"/>
      <c r="F2" s="28"/>
      <c r="G2" s="28"/>
      <c r="H2" s="28"/>
      <c r="I2" s="28"/>
      <c r="J2" s="28"/>
      <c r="K2" s="28"/>
      <c r="L2" s="28"/>
      <c r="M2" s="28"/>
      <c r="N2" s="28"/>
      <c r="O2" s="28"/>
      <c r="Q2" s="30"/>
      <c r="R2" s="30"/>
      <c r="S2" s="31"/>
      <c r="U2" s="30"/>
      <c r="V2" s="30"/>
      <c r="W2" s="30"/>
      <c r="X2" s="30"/>
      <c r="Y2" s="30"/>
      <c r="Z2" s="32"/>
      <c r="AB2" s="30"/>
      <c r="AC2" s="30"/>
      <c r="AD2" s="30"/>
      <c r="AE2" s="31"/>
      <c r="AF2" s="33"/>
      <c r="AG2" s="34"/>
      <c r="AH2" s="35"/>
    </row>
    <row r="3" spans="2:34" ht="19.5" x14ac:dyDescent="0.2">
      <c r="B3" s="25"/>
      <c r="C3" s="26"/>
      <c r="D3" s="27"/>
      <c r="E3" s="28"/>
      <c r="F3" s="28"/>
      <c r="G3" s="28"/>
      <c r="H3" s="28"/>
      <c r="I3" s="28"/>
      <c r="J3" s="28"/>
      <c r="K3" s="36"/>
      <c r="L3" s="37"/>
      <c r="M3" s="28"/>
      <c r="N3" s="28"/>
      <c r="O3" s="28"/>
      <c r="Q3" s="30"/>
      <c r="R3" s="30"/>
      <c r="S3" s="31"/>
      <c r="U3" s="30"/>
      <c r="V3" s="30"/>
      <c r="W3" s="30"/>
      <c r="X3" s="30"/>
      <c r="Y3" s="30"/>
      <c r="Z3" s="32"/>
      <c r="AB3" s="30"/>
      <c r="AC3" s="30"/>
      <c r="AD3" s="30"/>
      <c r="AE3" s="31"/>
      <c r="AF3" s="33"/>
      <c r="AG3" s="34"/>
      <c r="AH3" s="35"/>
    </row>
    <row r="4" spans="2:34" ht="19.5" customHeight="1" x14ac:dyDescent="0.2">
      <c r="B4" s="25"/>
      <c r="C4" s="38"/>
      <c r="D4" s="39"/>
      <c r="E4" s="40"/>
      <c r="F4" s="40"/>
      <c r="G4" s="40"/>
      <c r="H4" s="40"/>
      <c r="I4" s="40"/>
      <c r="J4" s="40"/>
      <c r="K4" s="41"/>
      <c r="L4" s="40"/>
      <c r="M4" s="40"/>
      <c r="N4" s="40"/>
      <c r="O4" s="40"/>
      <c r="Q4" s="30"/>
      <c r="R4" s="30"/>
      <c r="S4" s="31"/>
      <c r="U4" s="30"/>
      <c r="V4" s="30"/>
      <c r="W4" s="30"/>
      <c r="X4" s="30"/>
      <c r="Y4" s="30"/>
      <c r="Z4" s="32"/>
      <c r="AB4" s="30"/>
      <c r="AC4" s="30"/>
      <c r="AD4" s="30"/>
      <c r="AE4" s="31"/>
      <c r="AF4" s="33"/>
      <c r="AG4" s="34"/>
      <c r="AH4" s="35"/>
    </row>
    <row r="5" spans="2:34" ht="19.5" customHeight="1" x14ac:dyDescent="0.2">
      <c r="B5" s="42" t="s">
        <v>520</v>
      </c>
      <c r="C5" s="42"/>
      <c r="D5" s="42"/>
      <c r="E5" s="42"/>
      <c r="F5" s="42"/>
      <c r="G5" s="42"/>
      <c r="H5" s="42"/>
      <c r="I5" s="42"/>
      <c r="J5" s="42"/>
      <c r="K5" s="42"/>
      <c r="L5" s="42"/>
      <c r="M5" s="42"/>
      <c r="N5" s="42"/>
      <c r="O5" s="43"/>
      <c r="Q5" s="30"/>
      <c r="R5" s="30"/>
      <c r="S5" s="31"/>
      <c r="U5" s="30"/>
      <c r="V5" s="30"/>
      <c r="W5" s="30"/>
      <c r="X5" s="30"/>
      <c r="Y5" s="30"/>
      <c r="Z5" s="32"/>
      <c r="AB5" s="30"/>
      <c r="AC5" s="30"/>
      <c r="AD5" s="30"/>
      <c r="AE5" s="31"/>
      <c r="AF5" s="33"/>
      <c r="AG5" s="34"/>
      <c r="AH5" s="35"/>
    </row>
    <row r="6" spans="2:34" s="44" customFormat="1" ht="19.5" x14ac:dyDescent="0.2">
      <c r="B6" s="42" t="s">
        <v>150</v>
      </c>
      <c r="C6" s="42"/>
      <c r="D6" s="42"/>
      <c r="E6" s="42"/>
      <c r="F6" s="42"/>
      <c r="G6" s="42"/>
      <c r="H6" s="42"/>
      <c r="I6" s="42"/>
      <c r="J6" s="42"/>
      <c r="K6" s="42"/>
      <c r="L6" s="42"/>
      <c r="M6" s="42"/>
      <c r="N6" s="42"/>
      <c r="O6" s="43"/>
    </row>
    <row r="7" spans="2:34" s="44" customFormat="1" ht="20.25" customHeight="1" thickBot="1" x14ac:dyDescent="0.25">
      <c r="B7" s="307" t="s">
        <v>289</v>
      </c>
      <c r="C7" s="307"/>
      <c r="D7" s="307"/>
      <c r="E7" s="307"/>
      <c r="F7" s="307"/>
      <c r="G7" s="307"/>
      <c r="H7" s="307"/>
      <c r="I7" s="307"/>
      <c r="J7" s="307"/>
      <c r="K7" s="307"/>
      <c r="L7" s="307"/>
      <c r="M7" s="307"/>
      <c r="N7" s="307"/>
      <c r="O7" s="45"/>
    </row>
    <row r="8" spans="2:34" ht="30" customHeight="1" thickTop="1" thickBot="1" x14ac:dyDescent="0.25">
      <c r="B8" s="314" t="s">
        <v>558</v>
      </c>
      <c r="C8" s="315" t="s">
        <v>557</v>
      </c>
      <c r="D8" s="316" t="s">
        <v>0</v>
      </c>
      <c r="E8" s="316" t="s">
        <v>114</v>
      </c>
      <c r="F8" s="317" t="s">
        <v>4</v>
      </c>
      <c r="G8" s="318" t="s">
        <v>1</v>
      </c>
      <c r="H8" s="319" t="s">
        <v>556</v>
      </c>
      <c r="I8" s="314" t="s">
        <v>555</v>
      </c>
      <c r="J8" s="319" t="s">
        <v>554</v>
      </c>
      <c r="K8" s="317" t="s">
        <v>551</v>
      </c>
      <c r="L8" s="320" t="s">
        <v>553</v>
      </c>
      <c r="M8" s="318"/>
      <c r="N8" s="319" t="s">
        <v>552</v>
      </c>
      <c r="O8" s="44"/>
    </row>
    <row r="9" spans="2:34" s="311" customFormat="1" ht="16.5" thickTop="1" x14ac:dyDescent="0.2">
      <c r="B9" s="322"/>
      <c r="C9" s="323"/>
      <c r="D9" s="313"/>
      <c r="E9" s="313"/>
      <c r="F9" s="324"/>
      <c r="G9" s="324"/>
      <c r="H9" s="325"/>
      <c r="I9" s="322"/>
      <c r="J9" s="313"/>
      <c r="K9" s="326"/>
      <c r="L9" s="47"/>
      <c r="M9" s="47"/>
      <c r="N9" s="48"/>
      <c r="O9" s="312"/>
    </row>
    <row r="10" spans="2:34" ht="15.75" x14ac:dyDescent="0.2">
      <c r="B10" s="102">
        <v>1990</v>
      </c>
      <c r="C10" s="103"/>
      <c r="D10" s="51"/>
      <c r="E10" s="104"/>
      <c r="F10" s="321"/>
      <c r="G10" s="104"/>
      <c r="H10" s="104"/>
      <c r="I10" s="104"/>
      <c r="J10" s="104"/>
      <c r="K10" s="104"/>
      <c r="L10" s="105">
        <f>+L11</f>
        <v>198092.5</v>
      </c>
      <c r="M10" s="105"/>
      <c r="N10" s="106">
        <f>+N11</f>
        <v>0</v>
      </c>
    </row>
    <row r="11" spans="2:34" x14ac:dyDescent="0.2">
      <c r="B11" s="49" t="s">
        <v>109</v>
      </c>
      <c r="C11" s="50"/>
      <c r="D11" s="51"/>
      <c r="E11" s="52"/>
      <c r="F11" s="53"/>
      <c r="G11" s="52"/>
      <c r="H11" s="52"/>
      <c r="I11" s="52"/>
      <c r="J11" s="52"/>
      <c r="K11" s="52"/>
      <c r="L11" s="54">
        <f>SUM(L12:L17)</f>
        <v>198092.5</v>
      </c>
      <c r="M11" s="55"/>
      <c r="N11" s="56">
        <f>SUM(N12:N17)</f>
        <v>0</v>
      </c>
      <c r="O11" s="46"/>
    </row>
    <row r="12" spans="2:34" ht="15" x14ac:dyDescent="0.2">
      <c r="B12" s="57" t="s">
        <v>94</v>
      </c>
      <c r="C12" s="58">
        <v>32912</v>
      </c>
      <c r="D12" s="2" t="s">
        <v>322</v>
      </c>
      <c r="E12" s="51" t="s">
        <v>95</v>
      </c>
      <c r="F12" s="59" t="s">
        <v>96</v>
      </c>
      <c r="G12" s="51" t="s">
        <v>97</v>
      </c>
      <c r="H12" s="51" t="s">
        <v>97</v>
      </c>
      <c r="I12" s="51" t="s">
        <v>98</v>
      </c>
      <c r="J12" s="60" t="s">
        <v>99</v>
      </c>
      <c r="K12" s="61" t="s">
        <v>100</v>
      </c>
      <c r="L12" s="62">
        <v>8880</v>
      </c>
      <c r="M12" s="63" t="s">
        <v>138</v>
      </c>
      <c r="N12" s="64">
        <v>0</v>
      </c>
      <c r="P12" s="44"/>
    </row>
    <row r="13" spans="2:34" ht="15" x14ac:dyDescent="0.2">
      <c r="B13" s="65" t="s">
        <v>134</v>
      </c>
      <c r="C13" s="58">
        <v>32933</v>
      </c>
      <c r="D13" s="2" t="s">
        <v>322</v>
      </c>
      <c r="E13" s="51" t="s">
        <v>131</v>
      </c>
      <c r="F13" s="59" t="s">
        <v>41</v>
      </c>
      <c r="G13" s="51" t="s">
        <v>2</v>
      </c>
      <c r="H13" s="51" t="s">
        <v>133</v>
      </c>
      <c r="I13" s="66" t="s">
        <v>132</v>
      </c>
      <c r="J13" s="60" t="s">
        <v>25</v>
      </c>
      <c r="K13" s="67" t="s">
        <v>115</v>
      </c>
      <c r="L13" s="62">
        <f>100000000/1000</f>
        <v>100000</v>
      </c>
      <c r="M13" s="63"/>
      <c r="N13" s="64"/>
      <c r="P13" s="44"/>
    </row>
    <row r="14" spans="2:34" ht="15" x14ac:dyDescent="0.2">
      <c r="B14" s="65" t="s">
        <v>135</v>
      </c>
      <c r="C14" s="58">
        <v>32933</v>
      </c>
      <c r="D14" s="2" t="s">
        <v>322</v>
      </c>
      <c r="E14" s="51" t="s">
        <v>131</v>
      </c>
      <c r="F14" s="59" t="s">
        <v>41</v>
      </c>
      <c r="G14" s="51" t="s">
        <v>2</v>
      </c>
      <c r="H14" s="51" t="s">
        <v>133</v>
      </c>
      <c r="I14" s="66" t="s">
        <v>132</v>
      </c>
      <c r="J14" s="60" t="s">
        <v>25</v>
      </c>
      <c r="K14" s="67" t="s">
        <v>115</v>
      </c>
      <c r="L14" s="62">
        <f>22750000/1000</f>
        <v>22750</v>
      </c>
      <c r="M14" s="63"/>
      <c r="N14" s="64"/>
      <c r="O14" s="44"/>
      <c r="P14" s="44"/>
    </row>
    <row r="15" spans="2:34" ht="15" x14ac:dyDescent="0.2">
      <c r="B15" s="57" t="s">
        <v>119</v>
      </c>
      <c r="C15" s="58">
        <v>32933</v>
      </c>
      <c r="D15" s="2" t="s">
        <v>322</v>
      </c>
      <c r="E15" s="51" t="s">
        <v>120</v>
      </c>
      <c r="F15" s="59" t="s">
        <v>41</v>
      </c>
      <c r="G15" s="51" t="s">
        <v>2</v>
      </c>
      <c r="H15" s="51" t="s">
        <v>124</v>
      </c>
      <c r="I15" s="51" t="s">
        <v>121</v>
      </c>
      <c r="J15" s="60" t="s">
        <v>122</v>
      </c>
      <c r="K15" s="61" t="s">
        <v>123</v>
      </c>
      <c r="L15" s="62">
        <v>20000</v>
      </c>
      <c r="M15" s="63"/>
      <c r="N15" s="64"/>
      <c r="O15" s="44"/>
      <c r="P15" s="44"/>
    </row>
    <row r="16" spans="2:34" ht="15" x14ac:dyDescent="0.2">
      <c r="B16" s="57" t="s">
        <v>139</v>
      </c>
      <c r="C16" s="68">
        <v>33010</v>
      </c>
      <c r="D16" s="2" t="s">
        <v>322</v>
      </c>
      <c r="E16" s="51" t="s">
        <v>137</v>
      </c>
      <c r="F16" s="59" t="s">
        <v>41</v>
      </c>
      <c r="G16" s="51" t="s">
        <v>2</v>
      </c>
      <c r="H16" s="51" t="s">
        <v>133</v>
      </c>
      <c r="I16" s="66" t="s">
        <v>132</v>
      </c>
      <c r="J16" s="67" t="s">
        <v>25</v>
      </c>
      <c r="K16" s="67" t="s">
        <v>115</v>
      </c>
      <c r="L16" s="62">
        <f>34462500/1000</f>
        <v>34462.5</v>
      </c>
      <c r="M16" s="63"/>
      <c r="N16" s="64"/>
      <c r="O16" s="44"/>
    </row>
    <row r="17" spans="2:15" ht="15.75" thickBot="1" x14ac:dyDescent="0.25">
      <c r="B17" s="69" t="s">
        <v>157</v>
      </c>
      <c r="C17" s="70">
        <v>33046</v>
      </c>
      <c r="D17" s="2" t="s">
        <v>322</v>
      </c>
      <c r="E17" s="71" t="s">
        <v>136</v>
      </c>
      <c r="F17" s="72" t="s">
        <v>41</v>
      </c>
      <c r="G17" s="71" t="s">
        <v>2</v>
      </c>
      <c r="H17" s="71" t="s">
        <v>133</v>
      </c>
      <c r="I17" s="73" t="s">
        <v>132</v>
      </c>
      <c r="J17" s="74" t="s">
        <v>25</v>
      </c>
      <c r="K17" s="75" t="s">
        <v>115</v>
      </c>
      <c r="L17" s="76">
        <f>12000000/1000</f>
        <v>12000</v>
      </c>
      <c r="M17" s="77"/>
      <c r="N17" s="78"/>
      <c r="O17" s="44"/>
    </row>
    <row r="18" spans="2:15" s="311" customFormat="1" ht="16.5" thickTop="1" x14ac:dyDescent="0.2">
      <c r="B18" s="322"/>
      <c r="C18" s="323"/>
      <c r="D18" s="313"/>
      <c r="E18" s="313"/>
      <c r="F18" s="324"/>
      <c r="G18" s="324"/>
      <c r="H18" s="325"/>
      <c r="I18" s="322"/>
      <c r="J18" s="313"/>
      <c r="K18" s="326"/>
      <c r="L18" s="47"/>
      <c r="M18" s="47"/>
      <c r="N18" s="48"/>
      <c r="O18" s="312"/>
    </row>
    <row r="19" spans="2:15" ht="15.75" x14ac:dyDescent="0.2">
      <c r="B19" s="102">
        <v>1991</v>
      </c>
      <c r="C19" s="103"/>
      <c r="D19" s="51"/>
      <c r="E19" s="104"/>
      <c r="F19" s="321"/>
      <c r="G19" s="104"/>
      <c r="H19" s="104"/>
      <c r="I19" s="104"/>
      <c r="J19" s="104"/>
      <c r="K19" s="104"/>
      <c r="L19" s="105">
        <f>+L20</f>
        <v>0</v>
      </c>
      <c r="M19" s="105"/>
      <c r="N19" s="106">
        <f>+N20</f>
        <v>3000</v>
      </c>
    </row>
    <row r="20" spans="2:15" x14ac:dyDescent="0.2">
      <c r="B20" s="49" t="s">
        <v>110</v>
      </c>
      <c r="C20" s="50"/>
      <c r="D20" s="52"/>
      <c r="E20" s="52"/>
      <c r="F20" s="53"/>
      <c r="G20" s="52"/>
      <c r="H20" s="52"/>
      <c r="I20" s="52"/>
      <c r="J20" s="52"/>
      <c r="K20" s="52"/>
      <c r="L20" s="54">
        <f>+L21</f>
        <v>0</v>
      </c>
      <c r="M20" s="55"/>
      <c r="N20" s="56">
        <f>+N21</f>
        <v>3000</v>
      </c>
      <c r="O20" s="46"/>
    </row>
    <row r="21" spans="2:15" x14ac:dyDescent="0.2">
      <c r="B21" s="57" t="s">
        <v>101</v>
      </c>
      <c r="C21" s="58">
        <v>33602</v>
      </c>
      <c r="D21" s="51" t="s">
        <v>6</v>
      </c>
      <c r="E21" s="51" t="s">
        <v>102</v>
      </c>
      <c r="F21" s="59" t="s">
        <v>8</v>
      </c>
      <c r="G21" s="51" t="s">
        <v>2</v>
      </c>
      <c r="H21" s="51" t="s">
        <v>8</v>
      </c>
      <c r="I21" s="51" t="s">
        <v>103</v>
      </c>
      <c r="J21" s="60" t="s">
        <v>43</v>
      </c>
      <c r="K21" s="61" t="s">
        <v>83</v>
      </c>
      <c r="L21" s="62">
        <v>0</v>
      </c>
      <c r="M21" s="62"/>
      <c r="N21" s="64">
        <v>3000</v>
      </c>
    </row>
    <row r="22" spans="2:15" ht="13.5" thickBot="1" x14ac:dyDescent="0.25">
      <c r="B22" s="69"/>
      <c r="C22" s="70"/>
      <c r="D22" s="71"/>
      <c r="E22" s="71"/>
      <c r="F22" s="72"/>
      <c r="G22" s="71"/>
      <c r="H22" s="71"/>
      <c r="I22" s="71"/>
      <c r="J22" s="74"/>
      <c r="K22" s="79"/>
      <c r="L22" s="76"/>
      <c r="M22" s="76"/>
      <c r="N22" s="78"/>
    </row>
    <row r="23" spans="2:15" s="311" customFormat="1" ht="16.5" thickTop="1" x14ac:dyDescent="0.2">
      <c r="B23" s="322"/>
      <c r="C23" s="323"/>
      <c r="D23" s="313"/>
      <c r="E23" s="313"/>
      <c r="F23" s="324"/>
      <c r="G23" s="324"/>
      <c r="H23" s="325"/>
      <c r="I23" s="322"/>
      <c r="J23" s="313"/>
      <c r="K23" s="326"/>
      <c r="L23" s="47"/>
      <c r="M23" s="47"/>
      <c r="N23" s="48"/>
      <c r="O23" s="312"/>
    </row>
    <row r="24" spans="2:15" ht="15.75" x14ac:dyDescent="0.2">
      <c r="B24" s="102">
        <v>1992</v>
      </c>
      <c r="C24" s="103"/>
      <c r="D24" s="51"/>
      <c r="E24" s="104"/>
      <c r="F24" s="321"/>
      <c r="G24" s="104"/>
      <c r="H24" s="104"/>
      <c r="I24" s="104"/>
      <c r="J24" s="104"/>
      <c r="K24" s="104"/>
      <c r="L24" s="105">
        <f>+L25</f>
        <v>35000</v>
      </c>
      <c r="M24" s="105"/>
      <c r="N24" s="106">
        <f>+N25</f>
        <v>0</v>
      </c>
    </row>
    <row r="25" spans="2:15" x14ac:dyDescent="0.2">
      <c r="B25" s="49" t="s">
        <v>109</v>
      </c>
      <c r="C25" s="50"/>
      <c r="D25" s="52"/>
      <c r="E25" s="52"/>
      <c r="F25" s="53"/>
      <c r="G25" s="52"/>
      <c r="H25" s="52"/>
      <c r="I25" s="52"/>
      <c r="J25" s="52"/>
      <c r="K25" s="52"/>
      <c r="L25" s="54">
        <f>SUM(L26:L27)</f>
        <v>35000</v>
      </c>
      <c r="M25" s="55"/>
      <c r="N25" s="56">
        <f>SUM(N26:N27)</f>
        <v>0</v>
      </c>
      <c r="O25" s="46"/>
    </row>
    <row r="26" spans="2:15" x14ac:dyDescent="0.2">
      <c r="B26" s="57" t="s">
        <v>117</v>
      </c>
      <c r="C26" s="58">
        <v>33936</v>
      </c>
      <c r="D26" s="2" t="s">
        <v>322</v>
      </c>
      <c r="E26" s="51" t="s">
        <v>113</v>
      </c>
      <c r="F26" s="59" t="s">
        <v>41</v>
      </c>
      <c r="G26" s="51" t="s">
        <v>42</v>
      </c>
      <c r="H26" s="51" t="s">
        <v>111</v>
      </c>
      <c r="I26" s="80" t="s">
        <v>140</v>
      </c>
      <c r="J26" s="81" t="s">
        <v>112</v>
      </c>
      <c r="K26" s="51" t="s">
        <v>115</v>
      </c>
      <c r="L26" s="82">
        <v>23000</v>
      </c>
      <c r="M26" s="83"/>
      <c r="N26" s="84"/>
    </row>
    <row r="27" spans="2:15" ht="13.5" thickBot="1" x14ac:dyDescent="0.25">
      <c r="B27" s="69" t="s">
        <v>118</v>
      </c>
      <c r="C27" s="70">
        <v>33936</v>
      </c>
      <c r="D27" s="2" t="s">
        <v>322</v>
      </c>
      <c r="E27" s="71" t="s">
        <v>116</v>
      </c>
      <c r="F27" s="72" t="s">
        <v>41</v>
      </c>
      <c r="G27" s="71" t="s">
        <v>42</v>
      </c>
      <c r="H27" s="71" t="s">
        <v>111</v>
      </c>
      <c r="I27" s="85" t="s">
        <v>140</v>
      </c>
      <c r="J27" s="86" t="s">
        <v>112</v>
      </c>
      <c r="K27" s="71" t="s">
        <v>115</v>
      </c>
      <c r="L27" s="87">
        <v>12000</v>
      </c>
      <c r="M27" s="88"/>
      <c r="N27" s="89"/>
    </row>
    <row r="28" spans="2:15" s="311" customFormat="1" ht="16.5" thickTop="1" x14ac:dyDescent="0.2">
      <c r="B28" s="322"/>
      <c r="C28" s="323"/>
      <c r="D28" s="313"/>
      <c r="E28" s="313"/>
      <c r="F28" s="324"/>
      <c r="G28" s="324"/>
      <c r="H28" s="325"/>
      <c r="I28" s="322"/>
      <c r="J28" s="313"/>
      <c r="K28" s="326"/>
      <c r="L28" s="47"/>
      <c r="M28" s="47"/>
      <c r="N28" s="48"/>
      <c r="O28" s="312"/>
    </row>
    <row r="29" spans="2:15" ht="15.75" x14ac:dyDescent="0.2">
      <c r="B29" s="102">
        <v>1994</v>
      </c>
      <c r="C29" s="103"/>
      <c r="D29" s="51"/>
      <c r="E29" s="104"/>
      <c r="F29" s="321"/>
      <c r="G29" s="104"/>
      <c r="H29" s="104"/>
      <c r="I29" s="104"/>
      <c r="J29" s="104"/>
      <c r="K29" s="104"/>
      <c r="L29" s="105">
        <f>+L30</f>
        <v>0</v>
      </c>
      <c r="M29" s="105"/>
      <c r="N29" s="106">
        <f>+N30</f>
        <v>618000</v>
      </c>
    </row>
    <row r="30" spans="2:15" x14ac:dyDescent="0.2">
      <c r="B30" s="49" t="s">
        <v>110</v>
      </c>
      <c r="C30" s="50"/>
      <c r="D30" s="52"/>
      <c r="E30" s="52"/>
      <c r="F30" s="53"/>
      <c r="G30" s="52"/>
      <c r="H30" s="52"/>
      <c r="I30" s="52"/>
      <c r="J30" s="52"/>
      <c r="K30" s="52"/>
      <c r="L30" s="54">
        <f>+L31</f>
        <v>0</v>
      </c>
      <c r="M30" s="55"/>
      <c r="N30" s="56">
        <f>SUM(N31:N32)</f>
        <v>618000</v>
      </c>
      <c r="O30" s="46"/>
    </row>
    <row r="31" spans="2:15" x14ac:dyDescent="0.2">
      <c r="B31" s="57" t="s">
        <v>104</v>
      </c>
      <c r="C31" s="58">
        <v>34485</v>
      </c>
      <c r="D31" s="51" t="s">
        <v>6</v>
      </c>
      <c r="E31" s="51" t="s">
        <v>106</v>
      </c>
      <c r="F31" s="59" t="s">
        <v>8</v>
      </c>
      <c r="G31" s="51" t="s">
        <v>2</v>
      </c>
      <c r="H31" s="51" t="s">
        <v>8</v>
      </c>
      <c r="I31" s="61" t="s">
        <v>16</v>
      </c>
      <c r="J31" s="60" t="s">
        <v>105</v>
      </c>
      <c r="K31" s="61" t="s">
        <v>88</v>
      </c>
      <c r="L31" s="62">
        <v>0</v>
      </c>
      <c r="M31" s="62"/>
      <c r="N31" s="64">
        <v>200000</v>
      </c>
    </row>
    <row r="32" spans="2:15" s="91" customFormat="1" ht="16.5" thickBot="1" x14ac:dyDescent="0.25">
      <c r="B32" s="69" t="s">
        <v>104</v>
      </c>
      <c r="C32" s="70">
        <v>34485</v>
      </c>
      <c r="D32" s="71" t="s">
        <v>6</v>
      </c>
      <c r="E32" s="71" t="s">
        <v>107</v>
      </c>
      <c r="F32" s="72" t="s">
        <v>8</v>
      </c>
      <c r="G32" s="71" t="s">
        <v>2</v>
      </c>
      <c r="H32" s="71" t="s">
        <v>8</v>
      </c>
      <c r="I32" s="79" t="s">
        <v>108</v>
      </c>
      <c r="J32" s="74" t="s">
        <v>105</v>
      </c>
      <c r="K32" s="90" t="s">
        <v>108</v>
      </c>
      <c r="L32" s="76">
        <v>0</v>
      </c>
      <c r="M32" s="76"/>
      <c r="N32" s="78">
        <v>418000</v>
      </c>
      <c r="O32" s="29"/>
    </row>
    <row r="33" spans="2:15" s="311" customFormat="1" ht="16.5" thickTop="1" x14ac:dyDescent="0.2">
      <c r="B33" s="322"/>
      <c r="C33" s="323"/>
      <c r="D33" s="313"/>
      <c r="E33" s="313"/>
      <c r="F33" s="324"/>
      <c r="G33" s="324"/>
      <c r="H33" s="325"/>
      <c r="I33" s="322"/>
      <c r="J33" s="313"/>
      <c r="K33" s="326"/>
      <c r="L33" s="47"/>
      <c r="M33" s="47"/>
      <c r="N33" s="48"/>
      <c r="O33" s="312"/>
    </row>
    <row r="34" spans="2:15" ht="15.75" x14ac:dyDescent="0.2">
      <c r="B34" s="102">
        <v>1995</v>
      </c>
      <c r="C34" s="103"/>
      <c r="D34" s="51"/>
      <c r="E34" s="104"/>
      <c r="F34" s="321"/>
      <c r="G34" s="104"/>
      <c r="H34" s="104"/>
      <c r="I34" s="104"/>
      <c r="J34" s="104"/>
      <c r="K34" s="104"/>
      <c r="L34" s="105">
        <f>+L35</f>
        <v>60000</v>
      </c>
      <c r="M34" s="105"/>
      <c r="N34" s="106">
        <f>+N35</f>
        <v>453000</v>
      </c>
    </row>
    <row r="35" spans="2:15" x14ac:dyDescent="0.2">
      <c r="B35" s="49" t="s">
        <v>110</v>
      </c>
      <c r="C35" s="50"/>
      <c r="D35" s="52"/>
      <c r="E35" s="52"/>
      <c r="F35" s="53"/>
      <c r="G35" s="52"/>
      <c r="H35" s="52"/>
      <c r="I35" s="52"/>
      <c r="J35" s="52"/>
      <c r="K35" s="52"/>
      <c r="L35" s="54">
        <f>SUM(L36:L38)</f>
        <v>60000</v>
      </c>
      <c r="M35" s="55"/>
      <c r="N35" s="56">
        <f>SUM(N36:N38)</f>
        <v>453000</v>
      </c>
      <c r="O35" s="46"/>
    </row>
    <row r="36" spans="2:15" x14ac:dyDescent="0.2">
      <c r="B36" s="57" t="s">
        <v>5</v>
      </c>
      <c r="C36" s="58">
        <v>34751</v>
      </c>
      <c r="D36" s="51" t="s">
        <v>6</v>
      </c>
      <c r="E36" s="51" t="s">
        <v>7</v>
      </c>
      <c r="F36" s="59" t="s">
        <v>8</v>
      </c>
      <c r="G36" s="51" t="s">
        <v>2</v>
      </c>
      <c r="H36" s="51" t="s">
        <v>2</v>
      </c>
      <c r="I36" s="51" t="s">
        <v>13</v>
      </c>
      <c r="J36" s="92" t="s">
        <v>11</v>
      </c>
      <c r="K36" s="93" t="s">
        <v>141</v>
      </c>
      <c r="L36" s="62">
        <v>60000</v>
      </c>
      <c r="M36" s="94" t="s">
        <v>11</v>
      </c>
      <c r="N36" s="84"/>
    </row>
    <row r="37" spans="2:15" x14ac:dyDescent="0.2">
      <c r="B37" s="57" t="s">
        <v>9</v>
      </c>
      <c r="C37" s="58">
        <v>34864</v>
      </c>
      <c r="D37" s="9" t="s">
        <v>352</v>
      </c>
      <c r="E37" s="59" t="s">
        <v>177</v>
      </c>
      <c r="F37" s="59" t="s">
        <v>8</v>
      </c>
      <c r="G37" s="51" t="s">
        <v>2</v>
      </c>
      <c r="H37" s="51" t="s">
        <v>2</v>
      </c>
      <c r="I37" s="92" t="s">
        <v>11</v>
      </c>
      <c r="J37" s="92" t="s">
        <v>11</v>
      </c>
      <c r="K37" s="92" t="s">
        <v>11</v>
      </c>
      <c r="L37" s="94">
        <v>0</v>
      </c>
      <c r="M37" s="94"/>
      <c r="N37" s="95">
        <v>200000</v>
      </c>
    </row>
    <row r="38" spans="2:15" s="91" customFormat="1" ht="16.5" thickBot="1" x14ac:dyDescent="0.25">
      <c r="B38" s="69" t="s">
        <v>12</v>
      </c>
      <c r="C38" s="70">
        <v>35063</v>
      </c>
      <c r="D38" s="9" t="s">
        <v>352</v>
      </c>
      <c r="E38" s="69" t="s">
        <v>177</v>
      </c>
      <c r="F38" s="72" t="s">
        <v>8</v>
      </c>
      <c r="G38" s="71" t="s">
        <v>2</v>
      </c>
      <c r="H38" s="71" t="s">
        <v>2</v>
      </c>
      <c r="I38" s="96" t="s">
        <v>11</v>
      </c>
      <c r="J38" s="96" t="s">
        <v>11</v>
      </c>
      <c r="K38" s="96" t="s">
        <v>11</v>
      </c>
      <c r="L38" s="97">
        <v>0</v>
      </c>
      <c r="M38" s="97"/>
      <c r="N38" s="98">
        <v>253000</v>
      </c>
      <c r="O38" s="29"/>
    </row>
    <row r="39" spans="2:15" s="311" customFormat="1" ht="16.5" thickTop="1" x14ac:dyDescent="0.2">
      <c r="B39" s="322"/>
      <c r="C39" s="323"/>
      <c r="D39" s="313"/>
      <c r="E39" s="313"/>
      <c r="F39" s="324"/>
      <c r="G39" s="324"/>
      <c r="H39" s="325"/>
      <c r="I39" s="322"/>
      <c r="J39" s="313"/>
      <c r="K39" s="326"/>
      <c r="L39" s="47"/>
      <c r="M39" s="47"/>
      <c r="N39" s="48"/>
      <c r="O39" s="312"/>
    </row>
    <row r="40" spans="2:15" ht="15.75" x14ac:dyDescent="0.2">
      <c r="B40" s="102">
        <v>1996</v>
      </c>
      <c r="C40" s="103"/>
      <c r="D40" s="51"/>
      <c r="E40" s="104"/>
      <c r="F40" s="321"/>
      <c r="G40" s="104"/>
      <c r="H40" s="104"/>
      <c r="I40" s="104"/>
      <c r="J40" s="104"/>
      <c r="K40" s="104"/>
      <c r="L40" s="105">
        <f>+L41</f>
        <v>0</v>
      </c>
      <c r="M40" s="105"/>
      <c r="N40" s="106">
        <f>+N41</f>
        <v>1542405.476</v>
      </c>
    </row>
    <row r="41" spans="2:15" x14ac:dyDescent="0.2">
      <c r="B41" s="49" t="s">
        <v>110</v>
      </c>
      <c r="C41" s="50"/>
      <c r="D41" s="52"/>
      <c r="E41" s="52"/>
      <c r="F41" s="53"/>
      <c r="G41" s="52"/>
      <c r="H41" s="52"/>
      <c r="I41" s="52"/>
      <c r="J41" s="52"/>
      <c r="K41" s="52"/>
      <c r="L41" s="54">
        <f>+L42</f>
        <v>0</v>
      </c>
      <c r="M41" s="55"/>
      <c r="N41" s="56">
        <f>SUM(N42:N44)</f>
        <v>1542405.476</v>
      </c>
      <c r="O41" s="46"/>
    </row>
    <row r="42" spans="2:15" x14ac:dyDescent="0.2">
      <c r="B42" s="57" t="s">
        <v>18</v>
      </c>
      <c r="C42" s="58">
        <v>35271</v>
      </c>
      <c r="D42" s="51" t="s">
        <v>6</v>
      </c>
      <c r="E42" s="59" t="s">
        <v>177</v>
      </c>
      <c r="F42" s="59" t="s">
        <v>8</v>
      </c>
      <c r="G42" s="51" t="s">
        <v>2</v>
      </c>
      <c r="H42" s="51" t="s">
        <v>2</v>
      </c>
      <c r="I42" s="51">
        <v>0</v>
      </c>
      <c r="J42" s="92" t="s">
        <v>11</v>
      </c>
      <c r="K42" s="99" t="s">
        <v>11</v>
      </c>
      <c r="L42" s="62"/>
      <c r="M42" s="62"/>
      <c r="N42" s="95">
        <v>887549.47600000002</v>
      </c>
    </row>
    <row r="43" spans="2:15" x14ac:dyDescent="0.2">
      <c r="B43" s="57" t="s">
        <v>14</v>
      </c>
      <c r="C43" s="58">
        <v>35430</v>
      </c>
      <c r="D43" s="51" t="s">
        <v>6</v>
      </c>
      <c r="E43" s="51" t="s">
        <v>15</v>
      </c>
      <c r="F43" s="59" t="s">
        <v>8</v>
      </c>
      <c r="G43" s="51" t="s">
        <v>2</v>
      </c>
      <c r="H43" s="51" t="s">
        <v>2</v>
      </c>
      <c r="I43" s="51" t="s">
        <v>16</v>
      </c>
      <c r="J43" s="60"/>
      <c r="K43" s="100" t="s">
        <v>142</v>
      </c>
      <c r="L43" s="62"/>
      <c r="M43" s="62"/>
      <c r="N43" s="95">
        <v>384000</v>
      </c>
    </row>
    <row r="44" spans="2:15" s="91" customFormat="1" ht="16.5" thickBot="1" x14ac:dyDescent="0.25">
      <c r="B44" s="69" t="s">
        <v>17</v>
      </c>
      <c r="C44" s="70">
        <v>35426</v>
      </c>
      <c r="D44" s="11" t="s">
        <v>352</v>
      </c>
      <c r="E44" s="59" t="s">
        <v>177</v>
      </c>
      <c r="F44" s="72" t="s">
        <v>8</v>
      </c>
      <c r="G44" s="71" t="s">
        <v>2</v>
      </c>
      <c r="H44" s="71" t="s">
        <v>2</v>
      </c>
      <c r="I44" s="71">
        <v>0</v>
      </c>
      <c r="J44" s="96" t="s">
        <v>11</v>
      </c>
      <c r="K44" s="101" t="s">
        <v>11</v>
      </c>
      <c r="L44" s="76"/>
      <c r="M44" s="76"/>
      <c r="N44" s="98">
        <v>270856</v>
      </c>
      <c r="O44" s="29"/>
    </row>
    <row r="45" spans="2:15" s="311" customFormat="1" ht="16.5" thickTop="1" x14ac:dyDescent="0.2">
      <c r="B45" s="322"/>
      <c r="C45" s="323"/>
      <c r="D45" s="313"/>
      <c r="E45" s="313"/>
      <c r="F45" s="324"/>
      <c r="G45" s="324"/>
      <c r="H45" s="325"/>
      <c r="I45" s="322"/>
      <c r="J45" s="313"/>
      <c r="K45" s="326"/>
      <c r="L45" s="47"/>
      <c r="M45" s="47"/>
      <c r="N45" s="48"/>
      <c r="O45" s="312"/>
    </row>
    <row r="46" spans="2:15" ht="15.75" x14ac:dyDescent="0.2">
      <c r="B46" s="102">
        <v>1997</v>
      </c>
      <c r="C46" s="103"/>
      <c r="D46" s="51"/>
      <c r="E46" s="104"/>
      <c r="F46" s="321"/>
      <c r="G46" s="104"/>
      <c r="H46" s="104"/>
      <c r="I46" s="104"/>
      <c r="J46" s="104"/>
      <c r="K46" s="104"/>
      <c r="L46" s="105">
        <f>+L47+L55</f>
        <v>592569.00399999996</v>
      </c>
      <c r="M46" s="105"/>
      <c r="N46" s="106">
        <f>+N47+N55</f>
        <v>1285896</v>
      </c>
    </row>
    <row r="47" spans="2:15" x14ac:dyDescent="0.2">
      <c r="B47" s="49" t="s">
        <v>109</v>
      </c>
      <c r="C47" s="50"/>
      <c r="D47" s="52"/>
      <c r="E47" s="52"/>
      <c r="F47" s="53"/>
      <c r="G47" s="52"/>
      <c r="H47" s="52"/>
      <c r="I47" s="52"/>
      <c r="J47" s="52"/>
      <c r="K47" s="52"/>
      <c r="L47" s="54">
        <f>SUM(L48:L53)</f>
        <v>592569.00399999996</v>
      </c>
      <c r="M47" s="55"/>
      <c r="N47" s="56">
        <f>SUM(N48:N53)</f>
        <v>0</v>
      </c>
      <c r="O47" s="46"/>
    </row>
    <row r="48" spans="2:15" x14ac:dyDescent="0.2">
      <c r="B48" s="57" t="s">
        <v>19</v>
      </c>
      <c r="C48" s="58">
        <v>35493</v>
      </c>
      <c r="D48" s="2" t="s">
        <v>22</v>
      </c>
      <c r="E48" s="51" t="s">
        <v>20</v>
      </c>
      <c r="F48" s="59" t="s">
        <v>8</v>
      </c>
      <c r="G48" s="51" t="s">
        <v>2</v>
      </c>
      <c r="H48" s="51" t="s">
        <v>2</v>
      </c>
      <c r="I48" s="107" t="s">
        <v>24</v>
      </c>
      <c r="J48" s="108" t="s">
        <v>25</v>
      </c>
      <c r="K48" s="107" t="s">
        <v>26</v>
      </c>
      <c r="L48" s="62">
        <v>438000</v>
      </c>
      <c r="M48" s="62"/>
      <c r="N48" s="64">
        <v>0</v>
      </c>
    </row>
    <row r="49" spans="2:15" x14ac:dyDescent="0.2">
      <c r="B49" s="57" t="s">
        <v>21</v>
      </c>
      <c r="C49" s="58">
        <v>35523</v>
      </c>
      <c r="D49" s="2" t="s">
        <v>22</v>
      </c>
      <c r="E49" s="51" t="s">
        <v>23</v>
      </c>
      <c r="F49" s="59" t="s">
        <v>8</v>
      </c>
      <c r="G49" s="51" t="s">
        <v>2</v>
      </c>
      <c r="H49" s="51" t="s">
        <v>2</v>
      </c>
      <c r="I49" s="109">
        <v>0.06</v>
      </c>
      <c r="J49" s="60">
        <v>0</v>
      </c>
      <c r="K49" s="107">
        <v>1.5</v>
      </c>
      <c r="L49" s="62">
        <v>130551.84</v>
      </c>
      <c r="M49" s="62"/>
      <c r="N49" s="64">
        <v>0</v>
      </c>
    </row>
    <row r="50" spans="2:15" x14ac:dyDescent="0.2">
      <c r="B50" s="57" t="s">
        <v>27</v>
      </c>
      <c r="C50" s="58">
        <v>35691</v>
      </c>
      <c r="D50" s="2" t="s">
        <v>22</v>
      </c>
      <c r="E50" s="51" t="s">
        <v>28</v>
      </c>
      <c r="F50" s="59" t="s">
        <v>30</v>
      </c>
      <c r="G50" s="51" t="s">
        <v>2</v>
      </c>
      <c r="H50" s="51" t="s">
        <v>31</v>
      </c>
      <c r="I50" s="110" t="s">
        <v>76</v>
      </c>
      <c r="J50" s="108" t="s">
        <v>25</v>
      </c>
      <c r="K50" s="60" t="s">
        <v>26</v>
      </c>
      <c r="L50" s="62">
        <v>3817.1640000000002</v>
      </c>
      <c r="M50" s="62"/>
      <c r="N50" s="64">
        <v>0</v>
      </c>
    </row>
    <row r="51" spans="2:15" x14ac:dyDescent="0.2">
      <c r="B51" s="57" t="s">
        <v>27</v>
      </c>
      <c r="C51" s="58">
        <v>35691</v>
      </c>
      <c r="D51" s="2" t="s">
        <v>22</v>
      </c>
      <c r="E51" s="51" t="s">
        <v>28</v>
      </c>
      <c r="F51" s="59" t="s">
        <v>30</v>
      </c>
      <c r="G51" s="51" t="s">
        <v>2</v>
      </c>
      <c r="H51" s="51" t="s">
        <v>31</v>
      </c>
      <c r="I51" s="60" t="s">
        <v>32</v>
      </c>
      <c r="J51" s="108" t="s">
        <v>25</v>
      </c>
      <c r="K51" s="60" t="s">
        <v>26</v>
      </c>
      <c r="L51" s="62">
        <v>2200</v>
      </c>
      <c r="M51" s="62"/>
      <c r="N51" s="64">
        <v>0</v>
      </c>
    </row>
    <row r="52" spans="2:15" s="46" customFormat="1" x14ac:dyDescent="0.2">
      <c r="B52" s="57" t="s">
        <v>33</v>
      </c>
      <c r="C52" s="58">
        <v>35691</v>
      </c>
      <c r="D52" s="2" t="s">
        <v>22</v>
      </c>
      <c r="E52" s="51" t="s">
        <v>34</v>
      </c>
      <c r="F52" s="59" t="s">
        <v>30</v>
      </c>
      <c r="G52" s="51" t="s">
        <v>2</v>
      </c>
      <c r="H52" s="51" t="s">
        <v>31</v>
      </c>
      <c r="I52" s="60" t="s">
        <v>37</v>
      </c>
      <c r="J52" s="60" t="s">
        <v>36</v>
      </c>
      <c r="K52" s="60" t="s">
        <v>35</v>
      </c>
      <c r="L52" s="62">
        <v>9000</v>
      </c>
      <c r="M52" s="62"/>
      <c r="N52" s="64">
        <v>0</v>
      </c>
      <c r="O52" s="29"/>
    </row>
    <row r="53" spans="2:15" x14ac:dyDescent="0.2">
      <c r="B53" s="57" t="s">
        <v>75</v>
      </c>
      <c r="C53" s="58">
        <v>35783</v>
      </c>
      <c r="D53" s="2" t="s">
        <v>22</v>
      </c>
      <c r="E53" s="51" t="s">
        <v>34</v>
      </c>
      <c r="F53" s="59" t="s">
        <v>30</v>
      </c>
      <c r="G53" s="51" t="s">
        <v>2</v>
      </c>
      <c r="H53" s="51" t="s">
        <v>31</v>
      </c>
      <c r="I53" s="60" t="s">
        <v>37</v>
      </c>
      <c r="J53" s="60" t="s">
        <v>36</v>
      </c>
      <c r="K53" s="60" t="s">
        <v>35</v>
      </c>
      <c r="L53" s="94">
        <v>9000</v>
      </c>
      <c r="M53" s="94"/>
      <c r="N53" s="95">
        <v>0</v>
      </c>
    </row>
    <row r="54" spans="2:15" x14ac:dyDescent="0.2">
      <c r="B54" s="57"/>
      <c r="C54" s="58"/>
      <c r="D54" s="51"/>
      <c r="E54" s="51"/>
      <c r="F54" s="59"/>
      <c r="G54" s="51"/>
      <c r="H54" s="51"/>
      <c r="I54" s="60"/>
      <c r="J54" s="60"/>
      <c r="K54" s="60"/>
      <c r="L54" s="94"/>
      <c r="M54" s="94"/>
      <c r="N54" s="95"/>
    </row>
    <row r="55" spans="2:15" x14ac:dyDescent="0.2">
      <c r="B55" s="49" t="s">
        <v>110</v>
      </c>
      <c r="C55" s="50"/>
      <c r="D55" s="52"/>
      <c r="E55" s="52"/>
      <c r="F55" s="53"/>
      <c r="G55" s="52"/>
      <c r="H55" s="52"/>
      <c r="I55" s="52"/>
      <c r="J55" s="52"/>
      <c r="K55" s="52"/>
      <c r="L55" s="54">
        <f>+L56</f>
        <v>0</v>
      </c>
      <c r="M55" s="55"/>
      <c r="N55" s="56">
        <f>+N56</f>
        <v>1285896</v>
      </c>
      <c r="O55" s="46"/>
    </row>
    <row r="56" spans="2:15" s="91" customFormat="1" ht="16.5" thickBot="1" x14ac:dyDescent="0.25">
      <c r="B56" s="69" t="s">
        <v>38</v>
      </c>
      <c r="C56" s="70">
        <v>35663</v>
      </c>
      <c r="D56" s="9" t="s">
        <v>352</v>
      </c>
      <c r="E56" s="59" t="s">
        <v>177</v>
      </c>
      <c r="F56" s="72" t="s">
        <v>8</v>
      </c>
      <c r="G56" s="71" t="s">
        <v>2</v>
      </c>
      <c r="H56" s="71" t="s">
        <v>2</v>
      </c>
      <c r="I56" s="74">
        <v>0</v>
      </c>
      <c r="J56" s="96" t="s">
        <v>11</v>
      </c>
      <c r="K56" s="96" t="s">
        <v>11</v>
      </c>
      <c r="L56" s="97">
        <v>0</v>
      </c>
      <c r="M56" s="97"/>
      <c r="N56" s="98">
        <v>1285896</v>
      </c>
      <c r="O56" s="29"/>
    </row>
    <row r="57" spans="2:15" s="311" customFormat="1" ht="16.5" thickTop="1" x14ac:dyDescent="0.2">
      <c r="B57" s="322"/>
      <c r="C57" s="323"/>
      <c r="D57" s="313"/>
      <c r="E57" s="313"/>
      <c r="F57" s="324"/>
      <c r="G57" s="324"/>
      <c r="H57" s="325"/>
      <c r="I57" s="322"/>
      <c r="J57" s="313"/>
      <c r="K57" s="326"/>
      <c r="L57" s="47"/>
      <c r="M57" s="47"/>
      <c r="N57" s="48"/>
      <c r="O57" s="312"/>
    </row>
    <row r="58" spans="2:15" ht="15.75" x14ac:dyDescent="0.2">
      <c r="B58" s="102">
        <v>1998</v>
      </c>
      <c r="C58" s="103"/>
      <c r="D58" s="51"/>
      <c r="E58" s="104"/>
      <c r="F58" s="321"/>
      <c r="G58" s="104"/>
      <c r="H58" s="104"/>
      <c r="I58" s="104"/>
      <c r="J58" s="104"/>
      <c r="K58" s="104"/>
      <c r="L58" s="105">
        <f>+L59+L65</f>
        <v>447031.2536</v>
      </c>
      <c r="M58" s="105"/>
      <c r="N58" s="106">
        <f>+N59+N65</f>
        <v>800000</v>
      </c>
    </row>
    <row r="59" spans="2:15" x14ac:dyDescent="0.2">
      <c r="B59" s="49" t="s">
        <v>109</v>
      </c>
      <c r="C59" s="50"/>
      <c r="D59" s="52"/>
      <c r="E59" s="52"/>
      <c r="F59" s="53"/>
      <c r="G59" s="52"/>
      <c r="H59" s="52"/>
      <c r="I59" s="52"/>
      <c r="J59" s="52"/>
      <c r="K59" s="52"/>
      <c r="L59" s="54">
        <f>SUM(L60:L63)</f>
        <v>147031.2536</v>
      </c>
      <c r="M59" s="55"/>
      <c r="N59" s="56">
        <f>SUM(N60:N63)</f>
        <v>0</v>
      </c>
      <c r="O59" s="46"/>
    </row>
    <row r="60" spans="2:15" x14ac:dyDescent="0.2">
      <c r="B60" s="57" t="s">
        <v>40</v>
      </c>
      <c r="C60" s="58">
        <v>35868</v>
      </c>
      <c r="D60" s="2" t="s">
        <v>22</v>
      </c>
      <c r="E60" s="51" t="s">
        <v>41</v>
      </c>
      <c r="F60" s="59" t="s">
        <v>41</v>
      </c>
      <c r="G60" s="51" t="s">
        <v>2</v>
      </c>
      <c r="H60" s="51" t="s">
        <v>42</v>
      </c>
      <c r="I60" s="60" t="s">
        <v>45</v>
      </c>
      <c r="J60" s="60" t="s">
        <v>43</v>
      </c>
      <c r="K60" s="60" t="s">
        <v>44</v>
      </c>
      <c r="L60" s="94">
        <v>13200</v>
      </c>
      <c r="M60" s="94"/>
      <c r="N60" s="95"/>
    </row>
    <row r="61" spans="2:15" x14ac:dyDescent="0.2">
      <c r="B61" s="57" t="s">
        <v>46</v>
      </c>
      <c r="C61" s="58">
        <v>35983</v>
      </c>
      <c r="D61" s="2" t="s">
        <v>22</v>
      </c>
      <c r="E61" s="51" t="s">
        <v>47</v>
      </c>
      <c r="F61" s="59" t="s">
        <v>3</v>
      </c>
      <c r="G61" s="51" t="s">
        <v>2</v>
      </c>
      <c r="H61" s="51" t="s">
        <v>29</v>
      </c>
      <c r="I61" s="60" t="s">
        <v>76</v>
      </c>
      <c r="J61" s="92"/>
      <c r="K61" s="100" t="s">
        <v>143</v>
      </c>
      <c r="L61" s="94">
        <v>2000</v>
      </c>
      <c r="M61" s="94"/>
      <c r="N61" s="95"/>
    </row>
    <row r="62" spans="2:15" s="46" customFormat="1" x14ac:dyDescent="0.2">
      <c r="B62" s="111" t="s">
        <v>144</v>
      </c>
      <c r="C62" s="58">
        <v>36167</v>
      </c>
      <c r="D62" s="2" t="s">
        <v>22</v>
      </c>
      <c r="E62" s="51" t="s">
        <v>52</v>
      </c>
      <c r="F62" s="59" t="s">
        <v>8</v>
      </c>
      <c r="G62" s="51" t="s">
        <v>2</v>
      </c>
      <c r="H62" s="51" t="s">
        <v>2</v>
      </c>
      <c r="I62" s="60"/>
      <c r="J62" s="92"/>
      <c r="K62" s="92"/>
      <c r="L62" s="94">
        <v>126004</v>
      </c>
      <c r="M62" s="94"/>
      <c r="N62" s="95"/>
      <c r="O62" s="29"/>
    </row>
    <row r="63" spans="2:15" x14ac:dyDescent="0.2">
      <c r="B63" s="57" t="s">
        <v>48</v>
      </c>
      <c r="C63" s="58">
        <v>36160</v>
      </c>
      <c r="D63" s="51" t="s">
        <v>49</v>
      </c>
      <c r="E63" s="13" t="s">
        <v>543</v>
      </c>
      <c r="F63" s="59" t="s">
        <v>50</v>
      </c>
      <c r="G63" s="51" t="s">
        <v>2</v>
      </c>
      <c r="H63" s="51" t="s">
        <v>51</v>
      </c>
      <c r="I63" s="112">
        <v>0.04</v>
      </c>
      <c r="J63" s="92">
        <v>0</v>
      </c>
      <c r="K63" s="60" t="s">
        <v>77</v>
      </c>
      <c r="L63" s="94">
        <v>5827.2536</v>
      </c>
      <c r="M63" s="94"/>
      <c r="N63" s="95"/>
    </row>
    <row r="64" spans="2:15" x14ac:dyDescent="0.2">
      <c r="B64" s="57"/>
      <c r="C64" s="58"/>
      <c r="D64" s="51"/>
      <c r="E64" s="51"/>
      <c r="F64" s="59"/>
      <c r="G64" s="51"/>
      <c r="H64" s="51"/>
      <c r="I64" s="112"/>
      <c r="J64" s="92"/>
      <c r="K64" s="60"/>
      <c r="L64" s="94"/>
      <c r="M64" s="94"/>
      <c r="N64" s="95"/>
    </row>
    <row r="65" spans="2:15" x14ac:dyDescent="0.2">
      <c r="B65" s="49" t="s">
        <v>110</v>
      </c>
      <c r="C65" s="50"/>
      <c r="D65" s="52"/>
      <c r="E65" s="52"/>
      <c r="F65" s="53"/>
      <c r="G65" s="52"/>
      <c r="H65" s="52"/>
      <c r="I65" s="52"/>
      <c r="J65" s="52"/>
      <c r="K65" s="52"/>
      <c r="L65" s="54">
        <f>SUM(L66:M68)</f>
        <v>300000</v>
      </c>
      <c r="M65" s="55"/>
      <c r="N65" s="56">
        <f>SUM(N66:N68)</f>
        <v>800000</v>
      </c>
      <c r="O65" s="46"/>
    </row>
    <row r="66" spans="2:15" x14ac:dyDescent="0.2">
      <c r="B66" s="57" t="s">
        <v>53</v>
      </c>
      <c r="C66" s="58">
        <v>36011</v>
      </c>
      <c r="D66" s="9" t="s">
        <v>352</v>
      </c>
      <c r="E66" s="59" t="s">
        <v>177</v>
      </c>
      <c r="F66" s="59" t="s">
        <v>8</v>
      </c>
      <c r="G66" s="51" t="s">
        <v>2</v>
      </c>
      <c r="H66" s="51" t="s">
        <v>2</v>
      </c>
      <c r="I66" s="92" t="s">
        <v>11</v>
      </c>
      <c r="J66" s="92" t="s">
        <v>11</v>
      </c>
      <c r="K66" s="92" t="s">
        <v>11</v>
      </c>
      <c r="L66" s="94"/>
      <c r="M66" s="94"/>
      <c r="N66" s="95">
        <v>800000</v>
      </c>
    </row>
    <row r="67" spans="2:15" x14ac:dyDescent="0.2">
      <c r="B67" s="113" t="s">
        <v>54</v>
      </c>
      <c r="C67" s="58">
        <v>36135</v>
      </c>
      <c r="D67" s="51" t="s">
        <v>39</v>
      </c>
      <c r="E67" s="51" t="s">
        <v>93</v>
      </c>
      <c r="F67" s="59" t="s">
        <v>8</v>
      </c>
      <c r="G67" s="51" t="s">
        <v>2</v>
      </c>
      <c r="H67" s="51" t="s">
        <v>2</v>
      </c>
      <c r="I67" s="60" t="s">
        <v>78</v>
      </c>
      <c r="J67" s="92"/>
      <c r="K67" s="108" t="s">
        <v>79</v>
      </c>
      <c r="L67" s="94">
        <v>150000</v>
      </c>
      <c r="M67" s="94"/>
      <c r="N67" s="95"/>
    </row>
    <row r="68" spans="2:15" s="91" customFormat="1" ht="16.5" thickBot="1" x14ac:dyDescent="0.25">
      <c r="B68" s="114" t="s">
        <v>145</v>
      </c>
      <c r="C68" s="70">
        <v>36160</v>
      </c>
      <c r="D68" s="71" t="s">
        <v>39</v>
      </c>
      <c r="E68" s="71" t="s">
        <v>93</v>
      </c>
      <c r="F68" s="72" t="s">
        <v>8</v>
      </c>
      <c r="G68" s="71" t="s">
        <v>2</v>
      </c>
      <c r="H68" s="71" t="s">
        <v>2</v>
      </c>
      <c r="I68" s="74" t="s">
        <v>78</v>
      </c>
      <c r="J68" s="96"/>
      <c r="K68" s="74" t="s">
        <v>80</v>
      </c>
      <c r="L68" s="97">
        <v>150000</v>
      </c>
      <c r="M68" s="97"/>
      <c r="N68" s="98"/>
      <c r="O68" s="29"/>
    </row>
    <row r="69" spans="2:15" s="311" customFormat="1" ht="16.5" thickTop="1" x14ac:dyDescent="0.2">
      <c r="B69" s="322"/>
      <c r="C69" s="323"/>
      <c r="D69" s="313"/>
      <c r="E69" s="313"/>
      <c r="F69" s="324"/>
      <c r="G69" s="324"/>
      <c r="H69" s="325"/>
      <c r="I69" s="322"/>
      <c r="J69" s="313"/>
      <c r="K69" s="326"/>
      <c r="L69" s="47"/>
      <c r="M69" s="47"/>
      <c r="N69" s="48"/>
      <c r="O69" s="312"/>
    </row>
    <row r="70" spans="2:15" ht="15.75" x14ac:dyDescent="0.2">
      <c r="B70" s="102">
        <v>1999</v>
      </c>
      <c r="C70" s="103"/>
      <c r="D70" s="51"/>
      <c r="E70" s="104"/>
      <c r="F70" s="321"/>
      <c r="G70" s="104"/>
      <c r="H70" s="104"/>
      <c r="I70" s="104"/>
      <c r="J70" s="104"/>
      <c r="K70" s="104"/>
      <c r="L70" s="105">
        <f>+L71+L78</f>
        <v>1411896.75</v>
      </c>
      <c r="M70" s="105"/>
      <c r="N70" s="106">
        <f>+N71+N78</f>
        <v>801597</v>
      </c>
    </row>
    <row r="71" spans="2:15" x14ac:dyDescent="0.2">
      <c r="B71" s="49" t="s">
        <v>109</v>
      </c>
      <c r="C71" s="50"/>
      <c r="D71" s="52"/>
      <c r="E71" s="52"/>
      <c r="F71" s="53"/>
      <c r="G71" s="52"/>
      <c r="H71" s="52"/>
      <c r="I71" s="52"/>
      <c r="J71" s="52"/>
      <c r="K71" s="52"/>
      <c r="L71" s="54">
        <f>SUM(L72:L76)</f>
        <v>542896.75</v>
      </c>
      <c r="M71" s="55"/>
      <c r="N71" s="56">
        <f>SUM(N72:N75)</f>
        <v>0</v>
      </c>
      <c r="O71" s="46"/>
    </row>
    <row r="72" spans="2:15" x14ac:dyDescent="0.2">
      <c r="B72" s="57" t="s">
        <v>55</v>
      </c>
      <c r="C72" s="58">
        <v>36209</v>
      </c>
      <c r="D72" s="2" t="s">
        <v>322</v>
      </c>
      <c r="E72" s="51" t="s">
        <v>41</v>
      </c>
      <c r="F72" s="59" t="s">
        <v>41</v>
      </c>
      <c r="G72" s="51" t="s">
        <v>2</v>
      </c>
      <c r="H72" s="51" t="s">
        <v>42</v>
      </c>
      <c r="I72" s="60" t="s">
        <v>81</v>
      </c>
      <c r="J72" s="60" t="s">
        <v>43</v>
      </c>
      <c r="K72" s="60" t="s">
        <v>44</v>
      </c>
      <c r="L72" s="94">
        <v>4200</v>
      </c>
      <c r="M72" s="94"/>
      <c r="N72" s="64"/>
    </row>
    <row r="73" spans="2:15" x14ac:dyDescent="0.2">
      <c r="B73" s="65" t="s">
        <v>146</v>
      </c>
      <c r="C73" s="58">
        <v>36336</v>
      </c>
      <c r="D73" s="2" t="s">
        <v>322</v>
      </c>
      <c r="E73" s="65" t="s">
        <v>147</v>
      </c>
      <c r="F73" s="59" t="s">
        <v>41</v>
      </c>
      <c r="G73" s="51" t="s">
        <v>2</v>
      </c>
      <c r="H73" s="29" t="s">
        <v>124</v>
      </c>
      <c r="I73" s="115" t="s">
        <v>148</v>
      </c>
      <c r="K73" s="115" t="s">
        <v>149</v>
      </c>
      <c r="L73" s="94">
        <f>36018750/1000</f>
        <v>36018.75</v>
      </c>
      <c r="M73" s="94"/>
      <c r="N73" s="64"/>
    </row>
    <row r="74" spans="2:15" s="46" customFormat="1" x14ac:dyDescent="0.2">
      <c r="B74" s="57" t="s">
        <v>57</v>
      </c>
      <c r="C74" s="58">
        <v>36496</v>
      </c>
      <c r="D74" s="2" t="s">
        <v>322</v>
      </c>
      <c r="E74" s="51" t="s">
        <v>62</v>
      </c>
      <c r="F74" s="59" t="s">
        <v>8</v>
      </c>
      <c r="G74" s="51" t="s">
        <v>2</v>
      </c>
      <c r="H74" s="51" t="s">
        <v>8</v>
      </c>
      <c r="I74" s="60" t="s">
        <v>82</v>
      </c>
      <c r="J74" s="60" t="s">
        <v>43</v>
      </c>
      <c r="K74" s="60" t="s">
        <v>44</v>
      </c>
      <c r="L74" s="94">
        <v>217000</v>
      </c>
      <c r="M74" s="94"/>
      <c r="N74" s="64"/>
      <c r="O74" s="29"/>
    </row>
    <row r="75" spans="2:15" x14ac:dyDescent="0.2">
      <c r="B75" s="57" t="s">
        <v>56</v>
      </c>
      <c r="C75" s="58">
        <v>36496</v>
      </c>
      <c r="D75" s="2" t="s">
        <v>322</v>
      </c>
      <c r="E75" s="51" t="s">
        <v>63</v>
      </c>
      <c r="F75" s="59" t="s">
        <v>67</v>
      </c>
      <c r="G75" s="51" t="s">
        <v>2</v>
      </c>
      <c r="H75" s="51" t="s">
        <v>68</v>
      </c>
      <c r="I75" s="112">
        <v>0.1</v>
      </c>
      <c r="J75" s="60" t="s">
        <v>25</v>
      </c>
      <c r="K75" s="60" t="s">
        <v>83</v>
      </c>
      <c r="L75" s="94">
        <v>90000</v>
      </c>
      <c r="M75" s="94"/>
      <c r="N75" s="84"/>
    </row>
    <row r="76" spans="2:15" x14ac:dyDescent="0.2">
      <c r="B76" s="57" t="s">
        <v>151</v>
      </c>
      <c r="C76" s="58">
        <v>36341</v>
      </c>
      <c r="D76" s="51"/>
      <c r="E76" s="51" t="s">
        <v>152</v>
      </c>
      <c r="F76" s="59" t="s">
        <v>8</v>
      </c>
      <c r="G76" s="51" t="s">
        <v>2</v>
      </c>
      <c r="H76" s="51" t="s">
        <v>8</v>
      </c>
      <c r="I76" s="60" t="s">
        <v>153</v>
      </c>
      <c r="J76" s="60"/>
      <c r="K76" s="60" t="s">
        <v>155</v>
      </c>
      <c r="L76" s="94">
        <v>195678</v>
      </c>
      <c r="M76" s="94"/>
      <c r="N76" s="84"/>
    </row>
    <row r="77" spans="2:15" x14ac:dyDescent="0.2">
      <c r="B77" s="57"/>
      <c r="C77" s="58"/>
      <c r="D77" s="51"/>
      <c r="E77" s="51"/>
      <c r="F77" s="59"/>
      <c r="G77" s="51"/>
      <c r="H77" s="51"/>
      <c r="I77" s="60"/>
      <c r="J77" s="60"/>
      <c r="K77" s="60"/>
      <c r="L77" s="94"/>
      <c r="M77" s="94"/>
      <c r="N77" s="84"/>
    </row>
    <row r="78" spans="2:15" x14ac:dyDescent="0.2">
      <c r="B78" s="49" t="s">
        <v>110</v>
      </c>
      <c r="C78" s="50"/>
      <c r="D78" s="52"/>
      <c r="E78" s="52"/>
      <c r="F78" s="53"/>
      <c r="G78" s="52"/>
      <c r="H78" s="52"/>
      <c r="I78" s="52"/>
      <c r="J78" s="52"/>
      <c r="K78" s="52"/>
      <c r="L78" s="54">
        <f>SUM(L79:M82)</f>
        <v>869000</v>
      </c>
      <c r="M78" s="55"/>
      <c r="N78" s="56">
        <f>SUM(N79:N82)</f>
        <v>801597</v>
      </c>
      <c r="O78" s="46"/>
    </row>
    <row r="79" spans="2:15" x14ac:dyDescent="0.2">
      <c r="B79" s="57" t="s">
        <v>58</v>
      </c>
      <c r="C79" s="58">
        <v>36330</v>
      </c>
      <c r="D79" s="51" t="s">
        <v>64</v>
      </c>
      <c r="E79" s="51" t="s">
        <v>65</v>
      </c>
      <c r="F79" s="59" t="s">
        <v>8</v>
      </c>
      <c r="G79" s="51" t="s">
        <v>2</v>
      </c>
      <c r="H79" s="51" t="s">
        <v>8</v>
      </c>
      <c r="I79" s="60" t="s">
        <v>86</v>
      </c>
      <c r="J79" s="60" t="s">
        <v>84</v>
      </c>
      <c r="K79" s="60" t="s">
        <v>85</v>
      </c>
      <c r="L79" s="94">
        <v>400000</v>
      </c>
      <c r="M79" s="94"/>
      <c r="N79" s="64"/>
    </row>
    <row r="80" spans="2:15" x14ac:dyDescent="0.2">
      <c r="B80" s="57" t="s">
        <v>59</v>
      </c>
      <c r="C80" s="58">
        <v>36349</v>
      </c>
      <c r="D80" s="9" t="s">
        <v>352</v>
      </c>
      <c r="E80" s="59" t="s">
        <v>177</v>
      </c>
      <c r="F80" s="59" t="s">
        <v>8</v>
      </c>
      <c r="G80" s="51" t="s">
        <v>2</v>
      </c>
      <c r="H80" s="51" t="s">
        <v>8</v>
      </c>
      <c r="I80" s="60">
        <v>0</v>
      </c>
      <c r="J80" s="92" t="s">
        <v>11</v>
      </c>
      <c r="K80" s="60"/>
      <c r="L80" s="94">
        <v>0</v>
      </c>
      <c r="M80" s="94"/>
      <c r="N80" s="95">
        <v>801597</v>
      </c>
    </row>
    <row r="81" spans="2:15" s="59" customFormat="1" x14ac:dyDescent="0.2">
      <c r="B81" s="57" t="s">
        <v>60</v>
      </c>
      <c r="C81" s="58">
        <v>36355</v>
      </c>
      <c r="D81" s="51" t="s">
        <v>64</v>
      </c>
      <c r="E81" s="51" t="s">
        <v>66</v>
      </c>
      <c r="F81" s="59" t="s">
        <v>8</v>
      </c>
      <c r="G81" s="51" t="s">
        <v>2</v>
      </c>
      <c r="H81" s="51" t="s">
        <v>8</v>
      </c>
      <c r="I81" s="60" t="s">
        <v>87</v>
      </c>
      <c r="J81" s="92"/>
      <c r="K81" s="60" t="s">
        <v>88</v>
      </c>
      <c r="L81" s="94">
        <v>200000</v>
      </c>
      <c r="M81" s="94"/>
      <c r="N81" s="64"/>
      <c r="O81" s="29"/>
    </row>
    <row r="82" spans="2:15" s="91" customFormat="1" ht="16.5" thickBot="1" x14ac:dyDescent="0.25">
      <c r="B82" s="69" t="s">
        <v>61</v>
      </c>
      <c r="C82" s="70">
        <v>36510</v>
      </c>
      <c r="D82" s="71" t="s">
        <v>64</v>
      </c>
      <c r="E82" s="71" t="s">
        <v>89</v>
      </c>
      <c r="F82" s="72" t="s">
        <v>8</v>
      </c>
      <c r="G82" s="71" t="s">
        <v>2</v>
      </c>
      <c r="H82" s="71" t="s">
        <v>8</v>
      </c>
      <c r="I82" s="74" t="s">
        <v>154</v>
      </c>
      <c r="J82" s="74" t="s">
        <v>90</v>
      </c>
      <c r="K82" s="74" t="s">
        <v>91</v>
      </c>
      <c r="L82" s="97">
        <v>269000</v>
      </c>
      <c r="M82" s="97"/>
      <c r="N82" s="78"/>
      <c r="O82" s="29"/>
    </row>
    <row r="83" spans="2:15" s="311" customFormat="1" ht="16.5" thickTop="1" x14ac:dyDescent="0.2">
      <c r="B83" s="322"/>
      <c r="C83" s="323"/>
      <c r="D83" s="313"/>
      <c r="E83" s="313"/>
      <c r="F83" s="324"/>
      <c r="G83" s="324"/>
      <c r="H83" s="325"/>
      <c r="I83" s="322"/>
      <c r="J83" s="313"/>
      <c r="K83" s="326"/>
      <c r="L83" s="47"/>
      <c r="M83" s="47"/>
      <c r="N83" s="48"/>
      <c r="O83" s="312"/>
    </row>
    <row r="84" spans="2:15" ht="15.75" x14ac:dyDescent="0.2">
      <c r="B84" s="102">
        <v>2000</v>
      </c>
      <c r="C84" s="103"/>
      <c r="D84" s="51"/>
      <c r="E84" s="104"/>
      <c r="F84" s="321"/>
      <c r="G84" s="104"/>
      <c r="H84" s="104"/>
      <c r="I84" s="104"/>
      <c r="J84" s="104"/>
      <c r="K84" s="104"/>
      <c r="L84" s="105">
        <f>+L85+L89</f>
        <v>758450</v>
      </c>
      <c r="M84" s="105"/>
      <c r="N84" s="106">
        <f>+N85+N89</f>
        <v>544546</v>
      </c>
    </row>
    <row r="85" spans="2:15" s="46" customFormat="1" x14ac:dyDescent="0.2">
      <c r="B85" s="49" t="s">
        <v>109</v>
      </c>
      <c r="C85" s="50"/>
      <c r="D85" s="52"/>
      <c r="E85" s="52"/>
      <c r="F85" s="53"/>
      <c r="G85" s="52"/>
      <c r="H85" s="52"/>
      <c r="I85" s="52"/>
      <c r="J85" s="52"/>
      <c r="K85" s="52"/>
      <c r="L85" s="54">
        <f>+L86</f>
        <v>58450</v>
      </c>
      <c r="M85" s="55"/>
      <c r="N85" s="56">
        <f>+N86+N87</f>
        <v>0</v>
      </c>
    </row>
    <row r="86" spans="2:15" x14ac:dyDescent="0.2">
      <c r="B86" s="57" t="s">
        <v>72</v>
      </c>
      <c r="C86" s="58">
        <v>36798</v>
      </c>
      <c r="D86" s="51" t="s">
        <v>22</v>
      </c>
      <c r="E86" s="51" t="s">
        <v>73</v>
      </c>
      <c r="F86" s="57" t="s">
        <v>8</v>
      </c>
      <c r="G86" s="51" t="s">
        <v>2</v>
      </c>
      <c r="H86" s="51" t="s">
        <v>8</v>
      </c>
      <c r="I86" s="60" t="s">
        <v>92</v>
      </c>
      <c r="J86" s="60" t="s">
        <v>43</v>
      </c>
      <c r="K86" s="116" t="s">
        <v>44</v>
      </c>
      <c r="L86" s="117">
        <v>58450</v>
      </c>
      <c r="M86" s="94"/>
      <c r="N86" s="95"/>
    </row>
    <row r="87" spans="2:15" x14ac:dyDescent="0.2">
      <c r="B87" s="57" t="s">
        <v>125</v>
      </c>
      <c r="C87" s="58">
        <v>36863</v>
      </c>
      <c r="D87" s="51" t="s">
        <v>64</v>
      </c>
      <c r="E87" s="51" t="s">
        <v>129</v>
      </c>
      <c r="F87" s="57" t="s">
        <v>8</v>
      </c>
      <c r="G87" s="51" t="s">
        <v>2</v>
      </c>
      <c r="H87" s="51" t="s">
        <v>8</v>
      </c>
      <c r="I87" s="60" t="s">
        <v>92</v>
      </c>
      <c r="J87" s="60" t="s">
        <v>156</v>
      </c>
      <c r="K87" s="92"/>
      <c r="L87" s="118">
        <v>200000</v>
      </c>
      <c r="M87" s="62"/>
      <c r="N87" s="64"/>
    </row>
    <row r="88" spans="2:15" x14ac:dyDescent="0.2">
      <c r="B88" s="57"/>
      <c r="C88" s="58"/>
      <c r="D88" s="51"/>
      <c r="E88" s="51"/>
      <c r="F88" s="57"/>
      <c r="G88" s="51"/>
      <c r="H88" s="51"/>
      <c r="I88" s="60"/>
      <c r="J88" s="60"/>
      <c r="K88" s="92"/>
      <c r="L88" s="118"/>
      <c r="M88" s="62"/>
      <c r="N88" s="64"/>
    </row>
    <row r="89" spans="2:15" x14ac:dyDescent="0.2">
      <c r="B89" s="49" t="s">
        <v>110</v>
      </c>
      <c r="C89" s="50"/>
      <c r="D89" s="52"/>
      <c r="E89" s="52"/>
      <c r="F89" s="119"/>
      <c r="G89" s="52"/>
      <c r="H89" s="52"/>
      <c r="I89" s="52"/>
      <c r="J89" s="52"/>
      <c r="K89" s="52"/>
      <c r="L89" s="120">
        <f>SUM(L90:L93)</f>
        <v>700000</v>
      </c>
      <c r="M89" s="55"/>
      <c r="N89" s="56">
        <f>SUM(N90:N93)</f>
        <v>544546</v>
      </c>
      <c r="O89" s="46"/>
    </row>
    <row r="90" spans="2:15" x14ac:dyDescent="0.2">
      <c r="B90" s="57" t="s">
        <v>69</v>
      </c>
      <c r="C90" s="58">
        <v>36688</v>
      </c>
      <c r="D90" s="9" t="s">
        <v>352</v>
      </c>
      <c r="E90" s="59" t="s">
        <v>177</v>
      </c>
      <c r="F90" s="57" t="s">
        <v>8</v>
      </c>
      <c r="G90" s="51" t="s">
        <v>2</v>
      </c>
      <c r="H90" s="51" t="s">
        <v>8</v>
      </c>
      <c r="I90" s="92">
        <v>0</v>
      </c>
      <c r="J90" s="92" t="s">
        <v>11</v>
      </c>
      <c r="K90" s="92"/>
      <c r="L90" s="117"/>
      <c r="M90" s="94"/>
      <c r="N90" s="64">
        <v>544546</v>
      </c>
    </row>
    <row r="91" spans="2:15" x14ac:dyDescent="0.2">
      <c r="B91" s="57" t="s">
        <v>126</v>
      </c>
      <c r="C91" s="58">
        <v>36754</v>
      </c>
      <c r="D91" s="51" t="s">
        <v>64</v>
      </c>
      <c r="E91" s="51" t="s">
        <v>70</v>
      </c>
      <c r="F91" s="57" t="s">
        <v>8</v>
      </c>
      <c r="G91" s="51" t="s">
        <v>2</v>
      </c>
      <c r="H91" s="51" t="s">
        <v>8</v>
      </c>
      <c r="I91" s="121">
        <v>0.08</v>
      </c>
      <c r="J91" s="121"/>
      <c r="K91" s="60" t="s">
        <v>130</v>
      </c>
      <c r="L91" s="117">
        <v>500000</v>
      </c>
      <c r="M91" s="94"/>
      <c r="N91" s="64"/>
    </row>
    <row r="92" spans="2:15" x14ac:dyDescent="0.2">
      <c r="B92" s="57" t="s">
        <v>127</v>
      </c>
      <c r="C92" s="58">
        <v>36808</v>
      </c>
      <c r="D92" s="51" t="s">
        <v>64</v>
      </c>
      <c r="E92" s="51" t="s">
        <v>71</v>
      </c>
      <c r="F92" s="57" t="s">
        <v>8</v>
      </c>
      <c r="G92" s="51" t="s">
        <v>2</v>
      </c>
      <c r="H92" s="51" t="s">
        <v>8</v>
      </c>
      <c r="I92" s="92" t="s">
        <v>11</v>
      </c>
      <c r="J92" s="92" t="s">
        <v>11</v>
      </c>
      <c r="K92" s="60" t="s">
        <v>169</v>
      </c>
      <c r="L92" s="118"/>
      <c r="M92" s="62"/>
      <c r="N92" s="64"/>
    </row>
    <row r="93" spans="2:15" ht="13.5" thickBot="1" x14ac:dyDescent="0.25">
      <c r="B93" s="69" t="s">
        <v>125</v>
      </c>
      <c r="C93" s="70">
        <v>36857</v>
      </c>
      <c r="D93" s="71" t="s">
        <v>64</v>
      </c>
      <c r="E93" s="71" t="s">
        <v>128</v>
      </c>
      <c r="F93" s="69" t="s">
        <v>8</v>
      </c>
      <c r="G93" s="71" t="s">
        <v>2</v>
      </c>
      <c r="H93" s="71" t="s">
        <v>8</v>
      </c>
      <c r="I93" s="74">
        <v>0</v>
      </c>
      <c r="J93" s="122" t="s">
        <v>156</v>
      </c>
      <c r="K93" s="74"/>
      <c r="L93" s="123">
        <v>200000</v>
      </c>
      <c r="M93" s="76"/>
      <c r="N93" s="78"/>
    </row>
    <row r="94" spans="2:15" s="311" customFormat="1" ht="16.5" thickTop="1" x14ac:dyDescent="0.2">
      <c r="B94" s="322"/>
      <c r="C94" s="323"/>
      <c r="D94" s="313"/>
      <c r="E94" s="313"/>
      <c r="F94" s="324"/>
      <c r="G94" s="324"/>
      <c r="H94" s="325"/>
      <c r="I94" s="322"/>
      <c r="J94" s="313"/>
      <c r="K94" s="326"/>
      <c r="L94" s="47"/>
      <c r="M94" s="47"/>
      <c r="N94" s="48"/>
      <c r="O94" s="312"/>
    </row>
    <row r="95" spans="2:15" ht="15.75" x14ac:dyDescent="0.2">
      <c r="B95" s="102">
        <v>2001</v>
      </c>
      <c r="C95" s="103"/>
      <c r="D95" s="51"/>
      <c r="E95" s="104"/>
      <c r="F95" s="321"/>
      <c r="G95" s="104"/>
      <c r="H95" s="104"/>
      <c r="I95" s="104"/>
      <c r="J95" s="104"/>
      <c r="K95" s="104"/>
      <c r="L95" s="105">
        <f>+L96+L100</f>
        <v>5000</v>
      </c>
      <c r="M95" s="105"/>
      <c r="N95" s="106">
        <f>+N96+N100</f>
        <v>1656335</v>
      </c>
    </row>
    <row r="96" spans="2:15" x14ac:dyDescent="0.2">
      <c r="B96" s="49" t="s">
        <v>109</v>
      </c>
      <c r="C96" s="58"/>
      <c r="D96" s="51"/>
      <c r="E96" s="51"/>
      <c r="F96" s="57"/>
      <c r="G96" s="51"/>
      <c r="H96" s="51"/>
      <c r="I96" s="60"/>
      <c r="J96" s="124"/>
      <c r="K96" s="60"/>
      <c r="L96" s="54">
        <f>+L97+L98</f>
        <v>5000</v>
      </c>
      <c r="M96" s="125"/>
      <c r="N96" s="56">
        <f>+N97+N98</f>
        <v>117750</v>
      </c>
    </row>
    <row r="97" spans="2:15" x14ac:dyDescent="0.2">
      <c r="B97" s="57" t="s">
        <v>158</v>
      </c>
      <c r="C97" s="58">
        <v>36997</v>
      </c>
      <c r="D97" s="81" t="s">
        <v>322</v>
      </c>
      <c r="E97" s="13" t="s">
        <v>544</v>
      </c>
      <c r="F97" s="57" t="s">
        <v>41</v>
      </c>
      <c r="G97" s="51" t="s">
        <v>2</v>
      </c>
      <c r="H97" s="51" t="s">
        <v>124</v>
      </c>
      <c r="I97" s="60" t="s">
        <v>82</v>
      </c>
      <c r="J97" s="60" t="s">
        <v>164</v>
      </c>
      <c r="K97" s="60" t="s">
        <v>85</v>
      </c>
      <c r="L97" s="117">
        <v>5000</v>
      </c>
      <c r="M97" s="62"/>
      <c r="N97" s="64">
        <f>+L97*3.55</f>
        <v>17750</v>
      </c>
    </row>
    <row r="98" spans="2:15" x14ac:dyDescent="0.2">
      <c r="B98" s="57" t="s">
        <v>162</v>
      </c>
      <c r="C98" s="58">
        <v>37074</v>
      </c>
      <c r="D98" s="81" t="s">
        <v>322</v>
      </c>
      <c r="E98" s="51" t="s">
        <v>176</v>
      </c>
      <c r="F98" s="57" t="s">
        <v>8</v>
      </c>
      <c r="G98" s="51" t="s">
        <v>2</v>
      </c>
      <c r="H98" s="51" t="s">
        <v>8</v>
      </c>
      <c r="I98" s="121">
        <v>1.4999999999999999E-2</v>
      </c>
      <c r="J98" s="60" t="s">
        <v>163</v>
      </c>
      <c r="K98" s="60" t="s">
        <v>165</v>
      </c>
      <c r="L98" s="117"/>
      <c r="M98" s="62"/>
      <c r="N98" s="64">
        <v>100000</v>
      </c>
    </row>
    <row r="99" spans="2:15" x14ac:dyDescent="0.2">
      <c r="B99" s="57"/>
      <c r="C99" s="58"/>
      <c r="D99" s="81"/>
      <c r="E99" s="51"/>
      <c r="F99" s="57"/>
      <c r="G99" s="51"/>
      <c r="H99" s="51"/>
      <c r="I99" s="121"/>
      <c r="J99" s="60"/>
      <c r="K99" s="60"/>
      <c r="L99" s="117"/>
      <c r="M99" s="62"/>
      <c r="N99" s="64"/>
    </row>
    <row r="100" spans="2:15" x14ac:dyDescent="0.2">
      <c r="B100" s="49" t="s">
        <v>110</v>
      </c>
      <c r="C100" s="58"/>
      <c r="D100" s="81"/>
      <c r="E100" s="51"/>
      <c r="F100" s="57"/>
      <c r="G100" s="51"/>
      <c r="H100" s="51"/>
      <c r="I100" s="60"/>
      <c r="J100" s="124"/>
      <c r="K100" s="60"/>
      <c r="L100" s="120">
        <f>SUM(L101:L104)</f>
        <v>0</v>
      </c>
      <c r="M100" s="62"/>
      <c r="N100" s="56">
        <f>SUM(N101:N104)</f>
        <v>1538585</v>
      </c>
    </row>
    <row r="101" spans="2:15" x14ac:dyDescent="0.2">
      <c r="B101" s="57" t="s">
        <v>159</v>
      </c>
      <c r="C101" s="58">
        <v>36924</v>
      </c>
      <c r="D101" s="9" t="s">
        <v>352</v>
      </c>
      <c r="E101" s="51" t="s">
        <v>160</v>
      </c>
      <c r="F101" s="57" t="s">
        <v>8</v>
      </c>
      <c r="G101" s="51" t="s">
        <v>2</v>
      </c>
      <c r="H101" s="51" t="s">
        <v>8</v>
      </c>
      <c r="I101" s="115" t="s">
        <v>180</v>
      </c>
      <c r="J101" s="92" t="s">
        <v>11</v>
      </c>
      <c r="K101" s="126"/>
      <c r="L101" s="117"/>
      <c r="M101" s="62"/>
      <c r="N101" s="64">
        <v>500000</v>
      </c>
    </row>
    <row r="102" spans="2:15" x14ac:dyDescent="0.2">
      <c r="B102" s="57" t="s">
        <v>166</v>
      </c>
      <c r="C102" s="58">
        <v>37137</v>
      </c>
      <c r="D102" s="9" t="s">
        <v>352</v>
      </c>
      <c r="E102" s="51" t="s">
        <v>167</v>
      </c>
      <c r="F102" s="57" t="s">
        <v>8</v>
      </c>
      <c r="G102" s="51" t="s">
        <v>2</v>
      </c>
      <c r="H102" s="51" t="s">
        <v>8</v>
      </c>
      <c r="I102" s="115" t="s">
        <v>180</v>
      </c>
      <c r="J102" s="92" t="s">
        <v>11</v>
      </c>
      <c r="K102" s="126"/>
      <c r="L102" s="117"/>
      <c r="M102" s="62"/>
      <c r="N102" s="64">
        <v>700000</v>
      </c>
    </row>
    <row r="103" spans="2:15" x14ac:dyDescent="0.2">
      <c r="B103" s="57" t="s">
        <v>161</v>
      </c>
      <c r="C103" s="58">
        <v>36960</v>
      </c>
      <c r="D103" s="81" t="s">
        <v>64</v>
      </c>
      <c r="E103" s="51" t="s">
        <v>175</v>
      </c>
      <c r="F103" s="57" t="s">
        <v>8</v>
      </c>
      <c r="G103" s="51" t="s">
        <v>2</v>
      </c>
      <c r="H103" s="51" t="s">
        <v>8</v>
      </c>
      <c r="I103" s="60" t="s">
        <v>92</v>
      </c>
      <c r="J103" s="92" t="s">
        <v>11</v>
      </c>
      <c r="K103" s="60" t="s">
        <v>156</v>
      </c>
      <c r="L103" s="117"/>
      <c r="M103" s="62"/>
      <c r="N103" s="64">
        <v>119225</v>
      </c>
      <c r="O103" s="127" t="s">
        <v>170</v>
      </c>
    </row>
    <row r="104" spans="2:15" ht="13.5" thickBot="1" x14ac:dyDescent="0.25">
      <c r="B104" s="69" t="s">
        <v>168</v>
      </c>
      <c r="C104" s="70">
        <v>37001</v>
      </c>
      <c r="D104" s="11" t="s">
        <v>352</v>
      </c>
      <c r="E104" s="69" t="s">
        <v>177</v>
      </c>
      <c r="F104" s="72" t="s">
        <v>8</v>
      </c>
      <c r="G104" s="72" t="s">
        <v>2</v>
      </c>
      <c r="H104" s="71" t="s">
        <v>10</v>
      </c>
      <c r="I104" s="128" t="s">
        <v>11</v>
      </c>
      <c r="J104" s="96" t="s">
        <v>11</v>
      </c>
      <c r="K104" s="96" t="s">
        <v>11</v>
      </c>
      <c r="L104" s="97"/>
      <c r="M104" s="76"/>
      <c r="N104" s="78">
        <v>219360</v>
      </c>
    </row>
    <row r="105" spans="2:15" s="311" customFormat="1" ht="16.5" thickTop="1" x14ac:dyDescent="0.2">
      <c r="B105" s="322"/>
      <c r="C105" s="323"/>
      <c r="D105" s="313"/>
      <c r="E105" s="313"/>
      <c r="F105" s="324"/>
      <c r="G105" s="324"/>
      <c r="H105" s="325"/>
      <c r="I105" s="322"/>
      <c r="J105" s="313"/>
      <c r="K105" s="326"/>
      <c r="L105" s="47"/>
      <c r="M105" s="47"/>
      <c r="N105" s="48"/>
      <c r="O105" s="312"/>
    </row>
    <row r="106" spans="2:15" ht="15.75" x14ac:dyDescent="0.2">
      <c r="B106" s="102">
        <v>2002</v>
      </c>
      <c r="C106" s="103"/>
      <c r="D106" s="51"/>
      <c r="E106" s="104"/>
      <c r="F106" s="321"/>
      <c r="G106" s="104"/>
      <c r="H106" s="104"/>
      <c r="I106" s="104"/>
      <c r="J106" s="104"/>
      <c r="K106" s="104"/>
      <c r="L106" s="105">
        <f>+L107+L111</f>
        <v>7200</v>
      </c>
      <c r="M106" s="105"/>
      <c r="N106" s="106">
        <f>+N107+N111</f>
        <v>2125200</v>
      </c>
    </row>
    <row r="107" spans="2:15" x14ac:dyDescent="0.2">
      <c r="B107" s="129" t="s">
        <v>110</v>
      </c>
      <c r="C107" s="130"/>
      <c r="D107" s="51"/>
      <c r="E107" s="59"/>
      <c r="F107" s="51"/>
      <c r="G107" s="51"/>
      <c r="H107" s="59"/>
      <c r="I107" s="92"/>
      <c r="J107" s="131"/>
      <c r="K107" s="92"/>
      <c r="L107" s="120">
        <f>SUM(L108:L108)</f>
        <v>0</v>
      </c>
      <c r="M107" s="62"/>
      <c r="N107" s="56">
        <f>SUM(N108:N109)</f>
        <v>2000000</v>
      </c>
    </row>
    <row r="108" spans="2:15" x14ac:dyDescent="0.2">
      <c r="B108" s="51" t="s">
        <v>171</v>
      </c>
      <c r="C108" s="130">
        <v>37266</v>
      </c>
      <c r="D108" s="9" t="s">
        <v>352</v>
      </c>
      <c r="E108" s="59" t="s">
        <v>172</v>
      </c>
      <c r="F108" s="51" t="s">
        <v>8</v>
      </c>
      <c r="G108" s="51" t="s">
        <v>2</v>
      </c>
      <c r="H108" s="59" t="s">
        <v>8</v>
      </c>
      <c r="I108" s="115" t="s">
        <v>180</v>
      </c>
      <c r="J108" s="131" t="s">
        <v>11</v>
      </c>
      <c r="K108" s="126"/>
      <c r="L108" s="117"/>
      <c r="M108" s="62"/>
      <c r="N108" s="64">
        <v>1800000</v>
      </c>
    </row>
    <row r="109" spans="2:15" x14ac:dyDescent="0.2">
      <c r="B109" s="51" t="s">
        <v>179</v>
      </c>
      <c r="C109" s="130">
        <v>37587</v>
      </c>
      <c r="D109" s="9" t="s">
        <v>352</v>
      </c>
      <c r="E109" s="59" t="s">
        <v>177</v>
      </c>
      <c r="F109" s="51"/>
      <c r="G109" s="51" t="s">
        <v>10</v>
      </c>
      <c r="H109" s="132" t="s">
        <v>10</v>
      </c>
      <c r="I109" s="133">
        <v>0</v>
      </c>
      <c r="J109" s="131"/>
      <c r="K109" s="92"/>
      <c r="L109" s="117"/>
      <c r="M109" s="62"/>
      <c r="N109" s="64">
        <v>200000</v>
      </c>
    </row>
    <row r="110" spans="2:15" x14ac:dyDescent="0.2">
      <c r="B110" s="51"/>
      <c r="C110" s="130"/>
      <c r="D110" s="51"/>
      <c r="E110" s="59"/>
      <c r="F110" s="51"/>
      <c r="G110" s="51"/>
      <c r="H110" s="134"/>
      <c r="I110" s="133"/>
      <c r="J110" s="131"/>
      <c r="K110" s="92"/>
      <c r="L110" s="117"/>
      <c r="M110" s="62"/>
      <c r="N110" s="64"/>
    </row>
    <row r="111" spans="2:15" x14ac:dyDescent="0.2">
      <c r="B111" s="129" t="s">
        <v>109</v>
      </c>
      <c r="C111" s="130"/>
      <c r="D111" s="51"/>
      <c r="E111" s="59"/>
      <c r="F111" s="51"/>
      <c r="G111" s="51"/>
      <c r="H111" s="59"/>
      <c r="I111" s="92"/>
      <c r="J111" s="131"/>
      <c r="K111" s="92"/>
      <c r="L111" s="120">
        <f>SUM(L112:L113)</f>
        <v>7200</v>
      </c>
      <c r="M111" s="62"/>
      <c r="N111" s="56">
        <f>+N112+N113</f>
        <v>125200</v>
      </c>
    </row>
    <row r="112" spans="2:15" x14ac:dyDescent="0.2">
      <c r="B112" s="51" t="s">
        <v>173</v>
      </c>
      <c r="C112" s="130">
        <v>37392</v>
      </c>
      <c r="D112" s="81" t="s">
        <v>322</v>
      </c>
      <c r="E112" s="51" t="s">
        <v>178</v>
      </c>
      <c r="F112" s="51" t="s">
        <v>8</v>
      </c>
      <c r="G112" s="51" t="s">
        <v>2</v>
      </c>
      <c r="H112" s="59" t="s">
        <v>8</v>
      </c>
      <c r="I112" s="121">
        <v>1.0999999999999999E-2</v>
      </c>
      <c r="J112" s="135" t="s">
        <v>174</v>
      </c>
      <c r="K112" s="60" t="s">
        <v>186</v>
      </c>
      <c r="L112" s="117"/>
      <c r="M112" s="62"/>
      <c r="N112" s="64">
        <v>100000</v>
      </c>
    </row>
    <row r="113" spans="2:17" ht="13.5" thickBot="1" x14ac:dyDescent="0.25">
      <c r="B113" s="71" t="s">
        <v>181</v>
      </c>
      <c r="C113" s="136">
        <v>37620</v>
      </c>
      <c r="D113" s="86" t="s">
        <v>182</v>
      </c>
      <c r="E113" s="72" t="s">
        <v>183</v>
      </c>
      <c r="F113" s="71"/>
      <c r="G113" s="71" t="s">
        <v>2</v>
      </c>
      <c r="H113" s="72" t="s">
        <v>8</v>
      </c>
      <c r="I113" s="137" t="s">
        <v>184</v>
      </c>
      <c r="J113" s="138" t="s">
        <v>187</v>
      </c>
      <c r="K113" s="139" t="s">
        <v>188</v>
      </c>
      <c r="L113" s="123">
        <v>7200</v>
      </c>
      <c r="M113" s="76"/>
      <c r="N113" s="78">
        <f>+L113*3.5</f>
        <v>25200</v>
      </c>
      <c r="Q113" s="140"/>
    </row>
    <row r="114" spans="2:17" s="311" customFormat="1" ht="16.5" thickTop="1" x14ac:dyDescent="0.2">
      <c r="B114" s="322"/>
      <c r="C114" s="323"/>
      <c r="D114" s="313"/>
      <c r="E114" s="313"/>
      <c r="F114" s="324"/>
      <c r="G114" s="324"/>
      <c r="H114" s="325"/>
      <c r="I114" s="322"/>
      <c r="J114" s="313"/>
      <c r="K114" s="326"/>
      <c r="L114" s="47"/>
      <c r="M114" s="47"/>
      <c r="N114" s="48"/>
      <c r="O114" s="312"/>
    </row>
    <row r="115" spans="2:17" ht="15.75" x14ac:dyDescent="0.2">
      <c r="B115" s="102">
        <v>2003</v>
      </c>
      <c r="C115" s="103"/>
      <c r="D115" s="51"/>
      <c r="E115" s="104"/>
      <c r="F115" s="321"/>
      <c r="G115" s="104"/>
      <c r="H115" s="104"/>
      <c r="I115" s="104"/>
      <c r="J115" s="104"/>
      <c r="K115" s="104"/>
      <c r="L115" s="105">
        <f>+L116+L123</f>
        <v>10000.799999999999</v>
      </c>
      <c r="M115" s="105"/>
      <c r="N115" s="106">
        <f>+N116+N123</f>
        <v>2126692.8480000002</v>
      </c>
    </row>
    <row r="116" spans="2:17" x14ac:dyDescent="0.2">
      <c r="B116" s="141" t="s">
        <v>110</v>
      </c>
      <c r="C116" s="130"/>
      <c r="D116" s="51"/>
      <c r="E116" s="59"/>
      <c r="F116" s="51"/>
      <c r="G116" s="51"/>
      <c r="H116" s="59"/>
      <c r="I116" s="92"/>
      <c r="J116" s="131"/>
      <c r="K116" s="92"/>
      <c r="L116" s="120">
        <f>SUM(L117:L117)</f>
        <v>0</v>
      </c>
      <c r="M116" s="62"/>
      <c r="N116" s="142">
        <f>SUM(N117:N121)</f>
        <v>2091090</v>
      </c>
    </row>
    <row r="117" spans="2:17" x14ac:dyDescent="0.2">
      <c r="B117" s="51" t="s">
        <v>189</v>
      </c>
      <c r="C117" s="130">
        <v>37706</v>
      </c>
      <c r="D117" s="9" t="s">
        <v>352</v>
      </c>
      <c r="E117" s="59" t="s">
        <v>190</v>
      </c>
      <c r="F117" s="51"/>
      <c r="G117" s="51" t="s">
        <v>2</v>
      </c>
      <c r="H117" s="132" t="s">
        <v>8</v>
      </c>
      <c r="I117" s="143" t="s">
        <v>191</v>
      </c>
      <c r="J117" s="144" t="s">
        <v>192</v>
      </c>
      <c r="K117" s="115" t="s">
        <v>193</v>
      </c>
      <c r="L117" s="117"/>
      <c r="M117" s="62"/>
      <c r="N117" s="95">
        <v>600000</v>
      </c>
    </row>
    <row r="118" spans="2:17" x14ac:dyDescent="0.2">
      <c r="B118" s="51" t="s">
        <v>199</v>
      </c>
      <c r="C118" s="130">
        <v>37776</v>
      </c>
      <c r="D118" s="9" t="s">
        <v>352</v>
      </c>
      <c r="E118" s="59" t="s">
        <v>200</v>
      </c>
      <c r="F118" s="51"/>
      <c r="G118" s="51" t="s">
        <v>2</v>
      </c>
      <c r="H118" s="132" t="s">
        <v>8</v>
      </c>
      <c r="I118" s="143" t="s">
        <v>191</v>
      </c>
      <c r="J118" s="144" t="s">
        <v>192</v>
      </c>
      <c r="K118" s="115" t="s">
        <v>201</v>
      </c>
      <c r="L118" s="117"/>
      <c r="M118" s="62"/>
      <c r="N118" s="64">
        <v>950000</v>
      </c>
    </row>
    <row r="119" spans="2:17" x14ac:dyDescent="0.2">
      <c r="B119" s="51" t="s">
        <v>219</v>
      </c>
      <c r="C119" s="130">
        <v>37826</v>
      </c>
      <c r="D119" s="9" t="s">
        <v>352</v>
      </c>
      <c r="E119" s="59" t="s">
        <v>209</v>
      </c>
      <c r="F119" s="51"/>
      <c r="G119" s="51" t="s">
        <v>10</v>
      </c>
      <c r="H119" s="132" t="s">
        <v>10</v>
      </c>
      <c r="I119" s="145" t="s">
        <v>192</v>
      </c>
      <c r="J119" s="144" t="s">
        <v>192</v>
      </c>
      <c r="K119" s="145" t="s">
        <v>192</v>
      </c>
      <c r="L119" s="117"/>
      <c r="M119" s="62"/>
      <c r="N119" s="64">
        <v>281678</v>
      </c>
    </row>
    <row r="120" spans="2:17" x14ac:dyDescent="0.2">
      <c r="B120" s="51" t="s">
        <v>218</v>
      </c>
      <c r="C120" s="130">
        <v>37932</v>
      </c>
      <c r="D120" s="9" t="s">
        <v>352</v>
      </c>
      <c r="E120" s="134" t="s">
        <v>220</v>
      </c>
      <c r="F120" s="51"/>
      <c r="G120" s="51" t="s">
        <v>2</v>
      </c>
      <c r="H120" s="132" t="s">
        <v>8</v>
      </c>
      <c r="I120" s="143" t="s">
        <v>191</v>
      </c>
      <c r="J120" s="144" t="s">
        <v>192</v>
      </c>
      <c r="K120" s="115" t="s">
        <v>223</v>
      </c>
      <c r="L120" s="117"/>
      <c r="M120" s="62"/>
      <c r="N120" s="64">
        <v>220000</v>
      </c>
      <c r="O120" s="146"/>
    </row>
    <row r="121" spans="2:17" x14ac:dyDescent="0.2">
      <c r="B121" s="51" t="s">
        <v>229</v>
      </c>
      <c r="C121" s="130">
        <v>37945</v>
      </c>
      <c r="D121" s="81" t="s">
        <v>2</v>
      </c>
      <c r="E121" s="134" t="s">
        <v>230</v>
      </c>
      <c r="F121" s="51"/>
      <c r="G121" s="51" t="s">
        <v>10</v>
      </c>
      <c r="H121" s="132" t="s">
        <v>10</v>
      </c>
      <c r="I121" s="145" t="s">
        <v>192</v>
      </c>
      <c r="J121" s="144" t="s">
        <v>192</v>
      </c>
      <c r="K121" s="145" t="s">
        <v>192</v>
      </c>
      <c r="L121" s="117"/>
      <c r="M121" s="62"/>
      <c r="N121" s="64">
        <v>39412</v>
      </c>
      <c r="O121" s="146"/>
    </row>
    <row r="122" spans="2:17" x14ac:dyDescent="0.2">
      <c r="B122" s="51"/>
      <c r="C122" s="130"/>
      <c r="D122" s="51"/>
      <c r="E122" s="59"/>
      <c r="F122" s="51"/>
      <c r="G122" s="51"/>
      <c r="H122" s="59"/>
      <c r="I122" s="145"/>
      <c r="J122" s="144"/>
      <c r="K122" s="145"/>
      <c r="L122" s="117"/>
      <c r="M122" s="62"/>
      <c r="N122" s="64"/>
    </row>
    <row r="123" spans="2:17" x14ac:dyDescent="0.2">
      <c r="B123" s="141" t="s">
        <v>210</v>
      </c>
      <c r="C123" s="130"/>
      <c r="D123" s="51"/>
      <c r="E123" s="59"/>
      <c r="F123" s="51"/>
      <c r="G123" s="51"/>
      <c r="H123" s="59"/>
      <c r="I123" s="145"/>
      <c r="J123" s="144"/>
      <c r="K123" s="145"/>
      <c r="L123" s="120">
        <f>+L124</f>
        <v>10000.799999999999</v>
      </c>
      <c r="M123" s="62"/>
      <c r="N123" s="142">
        <f>+N124</f>
        <v>35602.847999999998</v>
      </c>
    </row>
    <row r="124" spans="2:17" ht="13.5" thickBot="1" x14ac:dyDescent="0.25">
      <c r="B124" s="71" t="s">
        <v>211</v>
      </c>
      <c r="C124" s="136">
        <v>37697</v>
      </c>
      <c r="D124" s="86" t="s">
        <v>182</v>
      </c>
      <c r="E124" s="147" t="s">
        <v>212</v>
      </c>
      <c r="F124" s="71"/>
      <c r="G124" s="71" t="s">
        <v>2</v>
      </c>
      <c r="H124" s="148" t="s">
        <v>8</v>
      </c>
      <c r="I124" s="137" t="s">
        <v>213</v>
      </c>
      <c r="J124" s="137" t="s">
        <v>216</v>
      </c>
      <c r="K124" s="137" t="s">
        <v>217</v>
      </c>
      <c r="L124" s="123">
        <f>(10000800)/1000</f>
        <v>10000.799999999999</v>
      </c>
      <c r="M124" s="76"/>
      <c r="N124" s="78">
        <f>+L124*3.56</f>
        <v>35602.847999999998</v>
      </c>
    </row>
    <row r="125" spans="2:17" s="311" customFormat="1" ht="16.5" thickTop="1" x14ac:dyDescent="0.2">
      <c r="B125" s="322"/>
      <c r="C125" s="323"/>
      <c r="D125" s="313"/>
      <c r="E125" s="313"/>
      <c r="F125" s="324"/>
      <c r="G125" s="324"/>
      <c r="H125" s="325"/>
      <c r="I125" s="322"/>
      <c r="J125" s="313"/>
      <c r="K125" s="326"/>
      <c r="L125" s="47"/>
      <c r="M125" s="47"/>
      <c r="N125" s="48"/>
      <c r="O125" s="312"/>
    </row>
    <row r="126" spans="2:17" ht="15.75" x14ac:dyDescent="0.2">
      <c r="B126" s="102">
        <v>2004</v>
      </c>
      <c r="C126" s="103"/>
      <c r="D126" s="51"/>
      <c r="E126" s="104"/>
      <c r="F126" s="321"/>
      <c r="G126" s="104"/>
      <c r="H126" s="104"/>
      <c r="I126" s="104"/>
      <c r="J126" s="104"/>
      <c r="K126" s="104"/>
      <c r="L126" s="105">
        <f>+L127+L131</f>
        <v>50000</v>
      </c>
      <c r="M126" s="105"/>
      <c r="N126" s="106">
        <f>+N127+N131</f>
        <v>3258618</v>
      </c>
    </row>
    <row r="127" spans="2:17" x14ac:dyDescent="0.2">
      <c r="B127" s="141" t="s">
        <v>110</v>
      </c>
      <c r="C127" s="130"/>
      <c r="D127" s="51"/>
      <c r="E127" s="59"/>
      <c r="F127" s="51"/>
      <c r="G127" s="51"/>
      <c r="H127" s="59"/>
      <c r="I127" s="92"/>
      <c r="J127" s="131"/>
      <c r="K127" s="92"/>
      <c r="L127" s="120">
        <f>SUM(L128:L128)</f>
        <v>0</v>
      </c>
      <c r="M127" s="62"/>
      <c r="N127" s="142">
        <f>SUM(N128:N129)</f>
        <v>3084268</v>
      </c>
    </row>
    <row r="128" spans="2:17" x14ac:dyDescent="0.2">
      <c r="B128" s="51" t="s">
        <v>231</v>
      </c>
      <c r="C128" s="149">
        <v>38011</v>
      </c>
      <c r="D128" s="9" t="s">
        <v>352</v>
      </c>
      <c r="E128" s="150" t="s">
        <v>233</v>
      </c>
      <c r="F128" s="51"/>
      <c r="G128" s="51" t="s">
        <v>2</v>
      </c>
      <c r="H128" s="132" t="s">
        <v>8</v>
      </c>
      <c r="I128" s="143" t="s">
        <v>191</v>
      </c>
      <c r="J128" s="144" t="s">
        <v>192</v>
      </c>
      <c r="K128" s="115" t="s">
        <v>234</v>
      </c>
      <c r="L128" s="117"/>
      <c r="M128" s="62"/>
      <c r="N128" s="64">
        <v>1950000</v>
      </c>
    </row>
    <row r="129" spans="2:15" x14ac:dyDescent="0.2">
      <c r="B129" s="51" t="s">
        <v>232</v>
      </c>
      <c r="C129" s="149">
        <v>38099</v>
      </c>
      <c r="D129" s="9" t="s">
        <v>352</v>
      </c>
      <c r="E129" s="194" t="s">
        <v>545</v>
      </c>
      <c r="F129" s="51"/>
      <c r="G129" s="51" t="s">
        <v>10</v>
      </c>
      <c r="H129" s="132" t="s">
        <v>10</v>
      </c>
      <c r="I129" s="145" t="s">
        <v>192</v>
      </c>
      <c r="J129" s="145" t="s">
        <v>192</v>
      </c>
      <c r="K129" s="144" t="s">
        <v>192</v>
      </c>
      <c r="L129" s="117"/>
      <c r="M129" s="62"/>
      <c r="N129" s="64">
        <v>1134268</v>
      </c>
    </row>
    <row r="130" spans="2:15" x14ac:dyDescent="0.2">
      <c r="B130" s="51"/>
      <c r="C130" s="151"/>
      <c r="D130" s="51"/>
      <c r="E130" s="59"/>
      <c r="F130" s="51"/>
      <c r="G130" s="51"/>
      <c r="H130" s="59"/>
      <c r="I130" s="145"/>
      <c r="J130" s="144"/>
      <c r="K130" s="145"/>
      <c r="L130" s="117"/>
      <c r="M130" s="62"/>
      <c r="N130" s="64"/>
    </row>
    <row r="131" spans="2:15" x14ac:dyDescent="0.2">
      <c r="B131" s="141" t="s">
        <v>210</v>
      </c>
      <c r="C131" s="130"/>
      <c r="D131" s="51"/>
      <c r="E131" s="59"/>
      <c r="F131" s="51"/>
      <c r="G131" s="51"/>
      <c r="H131" s="59"/>
      <c r="I131" s="145"/>
      <c r="J131" s="144"/>
      <c r="K131" s="145"/>
      <c r="L131" s="120">
        <f>+L132</f>
        <v>50000</v>
      </c>
      <c r="M131" s="62"/>
      <c r="N131" s="142">
        <f>+N132</f>
        <v>174350</v>
      </c>
    </row>
    <row r="132" spans="2:15" ht="13.5" thickBot="1" x14ac:dyDescent="0.25">
      <c r="B132" s="152" t="s">
        <v>235</v>
      </c>
      <c r="C132" s="153">
        <v>38106</v>
      </c>
      <c r="D132" s="154" t="s">
        <v>236</v>
      </c>
      <c r="E132" s="71" t="s">
        <v>237</v>
      </c>
      <c r="F132" s="71"/>
      <c r="G132" s="71" t="s">
        <v>238</v>
      </c>
      <c r="H132" s="71" t="s">
        <v>238</v>
      </c>
      <c r="I132" s="137" t="s">
        <v>271</v>
      </c>
      <c r="J132" s="155" t="s">
        <v>192</v>
      </c>
      <c r="K132" s="156" t="s">
        <v>192</v>
      </c>
      <c r="L132" s="123">
        <v>50000</v>
      </c>
      <c r="M132" s="157"/>
      <c r="N132" s="78">
        <f>+L132*3.487</f>
        <v>174350</v>
      </c>
    </row>
    <row r="133" spans="2:15" s="311" customFormat="1" ht="16.5" thickTop="1" x14ac:dyDescent="0.2">
      <c r="B133" s="322"/>
      <c r="C133" s="323"/>
      <c r="D133" s="313"/>
      <c r="E133" s="313"/>
      <c r="F133" s="324"/>
      <c r="G133" s="324"/>
      <c r="H133" s="325"/>
      <c r="I133" s="322"/>
      <c r="J133" s="313"/>
      <c r="K133" s="326"/>
      <c r="L133" s="47"/>
      <c r="M133" s="47"/>
      <c r="N133" s="48"/>
      <c r="O133" s="312"/>
    </row>
    <row r="134" spans="2:15" ht="15.75" x14ac:dyDescent="0.2">
      <c r="B134" s="102">
        <v>2005</v>
      </c>
      <c r="C134" s="103"/>
      <c r="D134" s="51"/>
      <c r="E134" s="104"/>
      <c r="F134" s="321"/>
      <c r="G134" s="104"/>
      <c r="H134" s="104"/>
      <c r="I134" s="104"/>
      <c r="J134" s="104"/>
      <c r="K134" s="104"/>
      <c r="L134" s="105">
        <f>+L135</f>
        <v>0</v>
      </c>
      <c r="M134" s="105"/>
      <c r="N134" s="106">
        <f>+N135+N139</f>
        <v>2396468</v>
      </c>
    </row>
    <row r="135" spans="2:15" x14ac:dyDescent="0.2">
      <c r="B135" s="141" t="s">
        <v>110</v>
      </c>
      <c r="C135" s="130"/>
      <c r="D135" s="51"/>
      <c r="E135" s="59"/>
      <c r="F135" s="51"/>
      <c r="G135" s="51"/>
      <c r="H135" s="59"/>
      <c r="I135" s="92"/>
      <c r="J135" s="131"/>
      <c r="K135" s="92"/>
      <c r="L135" s="120">
        <f>+L136</f>
        <v>0</v>
      </c>
      <c r="M135" s="62"/>
      <c r="N135" s="142">
        <f>+N136+N137</f>
        <v>2260887</v>
      </c>
    </row>
    <row r="136" spans="2:15" x14ac:dyDescent="0.2">
      <c r="B136" s="158" t="s">
        <v>285</v>
      </c>
      <c r="C136" s="130">
        <v>38379</v>
      </c>
      <c r="D136" s="9" t="s">
        <v>352</v>
      </c>
      <c r="E136" s="150" t="s">
        <v>286</v>
      </c>
      <c r="F136" s="51"/>
      <c r="G136" s="81" t="s">
        <v>2</v>
      </c>
      <c r="H136" s="81" t="s">
        <v>2</v>
      </c>
      <c r="I136" s="143" t="s">
        <v>191</v>
      </c>
      <c r="J136" s="159" t="s">
        <v>283</v>
      </c>
      <c r="K136" s="115" t="s">
        <v>287</v>
      </c>
      <c r="L136" s="117"/>
      <c r="M136" s="62"/>
      <c r="N136" s="64">
        <v>2090000</v>
      </c>
    </row>
    <row r="137" spans="2:15" x14ac:dyDescent="0.2">
      <c r="B137" s="51" t="s">
        <v>281</v>
      </c>
      <c r="C137" s="149">
        <v>38477</v>
      </c>
      <c r="D137" s="9" t="s">
        <v>352</v>
      </c>
      <c r="E137" s="150" t="s">
        <v>282</v>
      </c>
      <c r="F137" s="51"/>
      <c r="G137" s="81" t="s">
        <v>10</v>
      </c>
      <c r="H137" s="160" t="s">
        <v>10</v>
      </c>
      <c r="I137" s="159" t="s">
        <v>283</v>
      </c>
      <c r="J137" s="159" t="s">
        <v>283</v>
      </c>
      <c r="K137" s="161" t="s">
        <v>283</v>
      </c>
      <c r="L137" s="117"/>
      <c r="M137" s="62"/>
      <c r="N137" s="64">
        <v>170887</v>
      </c>
    </row>
    <row r="138" spans="2:15" x14ac:dyDescent="0.2">
      <c r="B138" s="141"/>
      <c r="C138" s="130"/>
      <c r="D138" s="51"/>
      <c r="E138" s="59"/>
      <c r="F138" s="51"/>
      <c r="G138" s="51"/>
      <c r="H138" s="59"/>
      <c r="I138" s="92"/>
      <c r="J138" s="131"/>
      <c r="K138" s="92"/>
      <c r="L138" s="117"/>
      <c r="M138" s="62"/>
      <c r="N138" s="142"/>
    </row>
    <row r="139" spans="2:15" x14ac:dyDescent="0.2">
      <c r="B139" s="141" t="s">
        <v>210</v>
      </c>
      <c r="C139" s="130"/>
      <c r="D139" s="51"/>
      <c r="E139" s="59"/>
      <c r="F139" s="51"/>
      <c r="G139" s="51"/>
      <c r="H139" s="59"/>
      <c r="I139" s="145"/>
      <c r="J139" s="144"/>
      <c r="K139" s="145"/>
      <c r="L139" s="117"/>
      <c r="M139" s="62"/>
      <c r="N139" s="142">
        <f>+N140</f>
        <v>135581</v>
      </c>
    </row>
    <row r="140" spans="2:15" ht="13.5" thickBot="1" x14ac:dyDescent="0.25">
      <c r="B140" s="51" t="s">
        <v>273</v>
      </c>
      <c r="C140" s="151">
        <v>38716</v>
      </c>
      <c r="D140" s="81" t="s">
        <v>274</v>
      </c>
      <c r="E140" s="150" t="s">
        <v>275</v>
      </c>
      <c r="F140" s="71"/>
      <c r="G140" s="81" t="s">
        <v>278</v>
      </c>
      <c r="H140" s="81" t="s">
        <v>278</v>
      </c>
      <c r="I140" s="67" t="s">
        <v>280</v>
      </c>
      <c r="J140" s="67" t="s">
        <v>279</v>
      </c>
      <c r="K140" s="67" t="s">
        <v>88</v>
      </c>
      <c r="L140" s="117"/>
      <c r="M140" s="125"/>
      <c r="N140" s="64">
        <v>135581</v>
      </c>
    </row>
    <row r="141" spans="2:15" ht="13.5" thickTop="1" x14ac:dyDescent="0.2">
      <c r="B141" s="51"/>
      <c r="C141" s="151"/>
      <c r="D141" s="51"/>
      <c r="E141" s="150" t="s">
        <v>277</v>
      </c>
      <c r="F141" s="59"/>
      <c r="G141" s="51"/>
      <c r="H141" s="59"/>
      <c r="I141" s="145"/>
      <c r="J141" s="144"/>
      <c r="K141" s="145"/>
      <c r="L141" s="117"/>
      <c r="M141" s="125"/>
      <c r="N141" s="64"/>
    </row>
    <row r="142" spans="2:15" x14ac:dyDescent="0.2">
      <c r="B142" s="51"/>
      <c r="C142" s="151"/>
      <c r="D142" s="51"/>
      <c r="E142" s="51" t="s">
        <v>276</v>
      </c>
      <c r="F142" s="59"/>
      <c r="G142" s="51"/>
      <c r="H142" s="59"/>
      <c r="I142" s="145"/>
      <c r="J142" s="144"/>
      <c r="K142" s="145"/>
      <c r="L142" s="117"/>
      <c r="M142" s="125"/>
      <c r="N142" s="64"/>
    </row>
    <row r="143" spans="2:15" ht="13.5" thickBot="1" x14ac:dyDescent="0.25">
      <c r="B143" s="71"/>
      <c r="C143" s="162"/>
      <c r="D143" s="71"/>
      <c r="E143" s="163"/>
      <c r="F143" s="72"/>
      <c r="G143" s="71"/>
      <c r="H143" s="72"/>
      <c r="I143" s="155"/>
      <c r="J143" s="156"/>
      <c r="K143" s="155"/>
      <c r="L143" s="123"/>
      <c r="M143" s="157"/>
      <c r="N143" s="78"/>
    </row>
    <row r="144" spans="2:15" s="311" customFormat="1" ht="16.5" thickTop="1" x14ac:dyDescent="0.2">
      <c r="B144" s="322"/>
      <c r="C144" s="323"/>
      <c r="D144" s="313"/>
      <c r="E144" s="313"/>
      <c r="F144" s="324"/>
      <c r="G144" s="324"/>
      <c r="H144" s="325"/>
      <c r="I144" s="322"/>
      <c r="J144" s="313"/>
      <c r="K144" s="326"/>
      <c r="L144" s="47"/>
      <c r="M144" s="47"/>
      <c r="N144" s="48"/>
      <c r="O144" s="312"/>
    </row>
    <row r="145" spans="2:15" ht="15.75" x14ac:dyDescent="0.2">
      <c r="B145" s="102">
        <v>2006</v>
      </c>
      <c r="C145" s="103"/>
      <c r="D145" s="51"/>
      <c r="E145" s="104"/>
      <c r="F145" s="321"/>
      <c r="G145" s="104"/>
      <c r="H145" s="104"/>
      <c r="I145" s="104"/>
      <c r="J145" s="104"/>
      <c r="K145" s="104"/>
      <c r="L145" s="105">
        <f>+L146</f>
        <v>0</v>
      </c>
      <c r="M145" s="105"/>
      <c r="N145" s="106">
        <f>+N146</f>
        <v>2355293</v>
      </c>
    </row>
    <row r="146" spans="2:15" x14ac:dyDescent="0.2">
      <c r="B146" s="141" t="s">
        <v>110</v>
      </c>
      <c r="C146" s="130"/>
      <c r="D146" s="51"/>
      <c r="E146" s="59"/>
      <c r="F146" s="51"/>
      <c r="G146" s="51"/>
      <c r="H146" s="59"/>
      <c r="I146" s="92"/>
      <c r="J146" s="131"/>
      <c r="K146" s="92"/>
      <c r="L146" s="120">
        <f>+L147+L148</f>
        <v>0</v>
      </c>
      <c r="M146" s="62"/>
      <c r="N146" s="142">
        <f>+N147+N148</f>
        <v>2355293</v>
      </c>
    </row>
    <row r="147" spans="2:15" x14ac:dyDescent="0.2">
      <c r="B147" s="51" t="s">
        <v>290</v>
      </c>
      <c r="C147" s="149">
        <v>38765</v>
      </c>
      <c r="D147" s="9" t="s">
        <v>352</v>
      </c>
      <c r="E147" s="150" t="s">
        <v>292</v>
      </c>
      <c r="F147" s="51"/>
      <c r="G147" s="81" t="s">
        <v>2</v>
      </c>
      <c r="H147" s="81" t="s">
        <v>2</v>
      </c>
      <c r="I147" s="143" t="s">
        <v>191</v>
      </c>
      <c r="J147" s="159" t="s">
        <v>283</v>
      </c>
      <c r="K147" s="115" t="s">
        <v>301</v>
      </c>
      <c r="L147" s="117"/>
      <c r="M147" s="62"/>
      <c r="N147" s="64">
        <v>2132000</v>
      </c>
    </row>
    <row r="148" spans="2:15" x14ac:dyDescent="0.2">
      <c r="B148" s="51" t="s">
        <v>291</v>
      </c>
      <c r="C148" s="149">
        <v>38835</v>
      </c>
      <c r="D148" s="9" t="s">
        <v>352</v>
      </c>
      <c r="E148" s="150" t="s">
        <v>282</v>
      </c>
      <c r="F148" s="51"/>
      <c r="G148" s="81" t="s">
        <v>10</v>
      </c>
      <c r="H148" s="160" t="s">
        <v>10</v>
      </c>
      <c r="I148" s="159" t="s">
        <v>283</v>
      </c>
      <c r="J148" s="159" t="s">
        <v>283</v>
      </c>
      <c r="K148" s="161" t="s">
        <v>283</v>
      </c>
      <c r="L148" s="117"/>
      <c r="M148" s="62"/>
      <c r="N148" s="64">
        <v>223293</v>
      </c>
    </row>
    <row r="149" spans="2:15" x14ac:dyDescent="0.2">
      <c r="B149" s="51"/>
      <c r="C149" s="130"/>
      <c r="D149" s="51"/>
      <c r="E149" s="59"/>
      <c r="F149" s="59"/>
      <c r="G149" s="51"/>
      <c r="H149" s="51"/>
      <c r="I149" s="145"/>
      <c r="J149" s="145"/>
      <c r="K149" s="145"/>
      <c r="L149" s="117"/>
      <c r="M149" s="62"/>
      <c r="N149" s="64"/>
    </row>
    <row r="150" spans="2:15" ht="13.5" thickBot="1" x14ac:dyDescent="0.25">
      <c r="B150" s="71"/>
      <c r="C150" s="164"/>
      <c r="D150" s="86"/>
      <c r="E150" s="163"/>
      <c r="F150" s="72"/>
      <c r="G150" s="86"/>
      <c r="H150" s="154"/>
      <c r="I150" s="165"/>
      <c r="J150" s="166"/>
      <c r="K150" s="167"/>
      <c r="L150" s="123"/>
      <c r="M150" s="76"/>
      <c r="N150" s="78"/>
    </row>
    <row r="151" spans="2:15" s="311" customFormat="1" ht="16.5" thickTop="1" x14ac:dyDescent="0.2">
      <c r="B151" s="322"/>
      <c r="C151" s="323"/>
      <c r="D151" s="313"/>
      <c r="E151" s="313"/>
      <c r="F151" s="324"/>
      <c r="G151" s="324"/>
      <c r="H151" s="325"/>
      <c r="I151" s="322"/>
      <c r="J151" s="313"/>
      <c r="K151" s="326"/>
      <c r="L151" s="47"/>
      <c r="M151" s="47"/>
      <c r="N151" s="48"/>
      <c r="O151" s="312"/>
    </row>
    <row r="152" spans="2:15" ht="15.75" x14ac:dyDescent="0.2">
      <c r="B152" s="102" t="s">
        <v>302</v>
      </c>
      <c r="C152" s="103"/>
      <c r="D152" s="51"/>
      <c r="E152" s="104"/>
      <c r="F152" s="321"/>
      <c r="G152" s="104"/>
      <c r="H152" s="104"/>
      <c r="I152" s="104"/>
      <c r="J152" s="104"/>
      <c r="K152" s="104"/>
      <c r="L152" s="105">
        <f>+L153+L157</f>
        <v>0</v>
      </c>
      <c r="M152" s="105"/>
      <c r="N152" s="106">
        <f>+N153+N157</f>
        <v>3104575.9270000001</v>
      </c>
    </row>
    <row r="153" spans="2:15" x14ac:dyDescent="0.2">
      <c r="B153" s="170" t="s">
        <v>110</v>
      </c>
      <c r="C153" s="171"/>
      <c r="D153" s="81"/>
      <c r="E153" s="150"/>
      <c r="F153" s="59"/>
      <c r="G153" s="81"/>
      <c r="H153" s="160"/>
      <c r="I153" s="168"/>
      <c r="J153" s="159"/>
      <c r="K153" s="169"/>
      <c r="L153" s="120">
        <f>SUM(L154:L155)</f>
        <v>0</v>
      </c>
      <c r="M153" s="62"/>
      <c r="N153" s="142">
        <f>SUM(N154:N155)</f>
        <v>2554575.9270000001</v>
      </c>
    </row>
    <row r="154" spans="2:15" x14ac:dyDescent="0.2">
      <c r="B154" s="57" t="s">
        <v>293</v>
      </c>
      <c r="C154" s="171">
        <v>39121</v>
      </c>
      <c r="D154" s="9" t="s">
        <v>352</v>
      </c>
      <c r="E154" s="150" t="s">
        <v>295</v>
      </c>
      <c r="F154" s="59"/>
      <c r="G154" s="81" t="s">
        <v>2</v>
      </c>
      <c r="H154" s="160" t="s">
        <v>2</v>
      </c>
      <c r="I154" s="143" t="s">
        <v>191</v>
      </c>
      <c r="J154" s="159" t="s">
        <v>283</v>
      </c>
      <c r="K154" s="172" t="s">
        <v>284</v>
      </c>
      <c r="L154" s="117"/>
      <c r="M154" s="62"/>
      <c r="N154" s="64">
        <f>2331000000/1000</f>
        <v>2331000</v>
      </c>
    </row>
    <row r="155" spans="2:15" x14ac:dyDescent="0.2">
      <c r="B155" s="57" t="s">
        <v>294</v>
      </c>
      <c r="C155" s="171">
        <v>39198</v>
      </c>
      <c r="D155" s="9" t="s">
        <v>352</v>
      </c>
      <c r="E155" s="150" t="s">
        <v>296</v>
      </c>
      <c r="F155" s="59"/>
      <c r="G155" s="81" t="s">
        <v>10</v>
      </c>
      <c r="H155" s="160" t="s">
        <v>10</v>
      </c>
      <c r="I155" s="159" t="s">
        <v>283</v>
      </c>
      <c r="J155" s="159" t="s">
        <v>283</v>
      </c>
      <c r="K155" s="173" t="s">
        <v>283</v>
      </c>
      <c r="L155" s="117"/>
      <c r="M155" s="62"/>
      <c r="N155" s="64">
        <f>223575927/1000</f>
        <v>223575.927</v>
      </c>
    </row>
    <row r="156" spans="2:15" x14ac:dyDescent="0.2">
      <c r="B156" s="57"/>
      <c r="C156" s="171"/>
      <c r="D156" s="81"/>
      <c r="E156" s="150"/>
      <c r="F156" s="59"/>
      <c r="G156" s="81"/>
      <c r="H156" s="160"/>
      <c r="I156" s="168"/>
      <c r="J156" s="159"/>
      <c r="K156" s="169"/>
      <c r="L156" s="117"/>
      <c r="M156" s="62"/>
      <c r="N156" s="64"/>
    </row>
    <row r="157" spans="2:15" x14ac:dyDescent="0.2">
      <c r="B157" s="170" t="s">
        <v>109</v>
      </c>
      <c r="C157" s="51"/>
      <c r="D157" s="81"/>
      <c r="E157" s="150"/>
      <c r="F157" s="59"/>
      <c r="G157" s="81"/>
      <c r="H157" s="160"/>
      <c r="I157" s="168"/>
      <c r="J157" s="159"/>
      <c r="K157" s="169"/>
      <c r="L157" s="120">
        <f>+L158</f>
        <v>0</v>
      </c>
      <c r="M157" s="62"/>
      <c r="N157" s="142">
        <f>+N158</f>
        <v>550000</v>
      </c>
    </row>
    <row r="158" spans="2:15" x14ac:dyDescent="0.2">
      <c r="B158" s="57" t="s">
        <v>306</v>
      </c>
      <c r="C158" s="171">
        <v>39445</v>
      </c>
      <c r="D158" s="2" t="s">
        <v>322</v>
      </c>
      <c r="E158" s="150" t="s">
        <v>297</v>
      </c>
      <c r="F158" s="59"/>
      <c r="G158" s="81" t="s">
        <v>2</v>
      </c>
      <c r="H158" s="160" t="s">
        <v>298</v>
      </c>
      <c r="I158" s="174" t="s">
        <v>304</v>
      </c>
      <c r="J158" s="175" t="s">
        <v>85</v>
      </c>
      <c r="K158" s="176" t="s">
        <v>305</v>
      </c>
      <c r="L158" s="117"/>
      <c r="M158" s="62"/>
      <c r="N158" s="64">
        <f>550000000/1000</f>
        <v>550000</v>
      </c>
    </row>
    <row r="159" spans="2:15" ht="13.5" thickBot="1" x14ac:dyDescent="0.25">
      <c r="B159" s="69"/>
      <c r="C159" s="70"/>
      <c r="D159" s="86"/>
      <c r="E159" s="163"/>
      <c r="F159" s="72"/>
      <c r="G159" s="86"/>
      <c r="H159" s="154"/>
      <c r="I159" s="165"/>
      <c r="J159" s="166"/>
      <c r="K159" s="167"/>
      <c r="L159" s="123"/>
      <c r="M159" s="76"/>
      <c r="N159" s="78"/>
    </row>
    <row r="160" spans="2:15" s="311" customFormat="1" ht="16.5" thickTop="1" x14ac:dyDescent="0.2">
      <c r="B160" s="322"/>
      <c r="C160" s="323"/>
      <c r="D160" s="313"/>
      <c r="E160" s="313"/>
      <c r="F160" s="324"/>
      <c r="G160" s="324"/>
      <c r="H160" s="325"/>
      <c r="I160" s="322"/>
      <c r="J160" s="313"/>
      <c r="K160" s="326"/>
      <c r="L160" s="47"/>
      <c r="M160" s="47"/>
      <c r="N160" s="48"/>
      <c r="O160" s="312"/>
    </row>
    <row r="161" spans="2:15" ht="15.75" x14ac:dyDescent="0.2">
      <c r="B161" s="102">
        <v>2008</v>
      </c>
      <c r="C161" s="103"/>
      <c r="D161" s="51"/>
      <c r="E161" s="104"/>
      <c r="F161" s="321"/>
      <c r="G161" s="104"/>
      <c r="H161" s="104"/>
      <c r="I161" s="104"/>
      <c r="J161" s="104"/>
      <c r="K161" s="104"/>
      <c r="L161" s="105"/>
      <c r="M161" s="105"/>
      <c r="N161" s="106">
        <f>+N162+N167</f>
        <v>3703759</v>
      </c>
    </row>
    <row r="162" spans="2:15" x14ac:dyDescent="0.2">
      <c r="B162" s="170" t="s">
        <v>110</v>
      </c>
      <c r="C162" s="171"/>
      <c r="D162" s="81"/>
      <c r="E162" s="150"/>
      <c r="F162" s="59"/>
      <c r="G162" s="81"/>
      <c r="H162" s="160"/>
      <c r="I162" s="168"/>
      <c r="J162" s="159"/>
      <c r="K162" s="169"/>
      <c r="L162" s="117"/>
      <c r="M162" s="62"/>
      <c r="N162" s="142">
        <f>+N163+N164</f>
        <v>2901474</v>
      </c>
    </row>
    <row r="163" spans="2:15" x14ac:dyDescent="0.2">
      <c r="B163" s="57" t="s">
        <v>318</v>
      </c>
      <c r="C163" s="171">
        <v>39478</v>
      </c>
      <c r="D163" s="9" t="s">
        <v>352</v>
      </c>
      <c r="E163" s="194" t="s">
        <v>303</v>
      </c>
      <c r="F163" s="59"/>
      <c r="G163" s="81" t="s">
        <v>2</v>
      </c>
      <c r="H163" s="160" t="s">
        <v>2</v>
      </c>
      <c r="I163" s="143" t="s">
        <v>191</v>
      </c>
      <c r="J163" s="159" t="s">
        <v>283</v>
      </c>
      <c r="K163" s="178" t="s">
        <v>311</v>
      </c>
      <c r="L163" s="117"/>
      <c r="M163" s="62"/>
      <c r="N163" s="64">
        <v>2685000</v>
      </c>
    </row>
    <row r="164" spans="2:15" x14ac:dyDescent="0.2">
      <c r="B164" s="57" t="s">
        <v>317</v>
      </c>
      <c r="C164" s="171">
        <v>39633</v>
      </c>
      <c r="D164" s="9" t="s">
        <v>352</v>
      </c>
      <c r="E164" s="150" t="s">
        <v>296</v>
      </c>
      <c r="F164" s="59"/>
      <c r="G164" s="81" t="s">
        <v>10</v>
      </c>
      <c r="H164" s="160" t="s">
        <v>10</v>
      </c>
      <c r="I164" s="159" t="s">
        <v>283</v>
      </c>
      <c r="J164" s="159" t="s">
        <v>283</v>
      </c>
      <c r="K164" s="161" t="s">
        <v>283</v>
      </c>
      <c r="L164" s="117"/>
      <c r="M164" s="62"/>
      <c r="N164" s="64">
        <v>216474</v>
      </c>
    </row>
    <row r="165" spans="2:15" x14ac:dyDescent="0.2">
      <c r="B165" s="57"/>
      <c r="C165" s="171"/>
      <c r="D165" s="81"/>
      <c r="E165" s="177"/>
      <c r="F165" s="59"/>
      <c r="G165" s="81"/>
      <c r="H165" s="160"/>
      <c r="I165" s="168"/>
      <c r="J165" s="159"/>
      <c r="K165" s="169"/>
      <c r="L165" s="117"/>
      <c r="M165" s="62"/>
      <c r="N165" s="64"/>
    </row>
    <row r="166" spans="2:15" x14ac:dyDescent="0.2">
      <c r="B166" s="57"/>
      <c r="C166" s="171"/>
      <c r="D166" s="81"/>
      <c r="E166" s="177"/>
      <c r="F166" s="59"/>
      <c r="G166" s="81"/>
      <c r="H166" s="160"/>
      <c r="I166" s="168"/>
      <c r="J166" s="159"/>
      <c r="K166" s="169"/>
      <c r="L166" s="117"/>
      <c r="M166" s="62"/>
      <c r="N166" s="64"/>
    </row>
    <row r="167" spans="2:15" x14ac:dyDescent="0.2">
      <c r="B167" s="170" t="s">
        <v>109</v>
      </c>
      <c r="C167" s="51"/>
      <c r="D167" s="81"/>
      <c r="E167" s="177"/>
      <c r="F167" s="59"/>
      <c r="G167" s="81"/>
      <c r="H167" s="160"/>
      <c r="I167" s="168"/>
      <c r="J167" s="159"/>
      <c r="K167" s="169"/>
      <c r="L167" s="117"/>
      <c r="M167" s="62"/>
      <c r="N167" s="142">
        <f>+N168</f>
        <v>802285</v>
      </c>
    </row>
    <row r="168" spans="2:15" x14ac:dyDescent="0.2">
      <c r="B168" s="179" t="s">
        <v>316</v>
      </c>
      <c r="C168" s="171">
        <v>39787</v>
      </c>
      <c r="D168" s="2" t="s">
        <v>322</v>
      </c>
      <c r="E168" s="194" t="s">
        <v>546</v>
      </c>
      <c r="F168" s="59"/>
      <c r="G168" s="81" t="s">
        <v>2</v>
      </c>
      <c r="H168" s="160" t="s">
        <v>298</v>
      </c>
      <c r="I168" s="180" t="s">
        <v>312</v>
      </c>
      <c r="J168" s="175" t="s">
        <v>85</v>
      </c>
      <c r="K168" s="181" t="s">
        <v>313</v>
      </c>
      <c r="L168" s="117"/>
      <c r="M168" s="62"/>
      <c r="N168" s="64">
        <v>802285</v>
      </c>
    </row>
    <row r="169" spans="2:15" ht="13.5" thickBot="1" x14ac:dyDescent="0.25">
      <c r="B169" s="182"/>
      <c r="C169" s="183"/>
      <c r="D169" s="184"/>
      <c r="E169" s="185"/>
      <c r="F169" s="186"/>
      <c r="G169" s="184"/>
      <c r="H169" s="187"/>
      <c r="I169" s="188"/>
      <c r="J169" s="189"/>
      <c r="K169" s="190"/>
      <c r="L169" s="191"/>
      <c r="M169" s="192"/>
      <c r="N169" s="193"/>
    </row>
    <row r="170" spans="2:15" s="311" customFormat="1" ht="16.5" thickTop="1" x14ac:dyDescent="0.2">
      <c r="B170" s="322"/>
      <c r="C170" s="323"/>
      <c r="D170" s="313"/>
      <c r="E170" s="313"/>
      <c r="F170" s="324"/>
      <c r="G170" s="324"/>
      <c r="H170" s="325"/>
      <c r="I170" s="322"/>
      <c r="J170" s="313"/>
      <c r="K170" s="326"/>
      <c r="L170" s="47"/>
      <c r="M170" s="47"/>
      <c r="N170" s="48"/>
      <c r="O170" s="312"/>
    </row>
    <row r="171" spans="2:15" ht="15.75" x14ac:dyDescent="0.2">
      <c r="B171" s="102">
        <v>2009</v>
      </c>
      <c r="C171" s="103"/>
      <c r="D171" s="51"/>
      <c r="E171" s="104"/>
      <c r="F171" s="321"/>
      <c r="G171" s="104"/>
      <c r="H171" s="104"/>
      <c r="I171" s="104"/>
      <c r="J171" s="104"/>
      <c r="K171" s="104"/>
      <c r="L171" s="105">
        <f>+L172+L176</f>
        <v>800</v>
      </c>
      <c r="M171" s="105"/>
      <c r="N171" s="106">
        <f>+N172+N176</f>
        <v>2497593.5989999999</v>
      </c>
    </row>
    <row r="172" spans="2:15" x14ac:dyDescent="0.2">
      <c r="B172" s="170" t="s">
        <v>110</v>
      </c>
      <c r="C172" s="8"/>
      <c r="D172" s="9"/>
      <c r="E172" s="194"/>
      <c r="F172" s="195"/>
      <c r="G172" s="9"/>
      <c r="H172" s="196"/>
      <c r="I172" s="14"/>
      <c r="J172" s="159"/>
      <c r="K172" s="169"/>
      <c r="L172" s="120">
        <f>SUM(L174)</f>
        <v>0</v>
      </c>
      <c r="M172" s="197"/>
      <c r="N172" s="142">
        <f>SUM(N173:N174)</f>
        <v>1579667</v>
      </c>
    </row>
    <row r="173" spans="2:15" x14ac:dyDescent="0.2">
      <c r="B173" s="12" t="s">
        <v>331</v>
      </c>
      <c r="C173" s="8">
        <v>39857</v>
      </c>
      <c r="D173" s="9" t="s">
        <v>352</v>
      </c>
      <c r="E173" s="194" t="s">
        <v>320</v>
      </c>
      <c r="F173" s="195"/>
      <c r="G173" s="9" t="s">
        <v>2</v>
      </c>
      <c r="H173" s="196" t="s">
        <v>2</v>
      </c>
      <c r="I173" s="143" t="s">
        <v>191</v>
      </c>
      <c r="J173" s="159" t="s">
        <v>283</v>
      </c>
      <c r="K173" s="198" t="s">
        <v>328</v>
      </c>
      <c r="L173" s="199"/>
      <c r="M173" s="200"/>
      <c r="N173" s="201">
        <v>1405000</v>
      </c>
    </row>
    <row r="174" spans="2:15" x14ac:dyDescent="0.2">
      <c r="B174" s="12" t="s">
        <v>332</v>
      </c>
      <c r="C174" s="8">
        <v>39961</v>
      </c>
      <c r="D174" s="9" t="s">
        <v>352</v>
      </c>
      <c r="E174" s="194" t="s">
        <v>296</v>
      </c>
      <c r="F174" s="195"/>
      <c r="G174" s="9" t="s">
        <v>10</v>
      </c>
      <c r="H174" s="196" t="s">
        <v>10</v>
      </c>
      <c r="I174" s="159" t="s">
        <v>283</v>
      </c>
      <c r="J174" s="159" t="s">
        <v>283</v>
      </c>
      <c r="K174" s="202" t="s">
        <v>283</v>
      </c>
      <c r="L174" s="199"/>
      <c r="M174" s="197"/>
      <c r="N174" s="201">
        <v>174667</v>
      </c>
    </row>
    <row r="175" spans="2:15" x14ac:dyDescent="0.2">
      <c r="B175" s="12"/>
      <c r="C175" s="8"/>
      <c r="D175" s="9"/>
      <c r="E175" s="194"/>
      <c r="F175" s="195"/>
      <c r="G175" s="9"/>
      <c r="H175" s="196"/>
      <c r="I175" s="14"/>
      <c r="J175" s="159"/>
      <c r="K175" s="169"/>
      <c r="L175" s="199"/>
      <c r="M175" s="197"/>
      <c r="N175" s="201"/>
    </row>
    <row r="176" spans="2:15" x14ac:dyDescent="0.2">
      <c r="B176" s="170" t="s">
        <v>109</v>
      </c>
      <c r="C176" s="8"/>
      <c r="D176" s="9"/>
      <c r="E176" s="194"/>
      <c r="F176" s="195"/>
      <c r="G176" s="9"/>
      <c r="H176" s="196"/>
      <c r="I176" s="14"/>
      <c r="J176" s="159"/>
      <c r="K176" s="169"/>
      <c r="L176" s="120">
        <f>SUM(L177:L179)</f>
        <v>800</v>
      </c>
      <c r="M176" s="197"/>
      <c r="N176" s="142">
        <f>SUM(N177:N179)</f>
        <v>917926.59899999993</v>
      </c>
    </row>
    <row r="177" spans="2:15" x14ac:dyDescent="0.2">
      <c r="B177" s="203" t="s">
        <v>333</v>
      </c>
      <c r="C177" s="8">
        <v>40073</v>
      </c>
      <c r="D177" s="9" t="s">
        <v>322</v>
      </c>
      <c r="E177" s="204" t="s">
        <v>323</v>
      </c>
      <c r="F177" s="195"/>
      <c r="G177" s="9" t="s">
        <v>2</v>
      </c>
      <c r="H177" s="196" t="s">
        <v>327</v>
      </c>
      <c r="I177" s="205">
        <v>4.3999999999999997E-2</v>
      </c>
      <c r="J177" s="159" t="s">
        <v>283</v>
      </c>
      <c r="K177" s="198" t="s">
        <v>329</v>
      </c>
      <c r="L177" s="199">
        <f>800000/1000</f>
        <v>800</v>
      </c>
      <c r="M177" s="197"/>
      <c r="N177" s="201">
        <f>+L177*2.902</f>
        <v>2321.6</v>
      </c>
    </row>
    <row r="178" spans="2:15" ht="25.5" x14ac:dyDescent="0.2">
      <c r="B178" s="7" t="s">
        <v>334</v>
      </c>
      <c r="C178" s="8" t="s">
        <v>321</v>
      </c>
      <c r="D178" s="9" t="s">
        <v>322</v>
      </c>
      <c r="E178" s="206" t="s">
        <v>324</v>
      </c>
      <c r="F178" s="195"/>
      <c r="G178" s="9" t="s">
        <v>2</v>
      </c>
      <c r="H178" s="196" t="s">
        <v>326</v>
      </c>
      <c r="I178" s="205">
        <v>4.8000000000000001E-2</v>
      </c>
      <c r="J178" s="207" t="s">
        <v>43</v>
      </c>
      <c r="K178" s="198" t="s">
        <v>330</v>
      </c>
      <c r="L178" s="199"/>
      <c r="M178" s="197"/>
      <c r="N178" s="201">
        <f>185000000/1000</f>
        <v>185000</v>
      </c>
    </row>
    <row r="179" spans="2:15" x14ac:dyDescent="0.2">
      <c r="B179" s="12" t="s">
        <v>335</v>
      </c>
      <c r="C179" s="8">
        <v>40073</v>
      </c>
      <c r="D179" s="9" t="s">
        <v>322</v>
      </c>
      <c r="E179" s="194" t="s">
        <v>325</v>
      </c>
      <c r="F179" s="195"/>
      <c r="G179" s="9" t="s">
        <v>2</v>
      </c>
      <c r="H179" s="196" t="s">
        <v>298</v>
      </c>
      <c r="I179" s="14">
        <v>5.8000000000000003E-2</v>
      </c>
      <c r="J179" s="207" t="s">
        <v>85</v>
      </c>
      <c r="K179" s="208" t="s">
        <v>509</v>
      </c>
      <c r="L179" s="199"/>
      <c r="M179" s="197"/>
      <c r="N179" s="201">
        <f>730604999/1000</f>
        <v>730604.99899999995</v>
      </c>
    </row>
    <row r="180" spans="2:15" ht="13.5" thickBot="1" x14ac:dyDescent="0.25">
      <c r="B180" s="209"/>
      <c r="C180" s="3"/>
      <c r="D180" s="4"/>
      <c r="E180" s="210"/>
      <c r="F180" s="72"/>
      <c r="G180" s="11"/>
      <c r="H180" s="154"/>
      <c r="I180" s="211"/>
      <c r="J180" s="212"/>
      <c r="K180" s="213"/>
      <c r="L180" s="123"/>
      <c r="M180" s="76"/>
      <c r="N180" s="78"/>
    </row>
    <row r="181" spans="2:15" s="311" customFormat="1" ht="16.5" thickTop="1" x14ac:dyDescent="0.2">
      <c r="B181" s="322"/>
      <c r="C181" s="323"/>
      <c r="D181" s="313"/>
      <c r="E181" s="313"/>
      <c r="F181" s="324"/>
      <c r="G181" s="324"/>
      <c r="H181" s="325"/>
      <c r="I181" s="322"/>
      <c r="J181" s="313"/>
      <c r="K181" s="326"/>
      <c r="L181" s="47"/>
      <c r="M181" s="47"/>
      <c r="N181" s="48"/>
      <c r="O181" s="312"/>
    </row>
    <row r="182" spans="2:15" ht="15.75" x14ac:dyDescent="0.2">
      <c r="B182" s="102">
        <v>2010</v>
      </c>
      <c r="C182" s="103"/>
      <c r="D182" s="51"/>
      <c r="E182" s="104"/>
      <c r="F182" s="321"/>
      <c r="G182" s="104"/>
      <c r="H182" s="104"/>
      <c r="I182" s="104"/>
      <c r="J182" s="104"/>
      <c r="K182" s="104"/>
      <c r="L182" s="105">
        <f>+L183+L187</f>
        <v>0</v>
      </c>
      <c r="M182" s="105"/>
      <c r="N182" s="106">
        <f>+N183+N187</f>
        <v>2561500</v>
      </c>
    </row>
    <row r="183" spans="2:15" x14ac:dyDescent="0.2">
      <c r="B183" s="170" t="s">
        <v>110</v>
      </c>
      <c r="C183" s="8"/>
      <c r="D183" s="9"/>
      <c r="E183" s="194"/>
      <c r="F183" s="195"/>
      <c r="G183" s="9"/>
      <c r="H183" s="196"/>
      <c r="I183" s="14"/>
      <c r="J183" s="207"/>
      <c r="K183" s="208"/>
      <c r="L183" s="199"/>
      <c r="M183" s="197"/>
      <c r="N183" s="142">
        <f>SUM(N184:N185)</f>
        <v>2161500</v>
      </c>
    </row>
    <row r="184" spans="2:15" x14ac:dyDescent="0.2">
      <c r="B184" s="218" t="s">
        <v>336</v>
      </c>
      <c r="C184" s="8">
        <v>40227</v>
      </c>
      <c r="D184" s="9" t="s">
        <v>352</v>
      </c>
      <c r="E184" s="194" t="s">
        <v>338</v>
      </c>
      <c r="F184" s="195"/>
      <c r="G184" s="9" t="s">
        <v>2</v>
      </c>
      <c r="H184" s="196" t="s">
        <v>2</v>
      </c>
      <c r="I184" s="143" t="s">
        <v>191</v>
      </c>
      <c r="J184" s="159" t="s">
        <v>283</v>
      </c>
      <c r="K184" s="198" t="s">
        <v>340</v>
      </c>
      <c r="L184" s="199"/>
      <c r="M184" s="197"/>
      <c r="N184" s="201">
        <v>2065000</v>
      </c>
    </row>
    <row r="185" spans="2:15" ht="25.5" x14ac:dyDescent="0.2">
      <c r="B185" s="12" t="s">
        <v>337</v>
      </c>
      <c r="C185" s="8">
        <v>40255</v>
      </c>
      <c r="D185" s="9" t="s">
        <v>352</v>
      </c>
      <c r="E185" s="219" t="s">
        <v>339</v>
      </c>
      <c r="F185" s="195"/>
      <c r="G185" s="9" t="s">
        <v>10</v>
      </c>
      <c r="H185" s="196" t="s">
        <v>10</v>
      </c>
      <c r="I185" s="159" t="s">
        <v>283</v>
      </c>
      <c r="J185" s="159" t="s">
        <v>283</v>
      </c>
      <c r="K185" s="202" t="s">
        <v>283</v>
      </c>
      <c r="L185" s="199"/>
      <c r="M185" s="197"/>
      <c r="N185" s="201">
        <v>96500</v>
      </c>
    </row>
    <row r="186" spans="2:15" x14ac:dyDescent="0.2">
      <c r="B186" s="12"/>
      <c r="C186" s="8"/>
      <c r="D186" s="9"/>
      <c r="E186" s="194"/>
      <c r="F186" s="195"/>
      <c r="G186" s="9"/>
      <c r="H186" s="196"/>
      <c r="I186" s="14"/>
      <c r="J186" s="207"/>
      <c r="K186" s="208"/>
      <c r="L186" s="199"/>
      <c r="M186" s="197"/>
      <c r="N186" s="201"/>
    </row>
    <row r="187" spans="2:15" x14ac:dyDescent="0.2">
      <c r="B187" s="170" t="s">
        <v>109</v>
      </c>
      <c r="C187" s="8"/>
      <c r="D187" s="9"/>
      <c r="E187" s="194"/>
      <c r="F187" s="195"/>
      <c r="G187" s="9"/>
      <c r="H187" s="196"/>
      <c r="I187" s="14"/>
      <c r="J187" s="207"/>
      <c r="K187" s="208"/>
      <c r="L187" s="199"/>
      <c r="M187" s="197"/>
      <c r="N187" s="142">
        <f>SUM(N188:N189)</f>
        <v>400000</v>
      </c>
    </row>
    <row r="188" spans="2:15" ht="25.5" x14ac:dyDescent="0.2">
      <c r="B188" s="12" t="s">
        <v>342</v>
      </c>
      <c r="C188" s="8">
        <v>40368</v>
      </c>
      <c r="D188" s="9" t="s">
        <v>322</v>
      </c>
      <c r="E188" s="219" t="s">
        <v>344</v>
      </c>
      <c r="F188" s="195"/>
      <c r="G188" s="9" t="s">
        <v>2</v>
      </c>
      <c r="H188" s="196" t="s">
        <v>298</v>
      </c>
      <c r="I188" s="143" t="s">
        <v>348</v>
      </c>
      <c r="J188" s="207" t="s">
        <v>25</v>
      </c>
      <c r="K188" s="198" t="s">
        <v>349</v>
      </c>
      <c r="L188" s="199"/>
      <c r="M188" s="197"/>
      <c r="N188" s="201">
        <v>250000</v>
      </c>
    </row>
    <row r="189" spans="2:15" x14ac:dyDescent="0.2">
      <c r="B189" s="12" t="s">
        <v>343</v>
      </c>
      <c r="C189" s="8">
        <v>40542</v>
      </c>
      <c r="D189" s="9" t="s">
        <v>322</v>
      </c>
      <c r="E189" s="204" t="s">
        <v>345</v>
      </c>
      <c r="F189" s="195"/>
      <c r="G189" s="9" t="s">
        <v>2</v>
      </c>
      <c r="H189" s="196" t="s">
        <v>346</v>
      </c>
      <c r="I189" s="14">
        <v>4.53E-2</v>
      </c>
      <c r="J189" s="207" t="s">
        <v>43</v>
      </c>
      <c r="K189" s="220" t="s">
        <v>85</v>
      </c>
      <c r="L189" s="199"/>
      <c r="M189" s="197"/>
      <c r="N189" s="201">
        <v>150000</v>
      </c>
    </row>
    <row r="190" spans="2:15" x14ac:dyDescent="0.2">
      <c r="B190" s="16"/>
      <c r="C190" s="1"/>
      <c r="D190" s="2"/>
      <c r="E190" s="214"/>
      <c r="F190" s="59"/>
      <c r="G190" s="9"/>
      <c r="H190" s="160"/>
      <c r="I190" s="215"/>
      <c r="J190" s="216"/>
      <c r="K190" s="217"/>
      <c r="L190" s="117"/>
      <c r="M190" s="62"/>
      <c r="N190" s="64"/>
    </row>
    <row r="191" spans="2:15" ht="13.5" thickBot="1" x14ac:dyDescent="0.25">
      <c r="B191" s="71"/>
      <c r="C191" s="162"/>
      <c r="D191" s="71"/>
      <c r="E191" s="163"/>
      <c r="F191" s="72"/>
      <c r="G191" s="71"/>
      <c r="H191" s="72"/>
      <c r="I191" s="155"/>
      <c r="J191" s="156"/>
      <c r="K191" s="155"/>
      <c r="L191" s="123"/>
      <c r="M191" s="157"/>
      <c r="N191" s="78"/>
    </row>
    <row r="192" spans="2:15" s="311" customFormat="1" ht="16.5" thickTop="1" x14ac:dyDescent="0.2">
      <c r="B192" s="322"/>
      <c r="C192" s="323"/>
      <c r="D192" s="313"/>
      <c r="E192" s="313"/>
      <c r="F192" s="324"/>
      <c r="G192" s="324"/>
      <c r="H192" s="325"/>
      <c r="I192" s="322"/>
      <c r="J192" s="313"/>
      <c r="K192" s="326"/>
      <c r="L192" s="47"/>
      <c r="M192" s="47"/>
      <c r="N192" s="48"/>
      <c r="O192" s="312"/>
    </row>
    <row r="193" spans="2:15" ht="15.75" x14ac:dyDescent="0.2">
      <c r="B193" s="102">
        <v>2011</v>
      </c>
      <c r="C193" s="103"/>
      <c r="D193" s="51"/>
      <c r="E193" s="104"/>
      <c r="F193" s="321"/>
      <c r="G193" s="104"/>
      <c r="H193" s="104"/>
      <c r="I193" s="104"/>
      <c r="J193" s="104"/>
      <c r="K193" s="104"/>
      <c r="L193" s="105">
        <f>+L194+L198</f>
        <v>0</v>
      </c>
      <c r="M193" s="105"/>
      <c r="N193" s="106">
        <f>+N194+N198</f>
        <v>2771462</v>
      </c>
    </row>
    <row r="194" spans="2:15" x14ac:dyDescent="0.2">
      <c r="B194" s="170" t="s">
        <v>110</v>
      </c>
      <c r="C194" s="8"/>
      <c r="D194" s="9"/>
      <c r="E194" s="194"/>
      <c r="F194" s="195"/>
      <c r="G194" s="9"/>
      <c r="H194" s="196"/>
      <c r="I194" s="14"/>
      <c r="J194" s="207"/>
      <c r="K194" s="208"/>
      <c r="L194" s="199"/>
      <c r="M194" s="197"/>
      <c r="N194" s="142">
        <f>SUM(N195:N196)</f>
        <v>2660462</v>
      </c>
    </row>
    <row r="195" spans="2:15" x14ac:dyDescent="0.2">
      <c r="B195" s="13" t="s">
        <v>351</v>
      </c>
      <c r="C195" s="8">
        <v>40591</v>
      </c>
      <c r="D195" s="9" t="s">
        <v>352</v>
      </c>
      <c r="E195" s="13" t="s">
        <v>353</v>
      </c>
      <c r="F195" s="13"/>
      <c r="G195" s="9" t="s">
        <v>2</v>
      </c>
      <c r="H195" s="9" t="s">
        <v>2</v>
      </c>
      <c r="I195" s="143" t="s">
        <v>191</v>
      </c>
      <c r="J195" s="159" t="s">
        <v>283</v>
      </c>
      <c r="K195" s="221" t="s">
        <v>359</v>
      </c>
      <c r="L195" s="199"/>
      <c r="M195" s="197"/>
      <c r="N195" s="201">
        <v>2565000</v>
      </c>
    </row>
    <row r="196" spans="2:15" ht="25.5" x14ac:dyDescent="0.2">
      <c r="B196" s="13" t="s">
        <v>354</v>
      </c>
      <c r="C196" s="8">
        <v>40654</v>
      </c>
      <c r="D196" s="9" t="s">
        <v>352</v>
      </c>
      <c r="E196" s="222" t="s">
        <v>339</v>
      </c>
      <c r="F196" s="13"/>
      <c r="G196" s="9" t="s">
        <v>10</v>
      </c>
      <c r="H196" s="9" t="s">
        <v>10</v>
      </c>
      <c r="I196" s="159" t="s">
        <v>283</v>
      </c>
      <c r="J196" s="159" t="s">
        <v>283</v>
      </c>
      <c r="K196" s="207" t="s">
        <v>283</v>
      </c>
      <c r="L196" s="199"/>
      <c r="M196" s="197"/>
      <c r="N196" s="201">
        <v>95462</v>
      </c>
    </row>
    <row r="197" spans="2:15" x14ac:dyDescent="0.2">
      <c r="B197" s="13"/>
      <c r="C197" s="8"/>
      <c r="D197" s="9"/>
      <c r="E197" s="13"/>
      <c r="F197" s="13"/>
      <c r="G197" s="9"/>
      <c r="H197" s="9"/>
      <c r="I197" s="14"/>
      <c r="J197" s="207"/>
      <c r="K197" s="223"/>
      <c r="L197" s="199"/>
      <c r="M197" s="197"/>
      <c r="N197" s="201"/>
    </row>
    <row r="198" spans="2:15" x14ac:dyDescent="0.2">
      <c r="B198" s="141" t="s">
        <v>109</v>
      </c>
      <c r="C198" s="8"/>
      <c r="D198" s="9"/>
      <c r="E198" s="13"/>
      <c r="F198" s="13"/>
      <c r="G198" s="9"/>
      <c r="H198" s="9"/>
      <c r="I198" s="14"/>
      <c r="J198" s="207"/>
      <c r="K198" s="223"/>
      <c r="L198" s="199"/>
      <c r="M198" s="197"/>
      <c r="N198" s="142">
        <f>SUM(N199:N200)</f>
        <v>111000</v>
      </c>
    </row>
    <row r="199" spans="2:15" ht="25.5" x14ac:dyDescent="0.2">
      <c r="B199" s="13" t="s">
        <v>355</v>
      </c>
      <c r="C199" s="8">
        <v>40731</v>
      </c>
      <c r="D199" s="9" t="s">
        <v>322</v>
      </c>
      <c r="E199" s="222" t="s">
        <v>356</v>
      </c>
      <c r="F199" s="13"/>
      <c r="G199" s="9" t="s">
        <v>2</v>
      </c>
      <c r="H199" s="9" t="s">
        <v>298</v>
      </c>
      <c r="I199" s="224" t="s">
        <v>360</v>
      </c>
      <c r="J199" s="207" t="s">
        <v>43</v>
      </c>
      <c r="K199" s="207" t="s">
        <v>44</v>
      </c>
      <c r="L199" s="199"/>
      <c r="M199" s="197"/>
      <c r="N199" s="201">
        <v>26000</v>
      </c>
    </row>
    <row r="200" spans="2:15" x14ac:dyDescent="0.2">
      <c r="B200" s="13" t="s">
        <v>357</v>
      </c>
      <c r="C200" s="8">
        <v>41271</v>
      </c>
      <c r="D200" s="9" t="s">
        <v>322</v>
      </c>
      <c r="E200" s="225" t="s">
        <v>358</v>
      </c>
      <c r="F200" s="13"/>
      <c r="G200" s="9" t="s">
        <v>2</v>
      </c>
      <c r="H200" s="9" t="s">
        <v>346</v>
      </c>
      <c r="I200" s="226" t="s">
        <v>361</v>
      </c>
      <c r="J200" s="207" t="s">
        <v>25</v>
      </c>
      <c r="K200" s="227" t="s">
        <v>362</v>
      </c>
      <c r="L200" s="199"/>
      <c r="M200" s="197"/>
      <c r="N200" s="201">
        <v>85000</v>
      </c>
    </row>
    <row r="201" spans="2:15" ht="13.5" thickBot="1" x14ac:dyDescent="0.25">
      <c r="B201" s="24"/>
      <c r="C201" s="3"/>
      <c r="D201" s="4"/>
      <c r="E201" s="24"/>
      <c r="F201" s="71"/>
      <c r="G201" s="11"/>
      <c r="H201" s="86"/>
      <c r="I201" s="211"/>
      <c r="J201" s="212"/>
      <c r="K201" s="228"/>
      <c r="L201" s="123"/>
      <c r="M201" s="76"/>
      <c r="N201" s="78"/>
    </row>
    <row r="202" spans="2:15" s="311" customFormat="1" ht="16.5" thickTop="1" x14ac:dyDescent="0.2">
      <c r="B202" s="322"/>
      <c r="C202" s="323"/>
      <c r="D202" s="313"/>
      <c r="E202" s="313"/>
      <c r="F202" s="324"/>
      <c r="G202" s="324"/>
      <c r="H202" s="325"/>
      <c r="I202" s="322"/>
      <c r="J202" s="313"/>
      <c r="K202" s="326"/>
      <c r="L202" s="47"/>
      <c r="M202" s="47"/>
      <c r="N202" s="48"/>
      <c r="O202" s="312"/>
    </row>
    <row r="203" spans="2:15" ht="15.75" x14ac:dyDescent="0.2">
      <c r="B203" s="102">
        <v>2012</v>
      </c>
      <c r="C203" s="103"/>
      <c r="D203" s="51"/>
      <c r="E203" s="104"/>
      <c r="F203" s="321"/>
      <c r="G203" s="104"/>
      <c r="H203" s="104"/>
      <c r="I203" s="104"/>
      <c r="J203" s="104"/>
      <c r="K203" s="104"/>
      <c r="L203" s="105">
        <f>+L205+L206</f>
        <v>0</v>
      </c>
      <c r="M203" s="105"/>
      <c r="N203" s="106">
        <f>+N204+N208</f>
        <v>4068730.0521499999</v>
      </c>
    </row>
    <row r="204" spans="2:15" x14ac:dyDescent="0.2">
      <c r="B204" s="141" t="s">
        <v>110</v>
      </c>
      <c r="C204" s="230"/>
      <c r="D204" s="9"/>
      <c r="E204" s="13"/>
      <c r="F204" s="13"/>
      <c r="G204" s="9"/>
      <c r="H204" s="9"/>
      <c r="I204" s="14"/>
      <c r="J204" s="207"/>
      <c r="K204" s="223"/>
      <c r="L204" s="117"/>
      <c r="M204" s="62"/>
      <c r="N204" s="142">
        <f>+N205+N206</f>
        <v>2455755</v>
      </c>
    </row>
    <row r="205" spans="2:15" x14ac:dyDescent="0.2">
      <c r="B205" s="13" t="s">
        <v>366</v>
      </c>
      <c r="C205" s="230">
        <v>40932</v>
      </c>
      <c r="D205" s="9" t="s">
        <v>352</v>
      </c>
      <c r="E205" s="231" t="s">
        <v>365</v>
      </c>
      <c r="F205" s="13"/>
      <c r="G205" s="9" t="s">
        <v>2</v>
      </c>
      <c r="H205" s="9" t="s">
        <v>2</v>
      </c>
      <c r="I205" s="143" t="s">
        <v>191</v>
      </c>
      <c r="J205" s="207" t="s">
        <v>11</v>
      </c>
      <c r="K205" s="143" t="s">
        <v>387</v>
      </c>
      <c r="L205" s="117"/>
      <c r="M205" s="62"/>
      <c r="N205" s="64">
        <v>2354175</v>
      </c>
    </row>
    <row r="206" spans="2:15" ht="25.5" x14ac:dyDescent="0.2">
      <c r="B206" s="232" t="s">
        <v>363</v>
      </c>
      <c r="C206" s="230">
        <v>41034</v>
      </c>
      <c r="D206" s="9" t="s">
        <v>352</v>
      </c>
      <c r="E206" s="219" t="s">
        <v>364</v>
      </c>
      <c r="F206" s="13"/>
      <c r="G206" s="9" t="s">
        <v>10</v>
      </c>
      <c r="H206" s="9" t="s">
        <v>10</v>
      </c>
      <c r="I206" s="159" t="s">
        <v>283</v>
      </c>
      <c r="J206" s="159" t="s">
        <v>283</v>
      </c>
      <c r="K206" s="207" t="s">
        <v>283</v>
      </c>
      <c r="L206" s="117"/>
      <c r="M206" s="62"/>
      <c r="N206" s="64">
        <v>101580</v>
      </c>
    </row>
    <row r="207" spans="2:15" x14ac:dyDescent="0.2">
      <c r="B207" s="13"/>
      <c r="C207" s="230"/>
      <c r="D207" s="9"/>
      <c r="E207" s="13"/>
      <c r="F207" s="13"/>
      <c r="G207" s="9"/>
      <c r="H207" s="9"/>
      <c r="I207" s="14"/>
      <c r="J207" s="207"/>
      <c r="K207" s="223"/>
      <c r="L207" s="117"/>
      <c r="M207" s="62"/>
      <c r="N207" s="142"/>
    </row>
    <row r="208" spans="2:15" x14ac:dyDescent="0.2">
      <c r="B208" s="141" t="s">
        <v>109</v>
      </c>
      <c r="C208" s="8"/>
      <c r="D208" s="233"/>
      <c r="E208" s="13"/>
      <c r="F208" s="13"/>
      <c r="G208" s="9"/>
      <c r="H208" s="9"/>
      <c r="I208" s="234"/>
      <c r="J208" s="207"/>
      <c r="K208" s="223"/>
      <c r="L208" s="117"/>
      <c r="M208" s="62"/>
      <c r="N208" s="142">
        <f>SUM(N209:N213)</f>
        <v>1612975.0521499999</v>
      </c>
    </row>
    <row r="209" spans="2:15" ht="25.5" x14ac:dyDescent="0.2">
      <c r="B209" s="13" t="s">
        <v>391</v>
      </c>
      <c r="C209" s="8">
        <v>41207</v>
      </c>
      <c r="D209" s="235" t="s">
        <v>367</v>
      </c>
      <c r="E209" s="225" t="s">
        <v>368</v>
      </c>
      <c r="F209" s="13"/>
      <c r="G209" s="9" t="s">
        <v>2</v>
      </c>
      <c r="H209" s="15" t="s">
        <v>369</v>
      </c>
      <c r="I209" s="236" t="s">
        <v>370</v>
      </c>
      <c r="J209" s="207" t="s">
        <v>371</v>
      </c>
      <c r="K209" s="237" t="s">
        <v>386</v>
      </c>
      <c r="L209" s="117"/>
      <c r="M209" s="62"/>
      <c r="N209" s="64">
        <f>606750133/1000</f>
        <v>606750.13300000003</v>
      </c>
    </row>
    <row r="210" spans="2:15" ht="25.5" x14ac:dyDescent="0.2">
      <c r="B210" s="13" t="s">
        <v>372</v>
      </c>
      <c r="C210" s="8">
        <v>41263</v>
      </c>
      <c r="D210" s="196" t="s">
        <v>367</v>
      </c>
      <c r="E210" s="225" t="s">
        <v>373</v>
      </c>
      <c r="F210" s="13"/>
      <c r="G210" s="9" t="s">
        <v>2</v>
      </c>
      <c r="H210" s="15" t="s">
        <v>369</v>
      </c>
      <c r="I210" s="238" t="s">
        <v>374</v>
      </c>
      <c r="J210" s="239" t="s">
        <v>375</v>
      </c>
      <c r="K210" s="237" t="s">
        <v>389</v>
      </c>
      <c r="L210" s="117"/>
      <c r="M210" s="62"/>
      <c r="N210" s="64">
        <f>768249867/1000</f>
        <v>768249.86699999997</v>
      </c>
    </row>
    <row r="211" spans="2:15" ht="25.5" x14ac:dyDescent="0.2">
      <c r="B211" s="13" t="s">
        <v>376</v>
      </c>
      <c r="C211" s="8">
        <v>41263</v>
      </c>
      <c r="D211" s="196" t="s">
        <v>367</v>
      </c>
      <c r="E211" s="225" t="s">
        <v>379</v>
      </c>
      <c r="F211" s="13"/>
      <c r="G211" s="9" t="s">
        <v>2</v>
      </c>
      <c r="H211" s="196" t="s">
        <v>382</v>
      </c>
      <c r="I211" s="234" t="s">
        <v>374</v>
      </c>
      <c r="J211" s="207" t="s">
        <v>25</v>
      </c>
      <c r="K211" s="202" t="s">
        <v>385</v>
      </c>
      <c r="L211" s="117"/>
      <c r="M211" s="62"/>
      <c r="N211" s="64">
        <f>9433961/1000</f>
        <v>9433.9609999999993</v>
      </c>
    </row>
    <row r="212" spans="2:15" ht="25.5" x14ac:dyDescent="0.2">
      <c r="B212" s="240" t="s">
        <v>377</v>
      </c>
      <c r="C212" s="241">
        <v>41265</v>
      </c>
      <c r="D212" s="196" t="s">
        <v>367</v>
      </c>
      <c r="E212" s="225" t="s">
        <v>380</v>
      </c>
      <c r="F212" s="13"/>
      <c r="G212" s="9" t="s">
        <v>2</v>
      </c>
      <c r="H212" s="242" t="s">
        <v>383</v>
      </c>
      <c r="I212" s="243" t="s">
        <v>374</v>
      </c>
      <c r="J212" s="239" t="s">
        <v>85</v>
      </c>
      <c r="K212" s="244" t="s">
        <v>390</v>
      </c>
      <c r="L212" s="117"/>
      <c r="M212" s="62"/>
      <c r="N212" s="64">
        <f>149385079.15/1000</f>
        <v>149385.07915000001</v>
      </c>
    </row>
    <row r="213" spans="2:15" ht="38.25" x14ac:dyDescent="0.2">
      <c r="B213" s="240" t="s">
        <v>378</v>
      </c>
      <c r="C213" s="241">
        <v>41265</v>
      </c>
      <c r="D213" s="196" t="s">
        <v>367</v>
      </c>
      <c r="E213" s="225" t="s">
        <v>381</v>
      </c>
      <c r="F213" s="13"/>
      <c r="G213" s="9" t="s">
        <v>2</v>
      </c>
      <c r="H213" s="245" t="s">
        <v>384</v>
      </c>
      <c r="I213" s="243" t="s">
        <v>374</v>
      </c>
      <c r="J213" s="239" t="s">
        <v>85</v>
      </c>
      <c r="K213" s="244" t="s">
        <v>390</v>
      </c>
      <c r="L213" s="117"/>
      <c r="M213" s="62"/>
      <c r="N213" s="64">
        <f>79156012/1000</f>
        <v>79156.012000000002</v>
      </c>
    </row>
    <row r="214" spans="2:15" ht="13.5" thickBot="1" x14ac:dyDescent="0.25">
      <c r="B214" s="246"/>
      <c r="C214" s="247"/>
      <c r="D214" s="248"/>
      <c r="E214" s="249"/>
      <c r="F214" s="71"/>
      <c r="G214" s="11"/>
      <c r="H214" s="250"/>
      <c r="I214" s="251"/>
      <c r="J214" s="252"/>
      <c r="K214" s="253"/>
      <c r="L214" s="123"/>
      <c r="M214" s="76"/>
      <c r="N214" s="78"/>
    </row>
    <row r="215" spans="2:15" s="311" customFormat="1" ht="16.5" thickTop="1" x14ac:dyDescent="0.2">
      <c r="B215" s="322"/>
      <c r="C215" s="323"/>
      <c r="D215" s="313"/>
      <c r="E215" s="313"/>
      <c r="F215" s="324"/>
      <c r="G215" s="324"/>
      <c r="H215" s="325"/>
      <c r="I215" s="322"/>
      <c r="J215" s="313"/>
      <c r="K215" s="326"/>
      <c r="L215" s="47"/>
      <c r="M215" s="47"/>
      <c r="N215" s="48"/>
      <c r="O215" s="312"/>
    </row>
    <row r="216" spans="2:15" ht="15.75" x14ac:dyDescent="0.2">
      <c r="B216" s="102">
        <v>2013</v>
      </c>
      <c r="C216" s="103"/>
      <c r="D216" s="51"/>
      <c r="E216" s="104"/>
      <c r="F216" s="321"/>
      <c r="G216" s="104"/>
      <c r="H216" s="104"/>
      <c r="I216" s="104"/>
      <c r="J216" s="104"/>
      <c r="K216" s="104"/>
      <c r="L216" s="105"/>
      <c r="M216" s="105"/>
      <c r="N216" s="106">
        <f>+N217+N222</f>
        <v>3595030.6518099997</v>
      </c>
    </row>
    <row r="217" spans="2:15" x14ac:dyDescent="0.2">
      <c r="B217" s="141" t="s">
        <v>110</v>
      </c>
      <c r="C217" s="241"/>
      <c r="D217" s="9"/>
      <c r="E217" s="231"/>
      <c r="F217" s="13"/>
      <c r="G217" s="9"/>
      <c r="H217" s="254"/>
      <c r="I217" s="255"/>
      <c r="J217" s="239"/>
      <c r="K217" s="256"/>
      <c r="L217" s="199"/>
      <c r="M217" s="197"/>
      <c r="N217" s="142">
        <f>SUM(N218:N220)</f>
        <v>1946990</v>
      </c>
    </row>
    <row r="218" spans="2:15" x14ac:dyDescent="0.2">
      <c r="B218" s="13" t="s">
        <v>510</v>
      </c>
      <c r="C218" s="8">
        <v>41248</v>
      </c>
      <c r="D218" s="9" t="s">
        <v>352</v>
      </c>
      <c r="E218" s="231" t="s">
        <v>365</v>
      </c>
      <c r="F218" s="13"/>
      <c r="G218" s="9" t="s">
        <v>2</v>
      </c>
      <c r="H218" s="9" t="s">
        <v>2</v>
      </c>
      <c r="I218" s="143" t="s">
        <v>191</v>
      </c>
      <c r="J218" s="207" t="s">
        <v>11</v>
      </c>
      <c r="K218" s="256" t="s">
        <v>409</v>
      </c>
      <c r="L218" s="199"/>
      <c r="M218" s="197"/>
      <c r="N218" s="201">
        <f>1335000000/1000</f>
        <v>1335000</v>
      </c>
    </row>
    <row r="219" spans="2:15" ht="25.5" x14ac:dyDescent="0.2">
      <c r="B219" s="13" t="s">
        <v>392</v>
      </c>
      <c r="C219" s="8">
        <v>41391</v>
      </c>
      <c r="D219" s="9" t="s">
        <v>352</v>
      </c>
      <c r="E219" s="219" t="s">
        <v>393</v>
      </c>
      <c r="F219" s="13"/>
      <c r="G219" s="9" t="s">
        <v>10</v>
      </c>
      <c r="H219" s="254" t="s">
        <v>10</v>
      </c>
      <c r="I219" s="255" t="s">
        <v>283</v>
      </c>
      <c r="J219" s="239" t="s">
        <v>283</v>
      </c>
      <c r="K219" s="256" t="s">
        <v>283</v>
      </c>
      <c r="L219" s="199"/>
      <c r="M219" s="197"/>
      <c r="N219" s="201">
        <f>111990000/1000</f>
        <v>111990</v>
      </c>
    </row>
    <row r="220" spans="2:15" ht="25.5" x14ac:dyDescent="0.2">
      <c r="B220" s="257" t="s">
        <v>394</v>
      </c>
      <c r="C220" s="8">
        <v>41530</v>
      </c>
      <c r="D220" s="9" t="s">
        <v>352</v>
      </c>
      <c r="E220" s="258" t="s">
        <v>395</v>
      </c>
      <c r="F220" s="13"/>
      <c r="G220" s="9" t="s">
        <v>2</v>
      </c>
      <c r="H220" s="254" t="s">
        <v>2</v>
      </c>
      <c r="I220" s="143" t="s">
        <v>191</v>
      </c>
      <c r="J220" s="239" t="s">
        <v>283</v>
      </c>
      <c r="K220" s="256" t="s">
        <v>409</v>
      </c>
      <c r="L220" s="199"/>
      <c r="M220" s="197"/>
      <c r="N220" s="201">
        <v>500000</v>
      </c>
    </row>
    <row r="221" spans="2:15" x14ac:dyDescent="0.2">
      <c r="B221" s="240"/>
      <c r="C221" s="241"/>
      <c r="D221" s="9"/>
      <c r="E221" s="231"/>
      <c r="F221" s="13"/>
      <c r="G221" s="9"/>
      <c r="H221" s="254"/>
      <c r="I221" s="255"/>
      <c r="J221" s="239"/>
      <c r="K221" s="256"/>
      <c r="L221" s="199"/>
      <c r="M221" s="197"/>
      <c r="N221" s="201"/>
    </row>
    <row r="222" spans="2:15" x14ac:dyDescent="0.2">
      <c r="B222" s="141" t="s">
        <v>109</v>
      </c>
      <c r="C222" s="241"/>
      <c r="D222" s="9"/>
      <c r="E222" s="231"/>
      <c r="F222" s="13"/>
      <c r="G222" s="9"/>
      <c r="H222" s="254"/>
      <c r="I222" s="255"/>
      <c r="J222" s="239"/>
      <c r="K222" s="256"/>
      <c r="L222" s="199"/>
      <c r="M222" s="197"/>
      <c r="N222" s="142">
        <f>SUM(N223:N226)</f>
        <v>1648040.65181</v>
      </c>
    </row>
    <row r="223" spans="2:15" ht="38.25" x14ac:dyDescent="0.2">
      <c r="B223" s="257" t="s">
        <v>396</v>
      </c>
      <c r="C223" s="8">
        <v>41537</v>
      </c>
      <c r="D223" s="9" t="s">
        <v>400</v>
      </c>
      <c r="E223" s="258" t="s">
        <v>401</v>
      </c>
      <c r="F223" s="13"/>
      <c r="G223" s="9" t="s">
        <v>400</v>
      </c>
      <c r="H223" s="259" t="s">
        <v>405</v>
      </c>
      <c r="I223" s="207" t="s">
        <v>406</v>
      </c>
      <c r="J223" s="239" t="s">
        <v>85</v>
      </c>
      <c r="K223" s="227" t="s">
        <v>412</v>
      </c>
      <c r="L223" s="199"/>
      <c r="M223" s="197"/>
      <c r="N223" s="201">
        <f>47380341.6/1000</f>
        <v>47380.3416</v>
      </c>
    </row>
    <row r="224" spans="2:15" x14ac:dyDescent="0.2">
      <c r="B224" s="257" t="s">
        <v>397</v>
      </c>
      <c r="C224" s="8">
        <v>41571</v>
      </c>
      <c r="D224" s="9" t="s">
        <v>400</v>
      </c>
      <c r="E224" s="206" t="s">
        <v>402</v>
      </c>
      <c r="F224" s="13"/>
      <c r="G224" s="9" t="s">
        <v>400</v>
      </c>
      <c r="H224" s="9" t="s">
        <v>369</v>
      </c>
      <c r="I224" s="207" t="s">
        <v>407</v>
      </c>
      <c r="J224" s="239" t="s">
        <v>375</v>
      </c>
      <c r="K224" s="221" t="s">
        <v>413</v>
      </c>
      <c r="L224" s="199"/>
      <c r="M224" s="197"/>
      <c r="N224" s="201">
        <f>1399469644/1000</f>
        <v>1399469.6440000001</v>
      </c>
    </row>
    <row r="225" spans="2:15" x14ac:dyDescent="0.2">
      <c r="B225" s="257" t="s">
        <v>398</v>
      </c>
      <c r="C225" s="8">
        <v>41635</v>
      </c>
      <c r="D225" s="9" t="s">
        <v>400</v>
      </c>
      <c r="E225" s="206" t="s">
        <v>403</v>
      </c>
      <c r="F225" s="13"/>
      <c r="G225" s="9" t="s">
        <v>400</v>
      </c>
      <c r="H225" s="9" t="s">
        <v>369</v>
      </c>
      <c r="I225" s="205">
        <v>4.5600000000000002E-2</v>
      </c>
      <c r="J225" s="239" t="s">
        <v>375</v>
      </c>
      <c r="K225" s="221" t="s">
        <v>413</v>
      </c>
      <c r="L225" s="199"/>
      <c r="M225" s="197"/>
      <c r="N225" s="201">
        <f>103224172.26/1000</f>
        <v>103224.17226000001</v>
      </c>
    </row>
    <row r="226" spans="2:15" ht="26.25" thickBot="1" x14ac:dyDescent="0.25">
      <c r="B226" s="260" t="s">
        <v>399</v>
      </c>
      <c r="C226" s="10">
        <v>41635</v>
      </c>
      <c r="D226" s="11" t="s">
        <v>400</v>
      </c>
      <c r="E226" s="261" t="s">
        <v>404</v>
      </c>
      <c r="F226" s="262"/>
      <c r="G226" s="11" t="s">
        <v>400</v>
      </c>
      <c r="H226" s="11" t="s">
        <v>369</v>
      </c>
      <c r="I226" s="263">
        <v>4.5600000000000002E-2</v>
      </c>
      <c r="J226" s="264" t="s">
        <v>375</v>
      </c>
      <c r="K226" s="265" t="s">
        <v>413</v>
      </c>
      <c r="L226" s="266"/>
      <c r="M226" s="267"/>
      <c r="N226" s="268">
        <f>97966493.95/1000</f>
        <v>97966.493950000004</v>
      </c>
    </row>
    <row r="227" spans="2:15" s="311" customFormat="1" ht="16.5" thickTop="1" x14ac:dyDescent="0.2">
      <c r="B227" s="322"/>
      <c r="C227" s="323"/>
      <c r="D227" s="313"/>
      <c r="E227" s="313"/>
      <c r="F227" s="324"/>
      <c r="G227" s="324"/>
      <c r="H227" s="325"/>
      <c r="I227" s="322"/>
      <c r="J227" s="313"/>
      <c r="K227" s="326"/>
      <c r="L227" s="47"/>
      <c r="M227" s="47"/>
      <c r="N227" s="48"/>
      <c r="O227" s="312"/>
    </row>
    <row r="228" spans="2:15" ht="15.75" x14ac:dyDescent="0.2">
      <c r="B228" s="102">
        <v>2014</v>
      </c>
      <c r="C228" s="103"/>
      <c r="D228" s="51"/>
      <c r="E228" s="104"/>
      <c r="F228" s="321"/>
      <c r="G228" s="104"/>
      <c r="H228" s="104"/>
      <c r="I228" s="104"/>
      <c r="J228" s="104"/>
      <c r="K228" s="104"/>
      <c r="L228" s="105"/>
      <c r="M228" s="105"/>
      <c r="N228" s="106">
        <f>+N229+N237</f>
        <v>5900541.3279999997</v>
      </c>
    </row>
    <row r="229" spans="2:15" x14ac:dyDescent="0.2">
      <c r="B229" s="170" t="s">
        <v>110</v>
      </c>
      <c r="C229" s="8"/>
      <c r="D229" s="9"/>
      <c r="E229" s="206"/>
      <c r="F229" s="13"/>
      <c r="G229" s="9"/>
      <c r="H229" s="9"/>
      <c r="I229" s="205"/>
      <c r="J229" s="239"/>
      <c r="K229" s="221"/>
      <c r="L229" s="199"/>
      <c r="M229" s="197"/>
      <c r="N229" s="142">
        <f>SUM(N230:N234)</f>
        <v>3837276</v>
      </c>
    </row>
    <row r="230" spans="2:15" x14ac:dyDescent="0.2">
      <c r="B230" s="12" t="s">
        <v>441</v>
      </c>
      <c r="C230" s="8">
        <v>41610</v>
      </c>
      <c r="D230" s="9" t="s">
        <v>352</v>
      </c>
      <c r="E230" s="231" t="s">
        <v>414</v>
      </c>
      <c r="F230" s="13"/>
      <c r="G230" s="9" t="s">
        <v>2</v>
      </c>
      <c r="H230" s="9" t="s">
        <v>2</v>
      </c>
      <c r="I230" s="143" t="s">
        <v>191</v>
      </c>
      <c r="J230" s="239"/>
      <c r="K230" s="256" t="s">
        <v>409</v>
      </c>
      <c r="L230" s="199"/>
      <c r="M230" s="197"/>
      <c r="N230" s="201">
        <f>1650000000/1000</f>
        <v>1650000</v>
      </c>
    </row>
    <row r="231" spans="2:15" ht="25.5" x14ac:dyDescent="0.2">
      <c r="B231" s="12" t="s">
        <v>443</v>
      </c>
      <c r="C231" s="8">
        <v>41767</v>
      </c>
      <c r="D231" s="9" t="s">
        <v>352</v>
      </c>
      <c r="E231" s="219" t="s">
        <v>440</v>
      </c>
      <c r="F231" s="13"/>
      <c r="G231" s="9" t="s">
        <v>10</v>
      </c>
      <c r="H231" s="254" t="s">
        <v>10</v>
      </c>
      <c r="I231" s="255" t="s">
        <v>283</v>
      </c>
      <c r="J231" s="239" t="s">
        <v>283</v>
      </c>
      <c r="K231" s="256" t="s">
        <v>283</v>
      </c>
      <c r="L231" s="199"/>
      <c r="M231" s="197"/>
      <c r="N231" s="201">
        <f>130450000/1000</f>
        <v>130450</v>
      </c>
    </row>
    <row r="232" spans="2:15" x14ac:dyDescent="0.2">
      <c r="B232" s="12" t="s">
        <v>442</v>
      </c>
      <c r="C232" s="8">
        <v>41610</v>
      </c>
      <c r="D232" s="9" t="s">
        <v>352</v>
      </c>
      <c r="E232" s="231" t="s">
        <v>423</v>
      </c>
      <c r="F232" s="13"/>
      <c r="G232" s="196" t="s">
        <v>2</v>
      </c>
      <c r="H232" s="9" t="s">
        <v>430</v>
      </c>
      <c r="I232" s="143" t="s">
        <v>191</v>
      </c>
      <c r="J232" s="223" t="s">
        <v>11</v>
      </c>
      <c r="K232" s="256" t="s">
        <v>409</v>
      </c>
      <c r="L232" s="199"/>
      <c r="M232" s="197"/>
      <c r="N232" s="201">
        <f>1000000000/1000</f>
        <v>1000000</v>
      </c>
    </row>
    <row r="233" spans="2:15" x14ac:dyDescent="0.2">
      <c r="B233" s="12" t="s">
        <v>415</v>
      </c>
      <c r="C233" s="8">
        <v>41767</v>
      </c>
      <c r="D233" s="9" t="s">
        <v>352</v>
      </c>
      <c r="E233" s="231" t="s">
        <v>424</v>
      </c>
      <c r="F233" s="13"/>
      <c r="G233" s="9" t="s">
        <v>2</v>
      </c>
      <c r="H233" s="9" t="s">
        <v>431</v>
      </c>
      <c r="I233" s="143" t="s">
        <v>191</v>
      </c>
      <c r="J233" s="223" t="s">
        <v>11</v>
      </c>
      <c r="K233" s="256" t="s">
        <v>409</v>
      </c>
      <c r="L233" s="199"/>
      <c r="M233" s="197"/>
      <c r="N233" s="201">
        <f>700000000/1000</f>
        <v>700000</v>
      </c>
    </row>
    <row r="234" spans="2:15" ht="38.25" x14ac:dyDescent="0.2">
      <c r="B234" s="203" t="s">
        <v>417</v>
      </c>
      <c r="C234" s="8">
        <v>41965</v>
      </c>
      <c r="D234" s="9" t="s">
        <v>352</v>
      </c>
      <c r="E234" s="231" t="s">
        <v>547</v>
      </c>
      <c r="F234" s="13"/>
      <c r="G234" s="9" t="s">
        <v>2</v>
      </c>
      <c r="H234" s="9" t="s">
        <v>447</v>
      </c>
      <c r="I234" s="143" t="s">
        <v>191</v>
      </c>
      <c r="J234" s="223" t="s">
        <v>11</v>
      </c>
      <c r="K234" s="256" t="s">
        <v>409</v>
      </c>
      <c r="L234" s="199"/>
      <c r="M234" s="197"/>
      <c r="N234" s="201">
        <f>356826000/1000</f>
        <v>356826</v>
      </c>
    </row>
    <row r="235" spans="2:15" x14ac:dyDescent="0.2">
      <c r="B235" s="12"/>
      <c r="C235" s="8"/>
      <c r="D235" s="9"/>
      <c r="E235" s="219"/>
      <c r="F235" s="13"/>
      <c r="G235" s="9"/>
      <c r="H235" s="254"/>
      <c r="I235" s="255"/>
      <c r="J235" s="239"/>
      <c r="K235" s="256"/>
      <c r="L235" s="199"/>
      <c r="M235" s="197"/>
      <c r="N235" s="201"/>
    </row>
    <row r="236" spans="2:15" x14ac:dyDescent="0.2">
      <c r="B236" s="12"/>
      <c r="C236" s="13"/>
      <c r="D236" s="9"/>
      <c r="E236" s="219"/>
      <c r="F236" s="13"/>
      <c r="G236" s="9"/>
      <c r="H236" s="254"/>
      <c r="I236" s="255"/>
      <c r="J236" s="239"/>
      <c r="K236" s="256"/>
      <c r="L236" s="199"/>
      <c r="M236" s="197"/>
      <c r="N236" s="201"/>
    </row>
    <row r="237" spans="2:15" x14ac:dyDescent="0.2">
      <c r="B237" s="170" t="s">
        <v>109</v>
      </c>
      <c r="C237" s="8"/>
      <c r="D237" s="9"/>
      <c r="E237" s="206"/>
      <c r="F237" s="13"/>
      <c r="G237" s="9"/>
      <c r="H237" s="9"/>
      <c r="I237" s="205"/>
      <c r="J237" s="239"/>
      <c r="K237" s="221"/>
      <c r="L237" s="199"/>
      <c r="M237" s="197"/>
      <c r="N237" s="142">
        <f>SUM(N238:N243)</f>
        <v>2063265.328</v>
      </c>
    </row>
    <row r="238" spans="2:15" x14ac:dyDescent="0.2">
      <c r="B238" s="12" t="s">
        <v>416</v>
      </c>
      <c r="C238" s="8">
        <v>41790</v>
      </c>
      <c r="D238" s="9" t="s">
        <v>367</v>
      </c>
      <c r="E238" s="231" t="s">
        <v>548</v>
      </c>
      <c r="F238" s="13"/>
      <c r="G238" s="271" t="s">
        <v>432</v>
      </c>
      <c r="H238" s="271" t="s">
        <v>432</v>
      </c>
      <c r="I238" s="14">
        <v>4.5499999999999999E-2</v>
      </c>
      <c r="J238" s="227" t="s">
        <v>412</v>
      </c>
      <c r="K238" s="237" t="s">
        <v>412</v>
      </c>
      <c r="L238" s="199"/>
      <c r="M238" s="197"/>
      <c r="N238" s="201">
        <f>90476187/1000</f>
        <v>90476.187000000005</v>
      </c>
    </row>
    <row r="239" spans="2:15" ht="25.5" x14ac:dyDescent="0.2">
      <c r="B239" s="12" t="s">
        <v>418</v>
      </c>
      <c r="C239" s="8">
        <v>41971</v>
      </c>
      <c r="D239" s="9" t="s">
        <v>367</v>
      </c>
      <c r="E239" s="231" t="s">
        <v>425</v>
      </c>
      <c r="F239" s="13"/>
      <c r="G239" s="254" t="s">
        <v>433</v>
      </c>
      <c r="H239" s="254" t="s">
        <v>433</v>
      </c>
      <c r="I239" s="239" t="s">
        <v>437</v>
      </c>
      <c r="J239" s="239" t="s">
        <v>26</v>
      </c>
      <c r="K239" s="244" t="s">
        <v>457</v>
      </c>
      <c r="L239" s="199"/>
      <c r="M239" s="197"/>
      <c r="N239" s="201">
        <f>134792615/1000</f>
        <v>134792.61499999999</v>
      </c>
    </row>
    <row r="240" spans="2:15" x14ac:dyDescent="0.2">
      <c r="B240" s="12" t="s">
        <v>419</v>
      </c>
      <c r="C240" s="8">
        <v>41971</v>
      </c>
      <c r="D240" s="9" t="s">
        <v>367</v>
      </c>
      <c r="E240" s="231" t="s">
        <v>426</v>
      </c>
      <c r="F240" s="13"/>
      <c r="G240" s="271" t="s">
        <v>434</v>
      </c>
      <c r="H240" s="271" t="s">
        <v>434</v>
      </c>
      <c r="I240" s="272">
        <v>4.7398999999999997E-2</v>
      </c>
      <c r="J240" s="239" t="s">
        <v>43</v>
      </c>
      <c r="K240" s="244" t="s">
        <v>413</v>
      </c>
      <c r="L240" s="199"/>
      <c r="M240" s="197"/>
      <c r="N240" s="201">
        <f>29348369/1000</f>
        <v>29348.368999999999</v>
      </c>
    </row>
    <row r="241" spans="2:15" ht="25.5" x14ac:dyDescent="0.2">
      <c r="B241" s="12" t="s">
        <v>420</v>
      </c>
      <c r="C241" s="8">
        <v>42000</v>
      </c>
      <c r="D241" s="9" t="s">
        <v>367</v>
      </c>
      <c r="E241" s="231" t="s">
        <v>427</v>
      </c>
      <c r="F241" s="13"/>
      <c r="G241" s="254" t="s">
        <v>435</v>
      </c>
      <c r="H241" s="254" t="s">
        <v>435</v>
      </c>
      <c r="I241" s="272" t="s">
        <v>438</v>
      </c>
      <c r="J241" s="239" t="s">
        <v>85</v>
      </c>
      <c r="K241" s="244" t="s">
        <v>458</v>
      </c>
      <c r="L241" s="199"/>
      <c r="M241" s="197"/>
      <c r="N241" s="201">
        <f>66148157/1000</f>
        <v>66148.157000000007</v>
      </c>
    </row>
    <row r="242" spans="2:15" ht="25.5" x14ac:dyDescent="0.2">
      <c r="B242" s="12" t="s">
        <v>421</v>
      </c>
      <c r="C242" s="8">
        <v>41881</v>
      </c>
      <c r="D242" s="9" t="s">
        <v>400</v>
      </c>
      <c r="E242" s="206" t="s">
        <v>428</v>
      </c>
      <c r="F242" s="13"/>
      <c r="G242" s="9" t="s">
        <v>2</v>
      </c>
      <c r="H242" s="9" t="s">
        <v>431</v>
      </c>
      <c r="I242" s="273" t="s">
        <v>439</v>
      </c>
      <c r="J242" s="274" t="s">
        <v>85</v>
      </c>
      <c r="K242" s="198" t="s">
        <v>461</v>
      </c>
      <c r="L242" s="199"/>
      <c r="M242" s="197"/>
      <c r="N242" s="201">
        <f>1170238396/1000</f>
        <v>1170238.3959999999</v>
      </c>
    </row>
    <row r="243" spans="2:15" ht="13.5" thickBot="1" x14ac:dyDescent="0.25">
      <c r="B243" s="275" t="s">
        <v>422</v>
      </c>
      <c r="C243" s="10">
        <v>42003</v>
      </c>
      <c r="D243" s="11" t="s">
        <v>400</v>
      </c>
      <c r="E243" s="261" t="s">
        <v>429</v>
      </c>
      <c r="F243" s="262"/>
      <c r="G243" s="11" t="s">
        <v>2</v>
      </c>
      <c r="H243" s="11" t="s">
        <v>436</v>
      </c>
      <c r="I243" s="276">
        <v>4.4200000000000003E-2</v>
      </c>
      <c r="J243" s="277" t="s">
        <v>85</v>
      </c>
      <c r="K243" s="278" t="s">
        <v>461</v>
      </c>
      <c r="L243" s="266"/>
      <c r="M243" s="267"/>
      <c r="N243" s="268">
        <f>572261604/1000</f>
        <v>572261.60400000005</v>
      </c>
    </row>
    <row r="244" spans="2:15" s="311" customFormat="1" ht="16.5" thickTop="1" x14ac:dyDescent="0.2">
      <c r="B244" s="322"/>
      <c r="C244" s="323"/>
      <c r="D244" s="313"/>
      <c r="E244" s="313"/>
      <c r="F244" s="324"/>
      <c r="G244" s="324"/>
      <c r="H244" s="325"/>
      <c r="I244" s="322"/>
      <c r="J244" s="313"/>
      <c r="K244" s="326"/>
      <c r="L244" s="47"/>
      <c r="M244" s="47"/>
      <c r="N244" s="48"/>
      <c r="O244" s="312"/>
    </row>
    <row r="245" spans="2:15" ht="15.75" x14ac:dyDescent="0.2">
      <c r="B245" s="102">
        <v>2015</v>
      </c>
      <c r="C245" s="103"/>
      <c r="D245" s="51"/>
      <c r="E245" s="104"/>
      <c r="F245" s="321"/>
      <c r="G245" s="104"/>
      <c r="H245" s="104"/>
      <c r="I245" s="104"/>
      <c r="J245" s="104"/>
      <c r="K245" s="104"/>
      <c r="L245" s="105"/>
      <c r="M245" s="105"/>
      <c r="N245" s="106">
        <f>+N246+N252</f>
        <v>5682230.3739999998</v>
      </c>
    </row>
    <row r="246" spans="2:15" x14ac:dyDescent="0.2">
      <c r="B246" s="141" t="s">
        <v>110</v>
      </c>
      <c r="C246" s="8"/>
      <c r="D246" s="9"/>
      <c r="E246" s="206"/>
      <c r="F246" s="13"/>
      <c r="G246" s="9"/>
      <c r="H246" s="9"/>
      <c r="I246" s="205"/>
      <c r="J246" s="239"/>
      <c r="K246" s="198"/>
      <c r="L246" s="199"/>
      <c r="M246" s="197"/>
      <c r="N246" s="142">
        <f>SUM(N247:N250)</f>
        <v>4921881.3389999997</v>
      </c>
    </row>
    <row r="247" spans="2:15" x14ac:dyDescent="0.2">
      <c r="B247" s="13" t="s">
        <v>511</v>
      </c>
      <c r="C247" s="8">
        <v>41977</v>
      </c>
      <c r="D247" s="9" t="s">
        <v>352</v>
      </c>
      <c r="E247" s="231" t="s">
        <v>423</v>
      </c>
      <c r="F247" s="13"/>
      <c r="G247" s="196" t="s">
        <v>2</v>
      </c>
      <c r="H247" s="9" t="s">
        <v>447</v>
      </c>
      <c r="I247" s="143" t="s">
        <v>191</v>
      </c>
      <c r="J247" s="223" t="s">
        <v>11</v>
      </c>
      <c r="K247" s="256" t="s">
        <v>409</v>
      </c>
      <c r="L247" s="199"/>
      <c r="M247" s="197"/>
      <c r="N247" s="201">
        <f>826500000/1000</f>
        <v>826500</v>
      </c>
    </row>
    <row r="248" spans="2:15" x14ac:dyDescent="0.2">
      <c r="B248" s="13" t="s">
        <v>511</v>
      </c>
      <c r="C248" s="8">
        <v>41977</v>
      </c>
      <c r="D248" s="9" t="s">
        <v>352</v>
      </c>
      <c r="E248" s="231" t="s">
        <v>414</v>
      </c>
      <c r="F248" s="13"/>
      <c r="G248" s="196" t="s">
        <v>2</v>
      </c>
      <c r="H248" s="9" t="s">
        <v>2</v>
      </c>
      <c r="I248" s="143" t="s">
        <v>191</v>
      </c>
      <c r="J248" s="223" t="s">
        <v>11</v>
      </c>
      <c r="K248" s="256" t="s">
        <v>409</v>
      </c>
      <c r="L248" s="199"/>
      <c r="M248" s="197"/>
      <c r="N248" s="201">
        <f>3789100000/1000</f>
        <v>3789100</v>
      </c>
    </row>
    <row r="249" spans="2:15" x14ac:dyDescent="0.2">
      <c r="B249" s="13" t="s">
        <v>444</v>
      </c>
      <c r="C249" s="8">
        <v>42324</v>
      </c>
      <c r="D249" s="9" t="s">
        <v>352</v>
      </c>
      <c r="E249" s="231" t="s">
        <v>445</v>
      </c>
      <c r="F249" s="13"/>
      <c r="G249" s="196" t="s">
        <v>446</v>
      </c>
      <c r="H249" s="9" t="s">
        <v>446</v>
      </c>
      <c r="I249" s="143" t="s">
        <v>191</v>
      </c>
      <c r="J249" s="223" t="s">
        <v>11</v>
      </c>
      <c r="K249" s="256" t="s">
        <v>409</v>
      </c>
      <c r="L249" s="199"/>
      <c r="M249" s="197"/>
      <c r="N249" s="201">
        <f>156621339/1000</f>
        <v>156621.33900000001</v>
      </c>
    </row>
    <row r="250" spans="2:15" ht="27" customHeight="1" x14ac:dyDescent="0.2">
      <c r="B250" s="13" t="s">
        <v>448</v>
      </c>
      <c r="C250" s="8">
        <v>42118</v>
      </c>
      <c r="D250" s="9" t="s">
        <v>352</v>
      </c>
      <c r="E250" s="206" t="s">
        <v>449</v>
      </c>
      <c r="F250" s="13"/>
      <c r="G250" s="196" t="s">
        <v>10</v>
      </c>
      <c r="H250" s="9" t="s">
        <v>10</v>
      </c>
      <c r="I250" s="255" t="s">
        <v>283</v>
      </c>
      <c r="J250" s="239" t="s">
        <v>283</v>
      </c>
      <c r="K250" s="244" t="s">
        <v>283</v>
      </c>
      <c r="L250" s="199"/>
      <c r="M250" s="197"/>
      <c r="N250" s="201">
        <f>149660000/1000</f>
        <v>149660</v>
      </c>
    </row>
    <row r="251" spans="2:15" x14ac:dyDescent="0.2">
      <c r="B251" s="257"/>
      <c r="C251" s="8"/>
      <c r="D251" s="9"/>
      <c r="E251" s="206"/>
      <c r="F251" s="13"/>
      <c r="G251" s="196"/>
      <c r="H251" s="9"/>
      <c r="I251" s="255"/>
      <c r="J251" s="239"/>
      <c r="K251" s="244"/>
      <c r="L251" s="199"/>
      <c r="M251" s="197"/>
      <c r="N251" s="201"/>
    </row>
    <row r="252" spans="2:15" x14ac:dyDescent="0.2">
      <c r="B252" s="141" t="s">
        <v>109</v>
      </c>
      <c r="C252" s="8"/>
      <c r="D252" s="9"/>
      <c r="E252" s="206"/>
      <c r="F252" s="13"/>
      <c r="G252" s="15"/>
      <c r="H252" s="9"/>
      <c r="I252" s="205"/>
      <c r="J252" s="239"/>
      <c r="K252" s="198"/>
      <c r="L252" s="199"/>
      <c r="M252" s="197"/>
      <c r="N252" s="142">
        <f>SUM(N253:N254)</f>
        <v>760349.03499999992</v>
      </c>
    </row>
    <row r="253" spans="2:15" x14ac:dyDescent="0.2">
      <c r="B253" s="13" t="s">
        <v>450</v>
      </c>
      <c r="C253" s="8">
        <v>42259</v>
      </c>
      <c r="D253" s="9" t="s">
        <v>367</v>
      </c>
      <c r="E253" s="206" t="s">
        <v>452</v>
      </c>
      <c r="F253" s="13"/>
      <c r="G253" s="15" t="s">
        <v>2</v>
      </c>
      <c r="H253" s="9" t="s">
        <v>369</v>
      </c>
      <c r="I253" s="205">
        <v>4.7399999999999998E-2</v>
      </c>
      <c r="J253" s="223" t="s">
        <v>11</v>
      </c>
      <c r="K253" s="198" t="s">
        <v>461</v>
      </c>
      <c r="L253" s="199"/>
      <c r="M253" s="197"/>
      <c r="N253" s="201">
        <f>121670499/1000</f>
        <v>121670.499</v>
      </c>
    </row>
    <row r="254" spans="2:15" x14ac:dyDescent="0.2">
      <c r="B254" s="13" t="s">
        <v>451</v>
      </c>
      <c r="C254" s="8">
        <v>42273</v>
      </c>
      <c r="D254" s="9" t="s">
        <v>367</v>
      </c>
      <c r="E254" s="206" t="s">
        <v>453</v>
      </c>
      <c r="F254" s="13"/>
      <c r="G254" s="15" t="s">
        <v>2</v>
      </c>
      <c r="H254" s="9" t="s">
        <v>369</v>
      </c>
      <c r="I254" s="205" t="s">
        <v>454</v>
      </c>
      <c r="J254" s="223" t="s">
        <v>11</v>
      </c>
      <c r="K254" s="198" t="s">
        <v>461</v>
      </c>
      <c r="L254" s="199"/>
      <c r="M254" s="197"/>
      <c r="N254" s="201">
        <f>638678536/1000</f>
        <v>638678.53599999996</v>
      </c>
    </row>
    <row r="255" spans="2:15" ht="13.5" thickBot="1" x14ac:dyDescent="0.25">
      <c r="B255" s="24"/>
      <c r="C255" s="3"/>
      <c r="D255" s="4"/>
      <c r="E255" s="280"/>
      <c r="F255" s="71"/>
      <c r="G255" s="6"/>
      <c r="H255" s="4"/>
      <c r="I255" s="281"/>
      <c r="J255" s="228"/>
      <c r="K255" s="282"/>
      <c r="L255" s="123"/>
      <c r="M255" s="157"/>
      <c r="N255" s="64"/>
    </row>
    <row r="256" spans="2:15" s="311" customFormat="1" ht="16.5" thickTop="1" x14ac:dyDescent="0.2">
      <c r="B256" s="322"/>
      <c r="C256" s="323"/>
      <c r="D256" s="313"/>
      <c r="E256" s="313"/>
      <c r="F256" s="324"/>
      <c r="G256" s="324"/>
      <c r="H256" s="325"/>
      <c r="I256" s="322"/>
      <c r="J256" s="313"/>
      <c r="K256" s="326"/>
      <c r="L256" s="47"/>
      <c r="M256" s="47"/>
      <c r="N256" s="48"/>
      <c r="O256" s="312"/>
    </row>
    <row r="257" spans="2:15" ht="15.75" x14ac:dyDescent="0.2">
      <c r="B257" s="102">
        <v>2016</v>
      </c>
      <c r="C257" s="103"/>
      <c r="D257" s="51"/>
      <c r="E257" s="104"/>
      <c r="F257" s="321"/>
      <c r="G257" s="104"/>
      <c r="H257" s="104"/>
      <c r="I257" s="104"/>
      <c r="J257" s="104"/>
      <c r="K257" s="104"/>
      <c r="L257" s="105"/>
      <c r="M257" s="105"/>
      <c r="N257" s="106">
        <f>+N258+N267</f>
        <v>11161821.780999999</v>
      </c>
    </row>
    <row r="258" spans="2:15" x14ac:dyDescent="0.2">
      <c r="B258" s="141" t="s">
        <v>110</v>
      </c>
      <c r="C258" s="8"/>
      <c r="D258" s="9"/>
      <c r="E258" s="206"/>
      <c r="F258" s="13"/>
      <c r="G258" s="15"/>
      <c r="H258" s="9"/>
      <c r="I258" s="205"/>
      <c r="J258" s="223"/>
      <c r="K258" s="198"/>
      <c r="L258" s="199"/>
      <c r="M258" s="197"/>
      <c r="N258" s="142">
        <f>SUM(N259:N265)</f>
        <v>11161821.780999999</v>
      </c>
    </row>
    <row r="259" spans="2:15" x14ac:dyDescent="0.2">
      <c r="B259" s="13" t="s">
        <v>512</v>
      </c>
      <c r="C259" s="235">
        <v>42344</v>
      </c>
      <c r="D259" s="9" t="s">
        <v>352</v>
      </c>
      <c r="E259" s="231" t="s">
        <v>423</v>
      </c>
      <c r="F259" s="13"/>
      <c r="G259" s="15" t="s">
        <v>2</v>
      </c>
      <c r="H259" s="9" t="s">
        <v>430</v>
      </c>
      <c r="I259" s="143" t="s">
        <v>191</v>
      </c>
      <c r="J259" s="223" t="s">
        <v>11</v>
      </c>
      <c r="K259" s="256" t="s">
        <v>409</v>
      </c>
      <c r="L259" s="199"/>
      <c r="M259" s="197"/>
      <c r="N259" s="201">
        <f>381980000/1000</f>
        <v>381980</v>
      </c>
    </row>
    <row r="260" spans="2:15" x14ac:dyDescent="0.2">
      <c r="B260" s="13" t="s">
        <v>512</v>
      </c>
      <c r="C260" s="235">
        <v>42344</v>
      </c>
      <c r="D260" s="9" t="s">
        <v>352</v>
      </c>
      <c r="E260" s="231" t="s">
        <v>475</v>
      </c>
      <c r="F260" s="13"/>
      <c r="G260" s="15" t="s">
        <v>2</v>
      </c>
      <c r="H260" s="9" t="s">
        <v>2</v>
      </c>
      <c r="I260" s="143" t="s">
        <v>191</v>
      </c>
      <c r="J260" s="223" t="s">
        <v>11</v>
      </c>
      <c r="K260" s="256" t="s">
        <v>409</v>
      </c>
      <c r="L260" s="199"/>
      <c r="M260" s="197"/>
      <c r="N260" s="201">
        <f>3000000000/1000</f>
        <v>3000000</v>
      </c>
    </row>
    <row r="261" spans="2:15" x14ac:dyDescent="0.2">
      <c r="B261" s="13" t="s">
        <v>513</v>
      </c>
      <c r="C261" s="235">
        <v>42344</v>
      </c>
      <c r="D261" s="9" t="s">
        <v>352</v>
      </c>
      <c r="E261" s="231" t="s">
        <v>475</v>
      </c>
      <c r="F261" s="13"/>
      <c r="G261" s="15" t="s">
        <v>2</v>
      </c>
      <c r="H261" s="9" t="s">
        <v>2</v>
      </c>
      <c r="I261" s="143" t="s">
        <v>191</v>
      </c>
      <c r="J261" s="223" t="s">
        <v>11</v>
      </c>
      <c r="K261" s="256" t="s">
        <v>409</v>
      </c>
      <c r="L261" s="199"/>
      <c r="M261" s="197"/>
      <c r="N261" s="201">
        <f>3184500000/1000</f>
        <v>3184500</v>
      </c>
    </row>
    <row r="262" spans="2:15" x14ac:dyDescent="0.2">
      <c r="B262" s="13" t="s">
        <v>514</v>
      </c>
      <c r="C262" s="235">
        <v>42344</v>
      </c>
      <c r="D262" s="9" t="s">
        <v>352</v>
      </c>
      <c r="E262" s="231" t="s">
        <v>414</v>
      </c>
      <c r="F262" s="13"/>
      <c r="G262" s="15" t="s">
        <v>2</v>
      </c>
      <c r="H262" s="9" t="s">
        <v>2</v>
      </c>
      <c r="I262" s="143" t="s">
        <v>191</v>
      </c>
      <c r="J262" s="223" t="s">
        <v>11</v>
      </c>
      <c r="K262" s="256" t="s">
        <v>409</v>
      </c>
      <c r="L262" s="199"/>
      <c r="M262" s="197"/>
      <c r="N262" s="201">
        <f>3251535000/1000</f>
        <v>3251535</v>
      </c>
    </row>
    <row r="263" spans="2:15" x14ac:dyDescent="0.2">
      <c r="B263" s="12" t="s">
        <v>474</v>
      </c>
      <c r="C263" s="8">
        <v>42432</v>
      </c>
      <c r="D263" s="9" t="s">
        <v>352</v>
      </c>
      <c r="E263" s="219" t="s">
        <v>476</v>
      </c>
      <c r="F263" s="13"/>
      <c r="G263" s="15" t="s">
        <v>10</v>
      </c>
      <c r="H263" s="9" t="s">
        <v>10</v>
      </c>
      <c r="I263" s="283" t="s">
        <v>11</v>
      </c>
      <c r="J263" s="223" t="s">
        <v>11</v>
      </c>
      <c r="K263" s="208" t="s">
        <v>283</v>
      </c>
      <c r="L263" s="199"/>
      <c r="M263" s="197"/>
      <c r="N263" s="201">
        <f>232275781/1000</f>
        <v>232275.78099999999</v>
      </c>
    </row>
    <row r="264" spans="2:15" ht="25.5" x14ac:dyDescent="0.2">
      <c r="B264" s="12" t="s">
        <v>481</v>
      </c>
      <c r="C264" s="8">
        <v>42656</v>
      </c>
      <c r="D264" s="9" t="s">
        <v>352</v>
      </c>
      <c r="E264" s="231" t="s">
        <v>549</v>
      </c>
      <c r="F264" s="13"/>
      <c r="G264" s="15" t="s">
        <v>2</v>
      </c>
      <c r="H264" s="15" t="s">
        <v>482</v>
      </c>
      <c r="I264" s="143" t="s">
        <v>191</v>
      </c>
      <c r="J264" s="223" t="s">
        <v>11</v>
      </c>
      <c r="K264" s="256" t="s">
        <v>409</v>
      </c>
      <c r="L264" s="199"/>
      <c r="M264" s="197"/>
      <c r="N264" s="201">
        <v>1023000</v>
      </c>
    </row>
    <row r="265" spans="2:15" ht="25.5" x14ac:dyDescent="0.2">
      <c r="B265" s="13" t="s">
        <v>477</v>
      </c>
      <c r="C265" s="235">
        <v>42732</v>
      </c>
      <c r="D265" s="9" t="s">
        <v>352</v>
      </c>
      <c r="E265" s="231" t="s">
        <v>478</v>
      </c>
      <c r="F265" s="13"/>
      <c r="G265" s="15" t="s">
        <v>479</v>
      </c>
      <c r="H265" s="15" t="s">
        <v>480</v>
      </c>
      <c r="I265" s="143" t="s">
        <v>191</v>
      </c>
      <c r="J265" s="223" t="s">
        <v>11</v>
      </c>
      <c r="K265" s="256" t="s">
        <v>409</v>
      </c>
      <c r="L265" s="199"/>
      <c r="M265" s="197"/>
      <c r="N265" s="201">
        <f>88531000/1000</f>
        <v>88531</v>
      </c>
    </row>
    <row r="266" spans="2:15" x14ac:dyDescent="0.2">
      <c r="B266" s="12"/>
      <c r="C266" s="8"/>
      <c r="D266" s="9"/>
      <c r="E266" s="206"/>
      <c r="F266" s="13"/>
      <c r="G266" s="15"/>
      <c r="H266" s="9"/>
      <c r="I266" s="205"/>
      <c r="J266" s="223"/>
      <c r="K266" s="198"/>
      <c r="L266" s="199"/>
      <c r="M266" s="197"/>
      <c r="N266" s="201"/>
    </row>
    <row r="267" spans="2:15" x14ac:dyDescent="0.2">
      <c r="B267" s="141" t="s">
        <v>109</v>
      </c>
      <c r="C267" s="8"/>
      <c r="D267" s="9"/>
      <c r="E267" s="206"/>
      <c r="F267" s="13"/>
      <c r="G267" s="15"/>
      <c r="H267" s="9"/>
      <c r="I267" s="205"/>
      <c r="J267" s="223"/>
      <c r="K267" s="198"/>
      <c r="L267" s="199"/>
      <c r="M267" s="197"/>
      <c r="N267" s="142">
        <f>SUM(N268:N268)</f>
        <v>0</v>
      </c>
    </row>
    <row r="268" spans="2:15" ht="13.5" thickBot="1" x14ac:dyDescent="0.25">
      <c r="B268" s="24"/>
      <c r="C268" s="3"/>
      <c r="D268" s="4"/>
      <c r="E268" s="280"/>
      <c r="F268" s="71"/>
      <c r="G268" s="6"/>
      <c r="H268" s="4"/>
      <c r="I268" s="281"/>
      <c r="J268" s="228"/>
      <c r="K268" s="282"/>
      <c r="L268" s="123"/>
      <c r="M268" s="76"/>
      <c r="N268" s="78"/>
    </row>
    <row r="269" spans="2:15" s="311" customFormat="1" ht="16.5" thickTop="1" x14ac:dyDescent="0.2">
      <c r="B269" s="322"/>
      <c r="C269" s="323"/>
      <c r="D269" s="313"/>
      <c r="E269" s="313"/>
      <c r="F269" s="324"/>
      <c r="G269" s="324"/>
      <c r="H269" s="325"/>
      <c r="I269" s="322"/>
      <c r="J269" s="313"/>
      <c r="K269" s="326"/>
      <c r="L269" s="47"/>
      <c r="M269" s="47"/>
      <c r="N269" s="48"/>
      <c r="O269" s="312"/>
    </row>
    <row r="270" spans="2:15" ht="15.75" x14ac:dyDescent="0.2">
      <c r="B270" s="102">
        <v>2017</v>
      </c>
      <c r="C270" s="103"/>
      <c r="D270" s="51"/>
      <c r="E270" s="104"/>
      <c r="F270" s="321"/>
      <c r="G270" s="104"/>
      <c r="H270" s="104"/>
      <c r="I270" s="104"/>
      <c r="J270" s="104"/>
      <c r="K270" s="104"/>
      <c r="L270" s="105"/>
      <c r="M270" s="105"/>
      <c r="N270" s="106">
        <f>+N271+N278</f>
        <v>9487883.1640000008</v>
      </c>
    </row>
    <row r="271" spans="2:15" x14ac:dyDescent="0.2">
      <c r="B271" s="141" t="s">
        <v>110</v>
      </c>
      <c r="C271" s="1"/>
      <c r="D271" s="2"/>
      <c r="E271" s="269"/>
      <c r="F271" s="51"/>
      <c r="G271" s="5"/>
      <c r="H271" s="2"/>
      <c r="I271" s="270"/>
      <c r="J271" s="229"/>
      <c r="K271" s="279"/>
      <c r="L271" s="117"/>
      <c r="M271" s="62"/>
      <c r="N271" s="142">
        <f>SUM(N272:N276)</f>
        <v>9487883.1640000008</v>
      </c>
    </row>
    <row r="272" spans="2:15" x14ac:dyDescent="0.2">
      <c r="B272" s="284" t="s">
        <v>515</v>
      </c>
      <c r="C272" s="285">
        <v>42706</v>
      </c>
      <c r="D272" s="9" t="s">
        <v>352</v>
      </c>
      <c r="E272" s="231" t="s">
        <v>423</v>
      </c>
      <c r="F272" s="51"/>
      <c r="G272" s="5" t="s">
        <v>2</v>
      </c>
      <c r="H272" s="9" t="s">
        <v>430</v>
      </c>
      <c r="I272" s="143" t="s">
        <v>191</v>
      </c>
      <c r="J272" s="223" t="s">
        <v>11</v>
      </c>
      <c r="K272" s="256" t="s">
        <v>409</v>
      </c>
      <c r="L272" s="117"/>
      <c r="M272" s="62"/>
      <c r="N272" s="64">
        <v>20000</v>
      </c>
    </row>
    <row r="273" spans="2:15" x14ac:dyDescent="0.2">
      <c r="B273" s="284" t="s">
        <v>515</v>
      </c>
      <c r="C273" s="285">
        <v>42706</v>
      </c>
      <c r="D273" s="9" t="s">
        <v>352</v>
      </c>
      <c r="E273" s="231" t="s">
        <v>475</v>
      </c>
      <c r="F273" s="51"/>
      <c r="G273" s="5" t="s">
        <v>2</v>
      </c>
      <c r="H273" s="9" t="s">
        <v>2</v>
      </c>
      <c r="I273" s="143" t="s">
        <v>191</v>
      </c>
      <c r="J273" s="223" t="s">
        <v>11</v>
      </c>
      <c r="K273" s="256" t="s">
        <v>409</v>
      </c>
      <c r="L273" s="117"/>
      <c r="M273" s="62"/>
      <c r="N273" s="64">
        <v>3500000</v>
      </c>
    </row>
    <row r="274" spans="2:15" x14ac:dyDescent="0.2">
      <c r="B274" s="284" t="s">
        <v>516</v>
      </c>
      <c r="C274" s="285">
        <v>42985</v>
      </c>
      <c r="D274" s="9" t="s">
        <v>352</v>
      </c>
      <c r="E274" s="231" t="s">
        <v>518</v>
      </c>
      <c r="F274" s="51"/>
      <c r="G274" s="5" t="s">
        <v>2</v>
      </c>
      <c r="H274" s="9" t="s">
        <v>2</v>
      </c>
      <c r="I274" s="143" t="s">
        <v>191</v>
      </c>
      <c r="J274" s="223" t="s">
        <v>11</v>
      </c>
      <c r="K274" s="256" t="s">
        <v>409</v>
      </c>
      <c r="L274" s="117"/>
      <c r="M274" s="62"/>
      <c r="N274" s="64">
        <v>788155</v>
      </c>
    </row>
    <row r="275" spans="2:15" x14ac:dyDescent="0.2">
      <c r="B275" s="284" t="s">
        <v>515</v>
      </c>
      <c r="C275" s="285">
        <v>42706</v>
      </c>
      <c r="D275" s="9" t="s">
        <v>352</v>
      </c>
      <c r="E275" s="231" t="s">
        <v>414</v>
      </c>
      <c r="F275" s="51"/>
      <c r="G275" s="5" t="s">
        <v>2</v>
      </c>
      <c r="H275" s="9" t="s">
        <v>2</v>
      </c>
      <c r="I275" s="143" t="s">
        <v>191</v>
      </c>
      <c r="J275" s="223" t="s">
        <v>11</v>
      </c>
      <c r="K275" s="256" t="s">
        <v>409</v>
      </c>
      <c r="L275" s="117"/>
      <c r="M275" s="62"/>
      <c r="N275" s="64">
        <v>5017800</v>
      </c>
    </row>
    <row r="276" spans="2:15" ht="25.5" x14ac:dyDescent="0.2">
      <c r="B276" s="2" t="s">
        <v>517</v>
      </c>
      <c r="C276" s="1">
        <v>42804</v>
      </c>
      <c r="D276" s="9" t="s">
        <v>352</v>
      </c>
      <c r="E276" s="219" t="s">
        <v>519</v>
      </c>
      <c r="F276" s="51"/>
      <c r="G276" s="5" t="s">
        <v>10</v>
      </c>
      <c r="H276" s="9" t="s">
        <v>10</v>
      </c>
      <c r="I276" s="283" t="s">
        <v>11</v>
      </c>
      <c r="J276" s="223" t="s">
        <v>11</v>
      </c>
      <c r="K276" s="208" t="s">
        <v>283</v>
      </c>
      <c r="L276" s="117"/>
      <c r="M276" s="62"/>
      <c r="N276" s="64">
        <v>161928.16399999999</v>
      </c>
    </row>
    <row r="277" spans="2:15" x14ac:dyDescent="0.2">
      <c r="B277" s="20"/>
      <c r="C277" s="1"/>
      <c r="D277" s="2"/>
      <c r="E277" s="269"/>
      <c r="F277" s="51"/>
      <c r="G277" s="5"/>
      <c r="H277" s="2"/>
      <c r="I277" s="270"/>
      <c r="J277" s="223"/>
      <c r="K277" s="279"/>
      <c r="L277" s="117"/>
      <c r="M277" s="62"/>
      <c r="N277" s="64"/>
    </row>
    <row r="278" spans="2:15" x14ac:dyDescent="0.2">
      <c r="B278" s="141" t="s">
        <v>109</v>
      </c>
      <c r="C278" s="8"/>
      <c r="D278" s="9"/>
      <c r="E278" s="206"/>
      <c r="F278" s="13"/>
      <c r="G278" s="15"/>
      <c r="H278" s="9"/>
      <c r="I278" s="205"/>
      <c r="J278" s="223"/>
      <c r="K278" s="198"/>
      <c r="L278" s="199"/>
      <c r="M278" s="197"/>
      <c r="N278" s="142">
        <f>+N279</f>
        <v>0</v>
      </c>
    </row>
    <row r="279" spans="2:15" x14ac:dyDescent="0.2">
      <c r="B279" s="20"/>
      <c r="C279" s="1"/>
      <c r="D279" s="2"/>
      <c r="E279" s="269"/>
      <c r="F279" s="51"/>
      <c r="G279" s="5"/>
      <c r="H279" s="2"/>
      <c r="I279" s="270"/>
      <c r="J279" s="229"/>
      <c r="K279" s="279"/>
      <c r="L279" s="117"/>
      <c r="M279" s="62"/>
      <c r="N279" s="64"/>
    </row>
    <row r="280" spans="2:15" ht="13.5" thickBot="1" x14ac:dyDescent="0.25">
      <c r="B280" s="24"/>
      <c r="C280" s="3"/>
      <c r="D280" s="4"/>
      <c r="E280" s="280"/>
      <c r="F280" s="71"/>
      <c r="G280" s="6"/>
      <c r="H280" s="4"/>
      <c r="I280" s="281"/>
      <c r="J280" s="228"/>
      <c r="K280" s="282"/>
      <c r="L280" s="123"/>
      <c r="M280" s="76"/>
      <c r="N280" s="78"/>
    </row>
    <row r="281" spans="2:15" s="311" customFormat="1" ht="16.5" thickTop="1" x14ac:dyDescent="0.2">
      <c r="B281" s="322"/>
      <c r="C281" s="323"/>
      <c r="D281" s="313"/>
      <c r="E281" s="313"/>
      <c r="F281" s="324"/>
      <c r="G281" s="324"/>
      <c r="H281" s="325"/>
      <c r="I281" s="322"/>
      <c r="J281" s="313"/>
      <c r="K281" s="326"/>
      <c r="L281" s="47"/>
      <c r="M281" s="47"/>
      <c r="N281" s="48"/>
      <c r="O281" s="312"/>
    </row>
    <row r="282" spans="2:15" ht="15.75" x14ac:dyDescent="0.2">
      <c r="B282" s="102">
        <v>2018</v>
      </c>
      <c r="C282" s="103"/>
      <c r="D282" s="51"/>
      <c r="E282" s="104"/>
      <c r="F282" s="321"/>
      <c r="G282" s="104"/>
      <c r="H282" s="104"/>
      <c r="I282" s="104"/>
      <c r="J282" s="104"/>
      <c r="K282" s="104"/>
      <c r="L282" s="105"/>
      <c r="M282" s="105"/>
      <c r="N282" s="106"/>
    </row>
    <row r="283" spans="2:15" x14ac:dyDescent="0.2">
      <c r="B283" s="20"/>
      <c r="C283" s="1"/>
      <c r="D283" s="2"/>
      <c r="E283" s="269"/>
      <c r="F283" s="51"/>
      <c r="G283" s="5"/>
      <c r="H283" s="2"/>
      <c r="I283" s="270"/>
      <c r="J283" s="229"/>
      <c r="K283" s="279"/>
      <c r="L283" s="117"/>
      <c r="M283" s="62"/>
      <c r="N283" s="64"/>
    </row>
    <row r="284" spans="2:15" x14ac:dyDescent="0.2">
      <c r="B284" s="141" t="s">
        <v>110</v>
      </c>
      <c r="C284" s="19"/>
      <c r="D284" s="2"/>
      <c r="E284" s="269"/>
      <c r="F284" s="51"/>
      <c r="G284" s="5"/>
      <c r="H284" s="2"/>
      <c r="I284" s="270"/>
      <c r="J284" s="229"/>
      <c r="K284" s="279"/>
      <c r="L284" s="117"/>
      <c r="M284" s="62"/>
      <c r="N284" s="142">
        <f>SUM(N285:N293)</f>
        <v>11637481.164999999</v>
      </c>
    </row>
    <row r="285" spans="2:15" x14ac:dyDescent="0.2">
      <c r="B285" s="20" t="s">
        <v>538</v>
      </c>
      <c r="C285" s="17">
        <v>43076</v>
      </c>
      <c r="D285" s="9" t="s">
        <v>352</v>
      </c>
      <c r="E285" s="231" t="s">
        <v>423</v>
      </c>
      <c r="F285" s="51"/>
      <c r="G285" s="5" t="s">
        <v>2</v>
      </c>
      <c r="H285" s="21" t="s">
        <v>526</v>
      </c>
      <c r="I285" s="143" t="s">
        <v>191</v>
      </c>
      <c r="J285" s="223" t="s">
        <v>11</v>
      </c>
      <c r="K285" s="256" t="s">
        <v>409</v>
      </c>
      <c r="L285" s="117"/>
      <c r="M285" s="62"/>
      <c r="N285" s="64">
        <f>292926480/1000</f>
        <v>292926.48</v>
      </c>
    </row>
    <row r="286" spans="2:15" ht="24" x14ac:dyDescent="0.2">
      <c r="B286" s="20" t="s">
        <v>534</v>
      </c>
      <c r="C286" s="17">
        <v>43076</v>
      </c>
      <c r="D286" s="9" t="s">
        <v>352</v>
      </c>
      <c r="E286" s="231" t="s">
        <v>475</v>
      </c>
      <c r="F286" s="51"/>
      <c r="G286" s="5" t="s">
        <v>2</v>
      </c>
      <c r="H286" s="21" t="s">
        <v>527</v>
      </c>
      <c r="I286" s="143" t="s">
        <v>191</v>
      </c>
      <c r="J286" s="223" t="s">
        <v>11</v>
      </c>
      <c r="K286" s="256" t="s">
        <v>409</v>
      </c>
      <c r="L286" s="117"/>
      <c r="M286" s="62"/>
      <c r="N286" s="64">
        <f>2178000000/1000</f>
        <v>2178000</v>
      </c>
    </row>
    <row r="287" spans="2:15" x14ac:dyDescent="0.2">
      <c r="B287" s="20" t="s">
        <v>539</v>
      </c>
      <c r="C287" s="17">
        <v>43076</v>
      </c>
      <c r="D287" s="9" t="s">
        <v>352</v>
      </c>
      <c r="E287" s="231" t="s">
        <v>475</v>
      </c>
      <c r="F287" s="51"/>
      <c r="G287" s="5" t="s">
        <v>2</v>
      </c>
      <c r="H287" s="21" t="s">
        <v>528</v>
      </c>
      <c r="I287" s="143" t="s">
        <v>191</v>
      </c>
      <c r="J287" s="223" t="s">
        <v>11</v>
      </c>
      <c r="K287" s="256" t="s">
        <v>409</v>
      </c>
      <c r="L287" s="117"/>
      <c r="M287" s="62"/>
      <c r="N287" s="64">
        <f>2527373520/1000</f>
        <v>2527373.52</v>
      </c>
    </row>
    <row r="288" spans="2:15" ht="25.5" x14ac:dyDescent="0.2">
      <c r="B288" s="20" t="s">
        <v>534</v>
      </c>
      <c r="C288" s="17">
        <v>43076</v>
      </c>
      <c r="D288" s="9" t="s">
        <v>352</v>
      </c>
      <c r="E288" s="231" t="s">
        <v>523</v>
      </c>
      <c r="F288" s="51"/>
      <c r="G288" s="5" t="s">
        <v>525</v>
      </c>
      <c r="H288" s="21" t="s">
        <v>529</v>
      </c>
      <c r="I288" s="143" t="s">
        <v>191</v>
      </c>
      <c r="J288" s="223" t="s">
        <v>11</v>
      </c>
      <c r="K288" s="256" t="s">
        <v>409</v>
      </c>
      <c r="L288" s="117"/>
      <c r="M288" s="62"/>
      <c r="N288" s="64">
        <f>132233000/1000</f>
        <v>132233</v>
      </c>
    </row>
    <row r="289" spans="2:14" ht="38.25" x14ac:dyDescent="0.2">
      <c r="B289" s="2" t="s">
        <v>521</v>
      </c>
      <c r="C289" s="18">
        <v>43458</v>
      </c>
      <c r="D289" s="9" t="s">
        <v>352</v>
      </c>
      <c r="E289" s="231" t="s">
        <v>524</v>
      </c>
      <c r="F289" s="51"/>
      <c r="G289" s="5" t="s">
        <v>2</v>
      </c>
      <c r="H289" s="22" t="s">
        <v>530</v>
      </c>
      <c r="I289" s="143" t="s">
        <v>191</v>
      </c>
      <c r="J289" s="223" t="s">
        <v>11</v>
      </c>
      <c r="K289" s="256" t="s">
        <v>409</v>
      </c>
      <c r="L289" s="117"/>
      <c r="M289" s="62"/>
      <c r="N289" s="64">
        <f>99000000/1000</f>
        <v>99000</v>
      </c>
    </row>
    <row r="290" spans="2:14" ht="25.5" x14ac:dyDescent="0.2">
      <c r="B290" s="2" t="s">
        <v>522</v>
      </c>
      <c r="C290" s="18">
        <v>43464</v>
      </c>
      <c r="D290" s="9" t="s">
        <v>352</v>
      </c>
      <c r="E290" s="231" t="s">
        <v>550</v>
      </c>
      <c r="F290" s="51"/>
      <c r="G290" s="5" t="s">
        <v>2</v>
      </c>
      <c r="H290" s="21" t="s">
        <v>531</v>
      </c>
      <c r="I290" s="143" t="s">
        <v>191</v>
      </c>
      <c r="J290" s="223" t="s">
        <v>11</v>
      </c>
      <c r="K290" s="256" t="s">
        <v>409</v>
      </c>
      <c r="L290" s="117"/>
      <c r="M290" s="62"/>
      <c r="N290" s="64">
        <f>247500000/1000</f>
        <v>247500</v>
      </c>
    </row>
    <row r="291" spans="2:14" x14ac:dyDescent="0.2">
      <c r="B291" s="20" t="s">
        <v>540</v>
      </c>
      <c r="C291" s="17">
        <v>43076</v>
      </c>
      <c r="D291" s="9" t="s">
        <v>352</v>
      </c>
      <c r="E291" s="231" t="s">
        <v>414</v>
      </c>
      <c r="F291" s="51"/>
      <c r="G291" s="5" t="s">
        <v>2</v>
      </c>
      <c r="H291" s="2" t="s">
        <v>431</v>
      </c>
      <c r="I291" s="143" t="s">
        <v>191</v>
      </c>
      <c r="J291" s="223" t="s">
        <v>11</v>
      </c>
      <c r="K291" s="256" t="s">
        <v>409</v>
      </c>
      <c r="L291" s="117"/>
      <c r="M291" s="62"/>
      <c r="N291" s="64">
        <f>6052900000/1000</f>
        <v>6052900</v>
      </c>
    </row>
    <row r="292" spans="2:14" ht="24" customHeight="1" x14ac:dyDescent="0.2">
      <c r="B292" s="16" t="s">
        <v>532</v>
      </c>
      <c r="C292" s="1">
        <v>43202</v>
      </c>
      <c r="D292" s="9" t="s">
        <v>352</v>
      </c>
      <c r="E292" s="206" t="s">
        <v>541</v>
      </c>
      <c r="F292" s="51"/>
      <c r="G292" s="5" t="s">
        <v>10</v>
      </c>
      <c r="H292" s="2" t="s">
        <v>10</v>
      </c>
      <c r="I292" s="283" t="s">
        <v>11</v>
      </c>
      <c r="J292" s="223" t="s">
        <v>11</v>
      </c>
      <c r="K292" s="208" t="s">
        <v>283</v>
      </c>
      <c r="L292" s="117"/>
      <c r="M292" s="62"/>
      <c r="N292" s="64">
        <f>107548165/1000</f>
        <v>107548.16499999999</v>
      </c>
    </row>
    <row r="293" spans="2:14" x14ac:dyDescent="0.2">
      <c r="B293" s="20"/>
      <c r="C293" s="19"/>
      <c r="D293" s="2"/>
      <c r="E293" s="269"/>
      <c r="F293" s="51"/>
      <c r="G293" s="5"/>
      <c r="H293" s="2"/>
      <c r="I293" s="270"/>
      <c r="J293" s="229"/>
      <c r="K293" s="279"/>
      <c r="L293" s="117"/>
      <c r="M293" s="62"/>
      <c r="N293" s="64"/>
    </row>
    <row r="294" spans="2:14" x14ac:dyDescent="0.2">
      <c r="B294" s="141" t="s">
        <v>109</v>
      </c>
      <c r="C294" s="19"/>
      <c r="D294" s="2"/>
      <c r="E294" s="269"/>
      <c r="F294" s="51"/>
      <c r="G294" s="5"/>
      <c r="H294" s="2"/>
      <c r="I294" s="270"/>
      <c r="J294" s="229"/>
      <c r="K294" s="279"/>
      <c r="L294" s="117"/>
      <c r="M294" s="62"/>
      <c r="N294" s="142">
        <f>+N295</f>
        <v>0</v>
      </c>
    </row>
    <row r="295" spans="2:14" x14ac:dyDescent="0.2">
      <c r="B295" s="20"/>
      <c r="C295" s="19"/>
      <c r="D295" s="2"/>
      <c r="E295" s="269"/>
      <c r="F295" s="51"/>
      <c r="G295" s="5"/>
      <c r="H295" s="2"/>
      <c r="I295" s="270"/>
      <c r="J295" s="229"/>
      <c r="K295" s="279"/>
      <c r="L295" s="117"/>
      <c r="M295" s="62"/>
      <c r="N295" s="64"/>
    </row>
    <row r="296" spans="2:14" ht="13.5" thickBot="1" x14ac:dyDescent="0.25">
      <c r="B296" s="24"/>
      <c r="C296" s="23"/>
      <c r="D296" s="4"/>
      <c r="E296" s="280"/>
      <c r="F296" s="71"/>
      <c r="G296" s="6"/>
      <c r="H296" s="4"/>
      <c r="I296" s="281"/>
      <c r="J296" s="228"/>
      <c r="K296" s="282"/>
      <c r="L296" s="123"/>
      <c r="M296" s="76"/>
      <c r="N296" s="78"/>
    </row>
    <row r="297" spans="2:14" ht="13.5" thickTop="1" x14ac:dyDescent="0.2">
      <c r="B297" s="59"/>
      <c r="C297" s="130"/>
      <c r="D297" s="59"/>
      <c r="E297" s="59"/>
      <c r="F297" s="59"/>
      <c r="G297" s="59"/>
      <c r="H297" s="59"/>
      <c r="I297" s="144"/>
      <c r="J297" s="144"/>
      <c r="K297" s="144"/>
      <c r="L297" s="144"/>
      <c r="M297" s="144"/>
      <c r="N297" s="144"/>
    </row>
    <row r="298" spans="2:14" x14ac:dyDescent="0.2">
      <c r="B298" s="286" t="s">
        <v>492</v>
      </c>
      <c r="C298" s="130"/>
      <c r="D298" s="59"/>
      <c r="E298" s="59"/>
      <c r="F298" s="59"/>
      <c r="G298" s="59"/>
      <c r="H298" s="59"/>
      <c r="I298" s="131"/>
      <c r="J298" s="131"/>
      <c r="K298" s="131"/>
      <c r="L298" s="131"/>
      <c r="M298" s="131"/>
      <c r="N298" s="131"/>
    </row>
    <row r="299" spans="2:14" x14ac:dyDescent="0.2">
      <c r="B299" s="286" t="s">
        <v>493</v>
      </c>
      <c r="C299" s="130"/>
      <c r="D299" s="59"/>
      <c r="E299" s="59"/>
      <c r="F299" s="59"/>
      <c r="G299" s="59"/>
      <c r="H299" s="59"/>
      <c r="I299" s="131"/>
      <c r="J299" s="131"/>
      <c r="K299" s="131"/>
      <c r="L299" s="131"/>
      <c r="M299" s="131"/>
      <c r="N299" s="131"/>
    </row>
    <row r="300" spans="2:14" x14ac:dyDescent="0.2">
      <c r="B300" s="286" t="s">
        <v>494</v>
      </c>
      <c r="C300" s="130"/>
      <c r="D300" s="59"/>
      <c r="E300" s="59"/>
      <c r="F300" s="59"/>
      <c r="G300" s="59"/>
      <c r="H300" s="59"/>
      <c r="I300" s="131"/>
      <c r="J300" s="131"/>
      <c r="K300" s="131"/>
      <c r="L300" s="131"/>
      <c r="M300" s="131"/>
      <c r="N300" s="131"/>
    </row>
    <row r="301" spans="2:14" x14ac:dyDescent="0.2">
      <c r="B301" s="287" t="s">
        <v>495</v>
      </c>
      <c r="C301" s="130"/>
      <c r="D301" s="59"/>
      <c r="E301" s="59"/>
      <c r="F301" s="59"/>
      <c r="G301" s="59"/>
      <c r="H301" s="59"/>
      <c r="I301" s="131"/>
      <c r="J301" s="131"/>
      <c r="K301" s="131"/>
      <c r="L301" s="131"/>
      <c r="M301" s="131"/>
      <c r="N301" s="131"/>
    </row>
    <row r="302" spans="2:14" x14ac:dyDescent="0.2">
      <c r="B302" s="287" t="s">
        <v>496</v>
      </c>
      <c r="J302" s="59"/>
      <c r="K302" s="131"/>
      <c r="L302" s="131"/>
      <c r="M302" s="131"/>
      <c r="N302" s="131"/>
    </row>
    <row r="303" spans="2:14" x14ac:dyDescent="0.2">
      <c r="B303" s="287" t="s">
        <v>497</v>
      </c>
      <c r="J303" s="59"/>
      <c r="K303" s="131"/>
      <c r="L303" s="131"/>
      <c r="M303" s="131"/>
      <c r="N303" s="131"/>
    </row>
    <row r="304" spans="2:14" x14ac:dyDescent="0.2">
      <c r="B304" s="287" t="s">
        <v>498</v>
      </c>
      <c r="J304" s="59"/>
      <c r="K304" s="131"/>
      <c r="L304" s="131"/>
      <c r="M304" s="131"/>
      <c r="N304" s="131"/>
    </row>
    <row r="305" spans="2:14" x14ac:dyDescent="0.2">
      <c r="B305" s="287" t="s">
        <v>499</v>
      </c>
      <c r="J305" s="59"/>
      <c r="K305" s="131"/>
      <c r="L305" s="131"/>
      <c r="M305" s="131"/>
      <c r="N305" s="131"/>
    </row>
    <row r="306" spans="2:14" x14ac:dyDescent="0.2">
      <c r="B306" s="289" t="s">
        <v>500</v>
      </c>
      <c r="J306" s="59"/>
      <c r="K306" s="131"/>
      <c r="L306" s="131"/>
      <c r="M306" s="131"/>
      <c r="N306" s="131"/>
    </row>
    <row r="307" spans="2:14" x14ac:dyDescent="0.2">
      <c r="B307" s="290" t="s">
        <v>501</v>
      </c>
      <c r="J307" s="59"/>
      <c r="K307" s="131"/>
      <c r="L307" s="131"/>
      <c r="M307" s="131"/>
      <c r="N307" s="131"/>
    </row>
    <row r="308" spans="2:14" x14ac:dyDescent="0.2">
      <c r="B308" s="290" t="s">
        <v>502</v>
      </c>
      <c r="J308" s="59"/>
      <c r="K308" s="131"/>
      <c r="L308" s="131"/>
      <c r="M308" s="131"/>
      <c r="N308" s="131"/>
    </row>
    <row r="309" spans="2:14" x14ac:dyDescent="0.2">
      <c r="B309" s="290" t="s">
        <v>503</v>
      </c>
      <c r="J309" s="59"/>
      <c r="K309" s="131"/>
      <c r="L309" s="131"/>
      <c r="M309" s="131"/>
      <c r="N309" s="131"/>
    </row>
    <row r="310" spans="2:14" x14ac:dyDescent="0.2">
      <c r="B310" s="291" t="s">
        <v>185</v>
      </c>
      <c r="C310" s="29"/>
    </row>
    <row r="311" spans="2:14" x14ac:dyDescent="0.2">
      <c r="B311" s="290" t="s">
        <v>504</v>
      </c>
      <c r="C311" s="29"/>
      <c r="L311" s="144"/>
      <c r="M311" s="144"/>
      <c r="N311" s="144"/>
    </row>
    <row r="312" spans="2:14" x14ac:dyDescent="0.2">
      <c r="B312" s="290" t="s">
        <v>505</v>
      </c>
      <c r="C312" s="292"/>
      <c r="D312" s="292"/>
      <c r="E312" s="292"/>
      <c r="F312" s="291"/>
      <c r="G312" s="291"/>
      <c r="H312" s="291"/>
      <c r="I312" s="291"/>
      <c r="J312" s="291"/>
      <c r="K312" s="291"/>
      <c r="L312" s="291"/>
      <c r="M312" s="291"/>
      <c r="N312" s="293"/>
    </row>
    <row r="313" spans="2:14" x14ac:dyDescent="0.2">
      <c r="B313" s="290" t="s">
        <v>506</v>
      </c>
      <c r="C313" s="292"/>
      <c r="D313" s="292"/>
      <c r="E313" s="292"/>
      <c r="F313" s="291"/>
      <c r="G313" s="291"/>
      <c r="H313" s="291"/>
      <c r="I313" s="291"/>
      <c r="J313" s="291"/>
      <c r="K313" s="291"/>
      <c r="L313" s="291"/>
      <c r="M313" s="291"/>
      <c r="N313" s="293"/>
    </row>
    <row r="314" spans="2:14" x14ac:dyDescent="0.2">
      <c r="B314" s="290" t="s">
        <v>507</v>
      </c>
      <c r="C314" s="291"/>
      <c r="D314" s="291"/>
      <c r="E314" s="291"/>
      <c r="F314" s="291"/>
      <c r="G314" s="291"/>
      <c r="H314" s="291"/>
      <c r="I314" s="291"/>
      <c r="J314" s="291"/>
      <c r="K314" s="291"/>
      <c r="L314" s="291"/>
      <c r="M314" s="291"/>
      <c r="N314" s="293"/>
    </row>
    <row r="315" spans="2:14" hidden="1" x14ac:dyDescent="0.2">
      <c r="B315" s="291" t="s">
        <v>194</v>
      </c>
      <c r="C315" s="292"/>
      <c r="D315" s="292"/>
      <c r="E315" s="292"/>
      <c r="F315" s="291"/>
      <c r="G315" s="291"/>
      <c r="H315" s="291"/>
      <c r="I315" s="291"/>
      <c r="J315" s="291"/>
      <c r="K315" s="291"/>
      <c r="L315" s="291"/>
      <c r="M315" s="291"/>
      <c r="N315" s="293"/>
    </row>
    <row r="316" spans="2:14" hidden="1" x14ac:dyDescent="0.2">
      <c r="B316" s="291" t="s">
        <v>195</v>
      </c>
      <c r="C316" s="292"/>
      <c r="D316" s="292"/>
      <c r="E316" s="292"/>
      <c r="F316" s="291"/>
      <c r="G316" s="291"/>
      <c r="H316" s="291"/>
      <c r="I316" s="291"/>
      <c r="J316" s="291"/>
      <c r="K316" s="291"/>
      <c r="L316" s="291"/>
      <c r="M316" s="291"/>
      <c r="N316" s="293"/>
    </row>
    <row r="317" spans="2:14" hidden="1" x14ac:dyDescent="0.2">
      <c r="B317" s="291" t="s">
        <v>196</v>
      </c>
      <c r="C317" s="292"/>
      <c r="D317" s="292"/>
      <c r="E317" s="292"/>
      <c r="F317" s="291"/>
      <c r="G317" s="291"/>
      <c r="H317" s="291"/>
      <c r="I317" s="291"/>
      <c r="J317" s="291"/>
      <c r="K317" s="291"/>
      <c r="L317" s="291"/>
      <c r="M317" s="291"/>
      <c r="N317" s="293"/>
    </row>
    <row r="318" spans="2:14" hidden="1" x14ac:dyDescent="0.2">
      <c r="B318" s="291" t="s">
        <v>197</v>
      </c>
      <c r="C318" s="292"/>
      <c r="D318" s="292"/>
      <c r="E318" s="292"/>
      <c r="F318" s="291"/>
      <c r="G318" s="291"/>
      <c r="H318" s="291"/>
      <c r="I318" s="291"/>
      <c r="J318" s="291"/>
      <c r="K318" s="291"/>
      <c r="L318" s="291"/>
      <c r="M318" s="291"/>
      <c r="N318" s="293"/>
    </row>
    <row r="319" spans="2:14" hidden="1" x14ac:dyDescent="0.2">
      <c r="B319" s="291" t="s">
        <v>198</v>
      </c>
      <c r="C319" s="292"/>
      <c r="D319" s="292"/>
      <c r="E319" s="292"/>
      <c r="F319" s="291"/>
      <c r="G319" s="291"/>
      <c r="H319" s="291"/>
      <c r="I319" s="291"/>
      <c r="J319" s="291"/>
      <c r="K319" s="291"/>
      <c r="L319" s="291"/>
      <c r="M319" s="291"/>
      <c r="N319" s="293"/>
    </row>
    <row r="320" spans="2:14" x14ac:dyDescent="0.2">
      <c r="B320" s="290" t="s">
        <v>508</v>
      </c>
      <c r="C320" s="292"/>
      <c r="D320" s="292"/>
      <c r="E320" s="292"/>
      <c r="F320" s="291"/>
      <c r="G320" s="291"/>
      <c r="H320" s="291"/>
      <c r="I320" s="291"/>
      <c r="J320" s="291"/>
      <c r="K320" s="291"/>
      <c r="L320" s="291"/>
      <c r="M320" s="291"/>
      <c r="N320" s="293"/>
    </row>
    <row r="321" spans="2:14" hidden="1" x14ac:dyDescent="0.2">
      <c r="B321" s="291" t="s">
        <v>202</v>
      </c>
      <c r="C321" s="292"/>
      <c r="D321" s="292"/>
      <c r="E321" s="292"/>
      <c r="F321" s="291"/>
      <c r="G321" s="291"/>
      <c r="H321" s="291"/>
      <c r="I321" s="291"/>
      <c r="J321" s="291"/>
      <c r="K321" s="291"/>
      <c r="L321" s="291"/>
      <c r="M321" s="291"/>
      <c r="N321" s="293"/>
    </row>
    <row r="322" spans="2:14" hidden="1" x14ac:dyDescent="0.2">
      <c r="B322" s="291" t="s">
        <v>203</v>
      </c>
      <c r="C322" s="292"/>
      <c r="D322" s="292"/>
      <c r="E322" s="292"/>
      <c r="F322" s="291"/>
      <c r="G322" s="291"/>
      <c r="H322" s="291"/>
      <c r="I322" s="291"/>
      <c r="J322" s="291"/>
      <c r="K322" s="291"/>
      <c r="L322" s="291"/>
      <c r="M322" s="291"/>
      <c r="N322" s="293"/>
    </row>
    <row r="323" spans="2:14" hidden="1" x14ac:dyDescent="0.2">
      <c r="B323" s="291" t="s">
        <v>204</v>
      </c>
      <c r="C323" s="292"/>
      <c r="D323" s="292"/>
      <c r="E323" s="292"/>
      <c r="F323" s="291"/>
      <c r="G323" s="291"/>
      <c r="H323" s="291"/>
      <c r="I323" s="291"/>
      <c r="J323" s="291"/>
      <c r="K323" s="291"/>
      <c r="L323" s="291"/>
      <c r="M323" s="291"/>
      <c r="N323" s="293"/>
    </row>
    <row r="324" spans="2:14" hidden="1" x14ac:dyDescent="0.2">
      <c r="B324" s="291" t="s">
        <v>205</v>
      </c>
      <c r="C324" s="292"/>
      <c r="D324" s="292"/>
      <c r="E324" s="292"/>
      <c r="N324" s="146"/>
    </row>
    <row r="325" spans="2:14" hidden="1" x14ac:dyDescent="0.2">
      <c r="B325" s="291" t="s">
        <v>206</v>
      </c>
      <c r="C325" s="294"/>
      <c r="D325" s="292"/>
      <c r="E325" s="292"/>
    </row>
    <row r="326" spans="2:14" hidden="1" x14ac:dyDescent="0.2">
      <c r="B326" s="295" t="s">
        <v>207</v>
      </c>
      <c r="C326" s="292"/>
      <c r="D326" s="292"/>
      <c r="E326" s="292"/>
    </row>
    <row r="327" spans="2:14" hidden="1" x14ac:dyDescent="0.2">
      <c r="B327" s="295" t="s">
        <v>208</v>
      </c>
      <c r="C327" s="296"/>
      <c r="D327" s="292"/>
      <c r="E327" s="292"/>
    </row>
    <row r="328" spans="2:14" hidden="1" x14ac:dyDescent="0.2">
      <c r="B328" s="295" t="s">
        <v>221</v>
      </c>
      <c r="C328" s="296"/>
      <c r="D328" s="292"/>
      <c r="E328" s="292"/>
    </row>
    <row r="329" spans="2:14" ht="0.75" customHeight="1" x14ac:dyDescent="0.2">
      <c r="B329" s="295" t="s">
        <v>222</v>
      </c>
      <c r="C329" s="296"/>
      <c r="D329" s="292"/>
      <c r="E329" s="292"/>
    </row>
    <row r="330" spans="2:14" x14ac:dyDescent="0.2">
      <c r="B330" s="290" t="s">
        <v>215</v>
      </c>
      <c r="C330" s="296"/>
      <c r="E330" s="292"/>
    </row>
    <row r="331" spans="2:14" x14ac:dyDescent="0.2">
      <c r="B331" s="291" t="s">
        <v>214</v>
      </c>
      <c r="C331" s="29"/>
    </row>
    <row r="332" spans="2:14" x14ac:dyDescent="0.2">
      <c r="B332" s="290" t="s">
        <v>224</v>
      </c>
      <c r="C332" s="29"/>
    </row>
    <row r="333" spans="2:14" x14ac:dyDescent="0.2">
      <c r="B333" s="290" t="s">
        <v>225</v>
      </c>
      <c r="C333" s="29"/>
    </row>
    <row r="334" spans="2:14" x14ac:dyDescent="0.2">
      <c r="B334" s="297" t="s">
        <v>488</v>
      </c>
      <c r="C334" s="291"/>
    </row>
    <row r="335" spans="2:14" x14ac:dyDescent="0.2">
      <c r="B335" s="291" t="s">
        <v>486</v>
      </c>
      <c r="C335" s="291"/>
    </row>
    <row r="336" spans="2:14" x14ac:dyDescent="0.2">
      <c r="B336" s="297" t="s">
        <v>489</v>
      </c>
      <c r="C336" s="291"/>
    </row>
    <row r="337" spans="2:3" x14ac:dyDescent="0.2">
      <c r="B337" s="290" t="s">
        <v>490</v>
      </c>
      <c r="C337" s="291"/>
    </row>
    <row r="338" spans="2:3" hidden="1" x14ac:dyDescent="0.2">
      <c r="B338" s="291" t="s">
        <v>226</v>
      </c>
      <c r="C338" s="291"/>
    </row>
    <row r="339" spans="2:3" hidden="1" x14ac:dyDescent="0.2">
      <c r="B339" s="291" t="s">
        <v>227</v>
      </c>
      <c r="C339" s="291"/>
    </row>
    <row r="340" spans="2:3" hidden="1" x14ac:dyDescent="0.2">
      <c r="B340" s="291" t="s">
        <v>228</v>
      </c>
      <c r="C340" s="291"/>
    </row>
    <row r="341" spans="2:3" hidden="1" x14ac:dyDescent="0.2">
      <c r="B341" s="298"/>
      <c r="C341" s="291"/>
    </row>
    <row r="342" spans="2:3" x14ac:dyDescent="0.2">
      <c r="B342" s="290" t="s">
        <v>491</v>
      </c>
      <c r="C342" s="291"/>
    </row>
    <row r="343" spans="2:3" hidden="1" x14ac:dyDescent="0.2">
      <c r="B343" s="291" t="s">
        <v>239</v>
      </c>
      <c r="C343" s="29"/>
    </row>
    <row r="344" spans="2:3" hidden="1" x14ac:dyDescent="0.2">
      <c r="B344" s="291" t="s">
        <v>240</v>
      </c>
      <c r="C344" s="29"/>
    </row>
    <row r="345" spans="2:3" hidden="1" x14ac:dyDescent="0.2">
      <c r="B345" s="291" t="s">
        <v>241</v>
      </c>
      <c r="C345" s="29"/>
    </row>
    <row r="346" spans="2:3" hidden="1" x14ac:dyDescent="0.2">
      <c r="B346" s="291" t="s">
        <v>242</v>
      </c>
      <c r="C346" s="29"/>
    </row>
    <row r="347" spans="2:3" hidden="1" x14ac:dyDescent="0.2">
      <c r="B347" s="291" t="s">
        <v>243</v>
      </c>
      <c r="C347" s="29"/>
    </row>
    <row r="348" spans="2:3" hidden="1" x14ac:dyDescent="0.2">
      <c r="B348" s="291" t="s">
        <v>244</v>
      </c>
      <c r="C348" s="29"/>
    </row>
    <row r="349" spans="2:3" hidden="1" x14ac:dyDescent="0.2">
      <c r="B349" s="291" t="s">
        <v>245</v>
      </c>
      <c r="C349" s="29"/>
    </row>
    <row r="350" spans="2:3" hidden="1" x14ac:dyDescent="0.2">
      <c r="B350" s="291" t="s">
        <v>246</v>
      </c>
      <c r="C350" s="29"/>
    </row>
    <row r="351" spans="2:3" hidden="1" x14ac:dyDescent="0.2">
      <c r="B351" s="291" t="s">
        <v>247</v>
      </c>
      <c r="C351" s="29"/>
    </row>
    <row r="352" spans="2:3" hidden="1" x14ac:dyDescent="0.2">
      <c r="B352" s="291" t="s">
        <v>248</v>
      </c>
      <c r="C352" s="29"/>
    </row>
    <row r="353" spans="2:10" hidden="1" x14ac:dyDescent="0.2">
      <c r="B353" s="291" t="s">
        <v>249</v>
      </c>
      <c r="C353" s="29"/>
    </row>
    <row r="354" spans="2:10" hidden="1" x14ac:dyDescent="0.2">
      <c r="B354" s="291" t="s">
        <v>250</v>
      </c>
      <c r="C354" s="29"/>
    </row>
    <row r="355" spans="2:10" hidden="1" x14ac:dyDescent="0.2">
      <c r="B355" s="291" t="s">
        <v>251</v>
      </c>
      <c r="C355" s="29"/>
    </row>
    <row r="356" spans="2:10" hidden="1" x14ac:dyDescent="0.2">
      <c r="B356" s="291" t="s">
        <v>252</v>
      </c>
      <c r="C356" s="29"/>
    </row>
    <row r="357" spans="2:10" hidden="1" x14ac:dyDescent="0.2">
      <c r="B357" s="291" t="s">
        <v>253</v>
      </c>
      <c r="C357" s="29"/>
    </row>
    <row r="358" spans="2:10" hidden="1" x14ac:dyDescent="0.2">
      <c r="B358" s="291" t="s">
        <v>254</v>
      </c>
      <c r="C358" s="29"/>
    </row>
    <row r="359" spans="2:10" hidden="1" x14ac:dyDescent="0.2">
      <c r="B359" s="291" t="s">
        <v>255</v>
      </c>
    </row>
    <row r="360" spans="2:10" hidden="1" x14ac:dyDescent="0.2">
      <c r="B360" s="291" t="s">
        <v>256</v>
      </c>
    </row>
    <row r="361" spans="2:10" hidden="1" x14ac:dyDescent="0.2">
      <c r="B361" s="291" t="s">
        <v>257</v>
      </c>
    </row>
    <row r="362" spans="2:10" hidden="1" x14ac:dyDescent="0.2">
      <c r="B362" s="291" t="s">
        <v>258</v>
      </c>
    </row>
    <row r="363" spans="2:10" hidden="1" x14ac:dyDescent="0.2">
      <c r="B363" s="291" t="s">
        <v>259</v>
      </c>
    </row>
    <row r="364" spans="2:10" hidden="1" x14ac:dyDescent="0.2">
      <c r="B364" s="291" t="s">
        <v>260</v>
      </c>
    </row>
    <row r="365" spans="2:10" hidden="1" x14ac:dyDescent="0.2">
      <c r="B365" s="291" t="s">
        <v>261</v>
      </c>
    </row>
    <row r="366" spans="2:10" hidden="1" x14ac:dyDescent="0.2">
      <c r="B366" s="291" t="s">
        <v>262</v>
      </c>
    </row>
    <row r="367" spans="2:10" hidden="1" x14ac:dyDescent="0.2">
      <c r="B367" s="291" t="s">
        <v>263</v>
      </c>
      <c r="J367" s="59"/>
    </row>
    <row r="368" spans="2:10" hidden="1" x14ac:dyDescent="0.2">
      <c r="B368" s="291" t="s">
        <v>264</v>
      </c>
      <c r="J368" s="59"/>
    </row>
    <row r="369" spans="2:14" hidden="1" x14ac:dyDescent="0.2">
      <c r="B369" s="291" t="s">
        <v>265</v>
      </c>
      <c r="J369" s="59"/>
    </row>
    <row r="370" spans="2:14" hidden="1" x14ac:dyDescent="0.2">
      <c r="B370" s="291" t="s">
        <v>266</v>
      </c>
      <c r="J370" s="59"/>
    </row>
    <row r="371" spans="2:14" hidden="1" x14ac:dyDescent="0.2">
      <c r="B371" s="291" t="s">
        <v>267</v>
      </c>
      <c r="J371" s="59"/>
    </row>
    <row r="372" spans="2:14" hidden="1" x14ac:dyDescent="0.2">
      <c r="B372" s="291" t="s">
        <v>268</v>
      </c>
      <c r="J372" s="59"/>
    </row>
    <row r="373" spans="2:14" hidden="1" x14ac:dyDescent="0.2">
      <c r="B373" s="291" t="s">
        <v>269</v>
      </c>
      <c r="J373" s="59"/>
    </row>
    <row r="374" spans="2:14" hidden="1" x14ac:dyDescent="0.2">
      <c r="B374" s="291" t="s">
        <v>270</v>
      </c>
      <c r="J374" s="59"/>
    </row>
    <row r="375" spans="2:14" hidden="1" x14ac:dyDescent="0.2">
      <c r="B375" s="127"/>
      <c r="J375" s="59"/>
    </row>
    <row r="376" spans="2:14" x14ac:dyDescent="0.2">
      <c r="B376" s="127" t="s">
        <v>272</v>
      </c>
      <c r="J376" s="59"/>
    </row>
    <row r="377" spans="2:14" x14ac:dyDescent="0.2">
      <c r="B377" s="127" t="s">
        <v>288</v>
      </c>
      <c r="J377" s="59"/>
    </row>
    <row r="378" spans="2:14" x14ac:dyDescent="0.2">
      <c r="B378" s="290" t="s">
        <v>299</v>
      </c>
      <c r="J378" s="59"/>
    </row>
    <row r="379" spans="2:14" x14ac:dyDescent="0.2">
      <c r="B379" s="287" t="s">
        <v>300</v>
      </c>
      <c r="J379" s="59"/>
    </row>
    <row r="380" spans="2:14" x14ac:dyDescent="0.2">
      <c r="B380" s="290" t="s">
        <v>307</v>
      </c>
      <c r="J380" s="59"/>
    </row>
    <row r="381" spans="2:14" x14ac:dyDescent="0.2">
      <c r="B381" s="287" t="s">
        <v>308</v>
      </c>
      <c r="J381" s="59"/>
    </row>
    <row r="382" spans="2:14" x14ac:dyDescent="0.2">
      <c r="B382" s="287" t="s">
        <v>309</v>
      </c>
      <c r="J382" s="59"/>
    </row>
    <row r="383" spans="2:14" x14ac:dyDescent="0.2">
      <c r="B383" s="287" t="s">
        <v>310</v>
      </c>
      <c r="J383" s="59"/>
    </row>
    <row r="384" spans="2:14" x14ac:dyDescent="0.2">
      <c r="B384" s="290" t="s">
        <v>315</v>
      </c>
      <c r="C384" s="29"/>
      <c r="N384" s="146"/>
    </row>
    <row r="385" spans="2:17" x14ac:dyDescent="0.2">
      <c r="B385" s="287" t="s">
        <v>314</v>
      </c>
      <c r="C385" s="29"/>
      <c r="N385" s="146"/>
    </row>
    <row r="386" spans="2:17" x14ac:dyDescent="0.2">
      <c r="B386" s="287" t="s">
        <v>319</v>
      </c>
      <c r="C386" s="29"/>
      <c r="N386" s="146"/>
    </row>
    <row r="387" spans="2:17" x14ac:dyDescent="0.2">
      <c r="B387" s="298" t="s">
        <v>462</v>
      </c>
      <c r="C387" s="29"/>
      <c r="N387" s="146"/>
    </row>
    <row r="388" spans="2:17" x14ac:dyDescent="0.2">
      <c r="B388" s="298" t="s">
        <v>463</v>
      </c>
      <c r="C388" s="29"/>
      <c r="N388" s="146"/>
    </row>
    <row r="389" spans="2:17" x14ac:dyDescent="0.2">
      <c r="B389" s="298" t="s">
        <v>464</v>
      </c>
      <c r="C389" s="29"/>
      <c r="N389" s="146"/>
    </row>
    <row r="390" spans="2:17" x14ac:dyDescent="0.2">
      <c r="B390" s="298" t="s">
        <v>465</v>
      </c>
      <c r="C390" s="29"/>
      <c r="N390" s="146"/>
    </row>
    <row r="391" spans="2:17" x14ac:dyDescent="0.2">
      <c r="B391" s="298" t="s">
        <v>341</v>
      </c>
      <c r="C391" s="29"/>
      <c r="N391" s="146"/>
    </row>
    <row r="392" spans="2:17" x14ac:dyDescent="0.2">
      <c r="B392" s="298" t="s">
        <v>466</v>
      </c>
      <c r="C392" s="29"/>
      <c r="N392" s="146"/>
    </row>
    <row r="393" spans="2:17" x14ac:dyDescent="0.2">
      <c r="B393" s="298" t="s">
        <v>347</v>
      </c>
      <c r="C393" s="29"/>
      <c r="N393" s="146"/>
    </row>
    <row r="394" spans="2:17" x14ac:dyDescent="0.2">
      <c r="B394" s="303" t="s">
        <v>467</v>
      </c>
      <c r="C394" s="304"/>
      <c r="D394" s="304"/>
      <c r="E394" s="304"/>
      <c r="F394" s="304"/>
      <c r="G394" s="304"/>
      <c r="H394" s="304"/>
      <c r="I394" s="304"/>
      <c r="J394" s="304"/>
      <c r="K394" s="304"/>
      <c r="L394" s="304"/>
      <c r="M394" s="304"/>
      <c r="N394" s="304"/>
      <c r="O394" s="304"/>
      <c r="P394" s="306"/>
      <c r="Q394" s="306"/>
    </row>
    <row r="395" spans="2:17" ht="24" customHeight="1" x14ac:dyDescent="0.2">
      <c r="B395" s="310" t="s">
        <v>468</v>
      </c>
      <c r="C395" s="310"/>
      <c r="D395" s="310"/>
      <c r="E395" s="310"/>
      <c r="F395" s="310"/>
      <c r="G395" s="310"/>
      <c r="H395" s="310"/>
      <c r="I395" s="310"/>
      <c r="J395" s="310"/>
      <c r="K395" s="310"/>
      <c r="L395" s="310"/>
      <c r="M395" s="310"/>
      <c r="N395" s="310"/>
      <c r="O395" s="298"/>
      <c r="P395" s="298"/>
      <c r="Q395" s="298"/>
    </row>
    <row r="396" spans="2:17" x14ac:dyDescent="0.2">
      <c r="B396" s="299" t="s">
        <v>487</v>
      </c>
      <c r="C396" s="291"/>
      <c r="D396" s="291"/>
      <c r="E396" s="291"/>
      <c r="F396" s="291"/>
      <c r="G396" s="291"/>
      <c r="H396" s="291"/>
      <c r="I396" s="291"/>
      <c r="J396" s="291"/>
      <c r="K396" s="291"/>
      <c r="L396" s="300"/>
      <c r="M396" s="300"/>
      <c r="N396" s="291"/>
      <c r="O396" s="301"/>
      <c r="P396" s="291"/>
      <c r="Q396" s="291"/>
    </row>
    <row r="397" spans="2:17" x14ac:dyDescent="0.2">
      <c r="B397" s="299" t="s">
        <v>469</v>
      </c>
      <c r="C397" s="291"/>
      <c r="D397" s="291"/>
      <c r="E397" s="291"/>
      <c r="F397" s="291"/>
      <c r="G397" s="291"/>
      <c r="H397" s="291"/>
      <c r="I397" s="291"/>
      <c r="J397" s="291"/>
      <c r="K397" s="291"/>
      <c r="L397" s="291"/>
      <c r="M397" s="291"/>
      <c r="N397" s="291"/>
      <c r="O397" s="291"/>
      <c r="P397" s="291"/>
      <c r="Q397" s="291"/>
    </row>
    <row r="398" spans="2:17" ht="12.75" customHeight="1" x14ac:dyDescent="0.2">
      <c r="B398" s="303" t="s">
        <v>388</v>
      </c>
      <c r="C398" s="304"/>
      <c r="D398" s="304"/>
      <c r="E398" s="304"/>
      <c r="F398" s="304"/>
      <c r="G398" s="304"/>
      <c r="H398" s="304"/>
      <c r="I398" s="304"/>
      <c r="J398" s="304"/>
      <c r="K398" s="304"/>
      <c r="L398" s="304"/>
      <c r="M398" s="304"/>
      <c r="N398" s="304"/>
      <c r="O398" s="304"/>
      <c r="P398" s="306"/>
      <c r="Q398" s="306"/>
    </row>
    <row r="399" spans="2:17" x14ac:dyDescent="0.2">
      <c r="B399" s="303" t="s">
        <v>470</v>
      </c>
      <c r="C399" s="304"/>
      <c r="D399" s="304"/>
      <c r="E399" s="304"/>
      <c r="F399" s="304"/>
      <c r="G399" s="304"/>
      <c r="H399" s="304"/>
      <c r="I399" s="304"/>
      <c r="J399" s="304"/>
      <c r="K399" s="304"/>
      <c r="L399" s="304"/>
      <c r="M399" s="304"/>
      <c r="N399" s="304"/>
      <c r="O399" s="304"/>
      <c r="P399" s="306"/>
      <c r="Q399" s="306"/>
    </row>
    <row r="400" spans="2:17" x14ac:dyDescent="0.2">
      <c r="B400" s="303" t="s">
        <v>471</v>
      </c>
      <c r="C400" s="304"/>
      <c r="D400" s="304"/>
      <c r="E400" s="304"/>
      <c r="F400" s="304"/>
      <c r="G400" s="304"/>
      <c r="H400" s="304"/>
      <c r="I400" s="304"/>
      <c r="J400" s="304"/>
      <c r="K400" s="304"/>
      <c r="L400" s="304"/>
      <c r="M400" s="304"/>
      <c r="N400" s="304"/>
      <c r="O400" s="304"/>
      <c r="P400" s="306"/>
      <c r="Q400" s="306"/>
    </row>
    <row r="401" spans="2:18" x14ac:dyDescent="0.2">
      <c r="B401" s="303" t="s">
        <v>472</v>
      </c>
      <c r="C401" s="304"/>
      <c r="D401" s="304"/>
      <c r="E401" s="304"/>
      <c r="F401" s="304"/>
      <c r="G401" s="304"/>
      <c r="H401" s="304"/>
      <c r="I401" s="304"/>
      <c r="J401" s="304"/>
      <c r="K401" s="304"/>
      <c r="L401" s="304"/>
      <c r="M401" s="304"/>
      <c r="N401" s="304"/>
      <c r="O401" s="304"/>
      <c r="P401" s="306"/>
      <c r="Q401" s="306"/>
    </row>
    <row r="402" spans="2:18" ht="37.5" customHeight="1" x14ac:dyDescent="0.2">
      <c r="B402" s="308" t="s">
        <v>455</v>
      </c>
      <c r="C402" s="309"/>
      <c r="D402" s="309"/>
      <c r="E402" s="309"/>
      <c r="F402" s="309"/>
      <c r="G402" s="309"/>
      <c r="H402" s="309"/>
      <c r="I402" s="309"/>
      <c r="J402" s="309"/>
      <c r="K402" s="309"/>
      <c r="L402" s="309"/>
      <c r="M402" s="309"/>
      <c r="N402" s="309"/>
    </row>
    <row r="403" spans="2:18" x14ac:dyDescent="0.2">
      <c r="B403" s="290" t="s">
        <v>408</v>
      </c>
      <c r="J403" s="59"/>
    </row>
    <row r="404" spans="2:18" x14ac:dyDescent="0.2">
      <c r="B404" s="302" t="s">
        <v>410</v>
      </c>
      <c r="J404" s="59"/>
    </row>
    <row r="405" spans="2:18" x14ac:dyDescent="0.2">
      <c r="B405" s="302" t="s">
        <v>411</v>
      </c>
      <c r="J405" s="59"/>
    </row>
    <row r="406" spans="2:18" x14ac:dyDescent="0.2">
      <c r="B406" s="302" t="s">
        <v>456</v>
      </c>
      <c r="J406" s="59"/>
    </row>
    <row r="407" spans="2:18" x14ac:dyDescent="0.2">
      <c r="B407" s="302" t="s">
        <v>460</v>
      </c>
      <c r="J407" s="59"/>
    </row>
    <row r="408" spans="2:18" x14ac:dyDescent="0.2">
      <c r="B408" s="291" t="s">
        <v>459</v>
      </c>
      <c r="J408" s="59"/>
    </row>
    <row r="409" spans="2:18" x14ac:dyDescent="0.2">
      <c r="B409" s="303" t="s">
        <v>473</v>
      </c>
      <c r="C409" s="304"/>
      <c r="D409" s="304"/>
      <c r="E409" s="304"/>
      <c r="F409" s="304"/>
      <c r="G409" s="304"/>
      <c r="H409" s="304"/>
      <c r="I409" s="304"/>
      <c r="J409" s="304"/>
      <c r="K409" s="304"/>
      <c r="L409" s="304"/>
      <c r="M409" s="304"/>
      <c r="N409" s="304"/>
      <c r="O409" s="304"/>
      <c r="P409" s="304"/>
      <c r="Q409" s="304"/>
      <c r="R409" s="304"/>
    </row>
    <row r="410" spans="2:18" x14ac:dyDescent="0.2">
      <c r="B410" s="303" t="s">
        <v>483</v>
      </c>
      <c r="C410" s="304"/>
      <c r="D410" s="304"/>
      <c r="E410" s="304"/>
      <c r="F410" s="304"/>
      <c r="G410" s="304"/>
      <c r="H410" s="304"/>
      <c r="I410" s="304"/>
      <c r="J410" s="304"/>
      <c r="K410" s="304"/>
      <c r="L410" s="304"/>
      <c r="M410" s="304"/>
      <c r="N410" s="304"/>
      <c r="O410" s="304"/>
      <c r="P410" s="304"/>
      <c r="Q410" s="304"/>
      <c r="R410" s="304"/>
    </row>
    <row r="411" spans="2:18" ht="37.5" customHeight="1" x14ac:dyDescent="0.2">
      <c r="B411" s="305" t="s">
        <v>484</v>
      </c>
      <c r="C411" s="306"/>
      <c r="D411" s="306"/>
      <c r="E411" s="306"/>
      <c r="F411" s="306"/>
      <c r="G411" s="306"/>
      <c r="H411" s="306"/>
      <c r="I411" s="306"/>
      <c r="J411" s="306"/>
      <c r="K411" s="306"/>
      <c r="L411" s="306"/>
      <c r="M411" s="306"/>
      <c r="N411" s="306"/>
    </row>
    <row r="412" spans="2:18" x14ac:dyDescent="0.2">
      <c r="B412" s="303" t="s">
        <v>485</v>
      </c>
      <c r="C412" s="304"/>
      <c r="D412" s="304"/>
      <c r="E412" s="304"/>
      <c r="F412" s="304"/>
      <c r="G412" s="304"/>
      <c r="H412" s="304"/>
      <c r="I412" s="304"/>
      <c r="J412" s="304"/>
      <c r="K412" s="304"/>
      <c r="L412" s="304"/>
      <c r="M412" s="304"/>
      <c r="N412" s="304"/>
      <c r="O412" s="304"/>
      <c r="P412" s="304"/>
      <c r="Q412" s="304"/>
      <c r="R412" s="304"/>
    </row>
    <row r="413" spans="2:18" x14ac:dyDescent="0.2">
      <c r="B413" s="303" t="s">
        <v>533</v>
      </c>
      <c r="C413" s="304"/>
      <c r="D413" s="304"/>
      <c r="E413" s="304"/>
      <c r="F413" s="304"/>
      <c r="G413" s="304"/>
      <c r="H413" s="304"/>
      <c r="I413" s="304"/>
      <c r="J413" s="304"/>
      <c r="K413" s="304"/>
      <c r="L413" s="304"/>
      <c r="M413" s="304"/>
      <c r="N413" s="304"/>
      <c r="O413" s="304"/>
      <c r="P413" s="304"/>
      <c r="Q413" s="304"/>
    </row>
    <row r="414" spans="2:18" x14ac:dyDescent="0.2">
      <c r="B414" s="303" t="s">
        <v>535</v>
      </c>
      <c r="C414" s="304"/>
      <c r="D414" s="304"/>
      <c r="E414" s="304"/>
      <c r="F414" s="304"/>
      <c r="G414" s="304"/>
      <c r="H414" s="304"/>
      <c r="I414" s="304"/>
      <c r="J414" s="304"/>
      <c r="K414" s="304"/>
      <c r="L414" s="304"/>
      <c r="M414" s="304"/>
      <c r="N414" s="304"/>
      <c r="O414" s="304"/>
      <c r="P414" s="304"/>
      <c r="Q414" s="304"/>
    </row>
    <row r="415" spans="2:18" x14ac:dyDescent="0.2">
      <c r="B415" s="303" t="s">
        <v>536</v>
      </c>
      <c r="C415" s="304"/>
      <c r="D415" s="304"/>
      <c r="E415" s="304"/>
      <c r="F415" s="304"/>
      <c r="G415" s="304"/>
      <c r="H415" s="304"/>
      <c r="I415" s="304"/>
      <c r="J415" s="304"/>
      <c r="K415" s="304"/>
      <c r="L415" s="304"/>
      <c r="M415" s="304"/>
      <c r="N415" s="304"/>
      <c r="O415" s="304"/>
      <c r="P415" s="304"/>
      <c r="Q415" s="304"/>
    </row>
    <row r="416" spans="2:18" x14ac:dyDescent="0.2">
      <c r="B416" s="303" t="s">
        <v>537</v>
      </c>
      <c r="C416" s="304"/>
      <c r="D416" s="304"/>
      <c r="E416" s="304"/>
      <c r="F416" s="304"/>
      <c r="G416" s="304"/>
      <c r="H416" s="304"/>
      <c r="I416" s="304"/>
      <c r="J416" s="304"/>
      <c r="K416" s="304"/>
      <c r="L416" s="304"/>
      <c r="M416" s="304"/>
      <c r="N416" s="304"/>
      <c r="O416" s="304"/>
      <c r="P416" s="304"/>
      <c r="Q416" s="304"/>
    </row>
    <row r="417" spans="2:17" x14ac:dyDescent="0.2">
      <c r="B417" s="308" t="s">
        <v>542</v>
      </c>
      <c r="C417" s="309"/>
      <c r="D417" s="309"/>
      <c r="E417" s="309"/>
      <c r="F417" s="309"/>
      <c r="G417" s="309"/>
      <c r="H417" s="309"/>
      <c r="I417" s="309"/>
      <c r="J417" s="309"/>
      <c r="K417" s="309"/>
      <c r="L417" s="309"/>
      <c r="M417" s="309"/>
      <c r="N417" s="309"/>
      <c r="O417" s="309"/>
      <c r="P417" s="309"/>
      <c r="Q417" s="309"/>
    </row>
    <row r="418" spans="2:17" x14ac:dyDescent="0.2">
      <c r="J418" s="59"/>
    </row>
    <row r="419" spans="2:17" x14ac:dyDescent="0.2">
      <c r="J419" s="59"/>
    </row>
    <row r="420" spans="2:17" x14ac:dyDescent="0.2">
      <c r="J420" s="59"/>
    </row>
    <row r="421" spans="2:17" x14ac:dyDescent="0.2">
      <c r="J421" s="59"/>
    </row>
    <row r="422" spans="2:17" x14ac:dyDescent="0.2">
      <c r="J422" s="59"/>
    </row>
    <row r="423" spans="2:17" x14ac:dyDescent="0.2">
      <c r="J423" s="59"/>
    </row>
    <row r="424" spans="2:17" x14ac:dyDescent="0.2">
      <c r="J424" s="59"/>
    </row>
    <row r="425" spans="2:17" x14ac:dyDescent="0.2">
      <c r="J425" s="59"/>
    </row>
    <row r="426" spans="2:17" x14ac:dyDescent="0.2">
      <c r="J426" s="59"/>
    </row>
    <row r="427" spans="2:17" x14ac:dyDescent="0.2">
      <c r="J427" s="59"/>
    </row>
    <row r="428" spans="2:17" x14ac:dyDescent="0.2">
      <c r="J428" s="59"/>
    </row>
    <row r="429" spans="2:17" x14ac:dyDescent="0.2">
      <c r="J429" s="59"/>
    </row>
    <row r="430" spans="2:17" x14ac:dyDescent="0.2">
      <c r="J430" s="59"/>
    </row>
    <row r="431" spans="2:17" x14ac:dyDescent="0.2">
      <c r="J431" s="59"/>
    </row>
    <row r="432" spans="2:17" x14ac:dyDescent="0.2">
      <c r="J432" s="59"/>
    </row>
    <row r="433" spans="10:10" x14ac:dyDescent="0.2">
      <c r="J433" s="59"/>
    </row>
    <row r="434" spans="10:10" x14ac:dyDescent="0.2">
      <c r="J434" s="59"/>
    </row>
    <row r="435" spans="10:10" x14ac:dyDescent="0.2">
      <c r="J435" s="59"/>
    </row>
    <row r="436" spans="10:10" x14ac:dyDescent="0.2">
      <c r="J436" s="59"/>
    </row>
    <row r="437" spans="10:10" x14ac:dyDescent="0.2">
      <c r="J437" s="59"/>
    </row>
    <row r="438" spans="10:10" x14ac:dyDescent="0.2">
      <c r="J438" s="59"/>
    </row>
    <row r="439" spans="10:10" x14ac:dyDescent="0.2">
      <c r="J439" s="59"/>
    </row>
    <row r="440" spans="10:10" x14ac:dyDescent="0.2">
      <c r="J440" s="59"/>
    </row>
    <row r="441" spans="10:10" x14ac:dyDescent="0.2">
      <c r="J441" s="59"/>
    </row>
    <row r="442" spans="10:10" x14ac:dyDescent="0.2">
      <c r="J442" s="59"/>
    </row>
    <row r="443" spans="10:10" x14ac:dyDescent="0.2">
      <c r="J443" s="59"/>
    </row>
    <row r="444" spans="10:10" x14ac:dyDescent="0.2">
      <c r="J444" s="59"/>
    </row>
    <row r="445" spans="10:10" x14ac:dyDescent="0.2">
      <c r="J445" s="59"/>
    </row>
    <row r="446" spans="10:10" x14ac:dyDescent="0.2">
      <c r="J446" s="59"/>
    </row>
    <row r="447" spans="10:10" x14ac:dyDescent="0.2">
      <c r="J447" s="59"/>
    </row>
    <row r="448" spans="10:10" x14ac:dyDescent="0.2">
      <c r="J448" s="59"/>
    </row>
    <row r="449" spans="10:10" x14ac:dyDescent="0.2">
      <c r="J449" s="59"/>
    </row>
    <row r="450" spans="10:10" x14ac:dyDescent="0.2">
      <c r="J450" s="59"/>
    </row>
    <row r="451" spans="10:10" x14ac:dyDescent="0.2">
      <c r="J451" s="59"/>
    </row>
    <row r="452" spans="10:10" x14ac:dyDescent="0.2">
      <c r="J452" s="59"/>
    </row>
    <row r="453" spans="10:10" x14ac:dyDescent="0.2">
      <c r="J453" s="59"/>
    </row>
    <row r="454" spans="10:10" x14ac:dyDescent="0.2">
      <c r="J454" s="59"/>
    </row>
    <row r="455" spans="10:10" x14ac:dyDescent="0.2">
      <c r="J455" s="59"/>
    </row>
    <row r="456" spans="10:10" x14ac:dyDescent="0.2">
      <c r="J456" s="59"/>
    </row>
    <row r="457" spans="10:10" x14ac:dyDescent="0.2">
      <c r="J457" s="59"/>
    </row>
    <row r="458" spans="10:10" x14ac:dyDescent="0.2">
      <c r="J458" s="59"/>
    </row>
    <row r="459" spans="10:10" x14ac:dyDescent="0.2">
      <c r="J459" s="59"/>
    </row>
    <row r="460" spans="10:10" x14ac:dyDescent="0.2">
      <c r="J460" s="59"/>
    </row>
    <row r="461" spans="10:10" x14ac:dyDescent="0.2">
      <c r="J461" s="59"/>
    </row>
    <row r="462" spans="10:10" x14ac:dyDescent="0.2">
      <c r="J462" s="59"/>
    </row>
    <row r="463" spans="10:10" x14ac:dyDescent="0.2">
      <c r="J463" s="59"/>
    </row>
    <row r="464" spans="10:10" x14ac:dyDescent="0.2">
      <c r="J464" s="59"/>
    </row>
    <row r="465" spans="10:10" x14ac:dyDescent="0.2">
      <c r="J465" s="59"/>
    </row>
    <row r="466" spans="10:10" x14ac:dyDescent="0.2">
      <c r="J466" s="59"/>
    </row>
    <row r="467" spans="10:10" x14ac:dyDescent="0.2">
      <c r="J467" s="59"/>
    </row>
    <row r="468" spans="10:10" x14ac:dyDescent="0.2">
      <c r="J468" s="59"/>
    </row>
    <row r="469" spans="10:10" x14ac:dyDescent="0.2">
      <c r="J469" s="59"/>
    </row>
    <row r="470" spans="10:10" x14ac:dyDescent="0.2">
      <c r="J470" s="59"/>
    </row>
    <row r="471" spans="10:10" x14ac:dyDescent="0.2">
      <c r="J471" s="59"/>
    </row>
    <row r="472" spans="10:10" x14ac:dyDescent="0.2">
      <c r="J472" s="59"/>
    </row>
    <row r="473" spans="10:10" x14ac:dyDescent="0.2">
      <c r="J473" s="59"/>
    </row>
    <row r="474" spans="10:10" x14ac:dyDescent="0.2">
      <c r="J474" s="59"/>
    </row>
    <row r="475" spans="10:10" x14ac:dyDescent="0.2">
      <c r="J475" s="59"/>
    </row>
    <row r="476" spans="10:10" x14ac:dyDescent="0.2">
      <c r="J476" s="59"/>
    </row>
    <row r="477" spans="10:10" x14ac:dyDescent="0.2">
      <c r="J477" s="59"/>
    </row>
    <row r="478" spans="10:10" x14ac:dyDescent="0.2">
      <c r="J478" s="59"/>
    </row>
    <row r="479" spans="10:10" x14ac:dyDescent="0.2">
      <c r="J479" s="59"/>
    </row>
    <row r="480" spans="10:10" x14ac:dyDescent="0.2">
      <c r="J480" s="59"/>
    </row>
    <row r="481" spans="10:10" x14ac:dyDescent="0.2">
      <c r="J481" s="59"/>
    </row>
    <row r="482" spans="10:10" x14ac:dyDescent="0.2">
      <c r="J482" s="59"/>
    </row>
    <row r="483" spans="10:10" x14ac:dyDescent="0.2">
      <c r="J483" s="59"/>
    </row>
    <row r="484" spans="10:10" x14ac:dyDescent="0.2">
      <c r="J484" s="59"/>
    </row>
    <row r="485" spans="10:10" x14ac:dyDescent="0.2">
      <c r="J485" s="59"/>
    </row>
    <row r="486" spans="10:10" x14ac:dyDescent="0.2">
      <c r="J486" s="59"/>
    </row>
    <row r="487" spans="10:10" x14ac:dyDescent="0.2">
      <c r="J487" s="59"/>
    </row>
    <row r="488" spans="10:10" x14ac:dyDescent="0.2">
      <c r="J488" s="59"/>
    </row>
    <row r="489" spans="10:10" x14ac:dyDescent="0.2">
      <c r="J489" s="59"/>
    </row>
    <row r="490" spans="10:10" x14ac:dyDescent="0.2">
      <c r="J490" s="59"/>
    </row>
    <row r="491" spans="10:10" x14ac:dyDescent="0.2">
      <c r="J491" s="59"/>
    </row>
    <row r="492" spans="10:10" x14ac:dyDescent="0.2">
      <c r="J492" s="59"/>
    </row>
    <row r="493" spans="10:10" x14ac:dyDescent="0.2">
      <c r="J493" s="59"/>
    </row>
    <row r="494" spans="10:10" x14ac:dyDescent="0.2">
      <c r="J494" s="59"/>
    </row>
    <row r="495" spans="10:10" x14ac:dyDescent="0.2">
      <c r="J495" s="59"/>
    </row>
    <row r="496" spans="10:10" x14ac:dyDescent="0.2">
      <c r="J496" s="59"/>
    </row>
    <row r="497" spans="10:10" x14ac:dyDescent="0.2">
      <c r="J497" s="59"/>
    </row>
    <row r="498" spans="10:10" x14ac:dyDescent="0.2">
      <c r="J498" s="59"/>
    </row>
    <row r="499" spans="10:10" x14ac:dyDescent="0.2">
      <c r="J499" s="59"/>
    </row>
    <row r="500" spans="10:10" x14ac:dyDescent="0.2">
      <c r="J500" s="59"/>
    </row>
    <row r="501" spans="10:10" x14ac:dyDescent="0.2">
      <c r="J501" s="59"/>
    </row>
    <row r="502" spans="10:10" x14ac:dyDescent="0.2">
      <c r="J502" s="59"/>
    </row>
    <row r="503" spans="10:10" x14ac:dyDescent="0.2">
      <c r="J503" s="59"/>
    </row>
    <row r="504" spans="10:10" x14ac:dyDescent="0.2">
      <c r="J504" s="59"/>
    </row>
    <row r="505" spans="10:10" x14ac:dyDescent="0.2">
      <c r="J505" s="59"/>
    </row>
    <row r="506" spans="10:10" x14ac:dyDescent="0.2">
      <c r="J506" s="59"/>
    </row>
    <row r="507" spans="10:10" x14ac:dyDescent="0.2">
      <c r="J507" s="59"/>
    </row>
    <row r="508" spans="10:10" x14ac:dyDescent="0.2">
      <c r="J508" s="59"/>
    </row>
    <row r="509" spans="10:10" x14ac:dyDescent="0.2">
      <c r="J509" s="59"/>
    </row>
    <row r="510" spans="10:10" x14ac:dyDescent="0.2">
      <c r="J510" s="59"/>
    </row>
    <row r="511" spans="10:10" x14ac:dyDescent="0.2">
      <c r="J511" s="59"/>
    </row>
    <row r="512" spans="10:10" x14ac:dyDescent="0.2">
      <c r="J512" s="59"/>
    </row>
    <row r="513" spans="10:10" x14ac:dyDescent="0.2">
      <c r="J513" s="59"/>
    </row>
    <row r="514" spans="10:10" x14ac:dyDescent="0.2">
      <c r="J514" s="59"/>
    </row>
    <row r="515" spans="10:10" x14ac:dyDescent="0.2">
      <c r="J515" s="59"/>
    </row>
    <row r="516" spans="10:10" x14ac:dyDescent="0.2">
      <c r="J516" s="59"/>
    </row>
    <row r="517" spans="10:10" x14ac:dyDescent="0.2">
      <c r="J517" s="59"/>
    </row>
    <row r="518" spans="10:10" x14ac:dyDescent="0.2">
      <c r="J518" s="59"/>
    </row>
    <row r="519" spans="10:10" x14ac:dyDescent="0.2">
      <c r="J519" s="59"/>
    </row>
    <row r="520" spans="10:10" x14ac:dyDescent="0.2">
      <c r="J520" s="59"/>
    </row>
    <row r="521" spans="10:10" x14ac:dyDescent="0.2">
      <c r="J521" s="59"/>
    </row>
    <row r="522" spans="10:10" x14ac:dyDescent="0.2">
      <c r="J522" s="59"/>
    </row>
    <row r="523" spans="10:10" x14ac:dyDescent="0.2">
      <c r="J523" s="59"/>
    </row>
    <row r="524" spans="10:10" x14ac:dyDescent="0.2">
      <c r="J524" s="59"/>
    </row>
    <row r="525" spans="10:10" x14ac:dyDescent="0.2">
      <c r="J525" s="59"/>
    </row>
    <row r="526" spans="10:10" x14ac:dyDescent="0.2">
      <c r="J526" s="59"/>
    </row>
    <row r="527" spans="10:10" x14ac:dyDescent="0.2">
      <c r="J527" s="59"/>
    </row>
  </sheetData>
  <mergeCells count="17">
    <mergeCell ref="B417:Q417"/>
    <mergeCell ref="B413:Q413"/>
    <mergeCell ref="B414:Q414"/>
    <mergeCell ref="B415:Q415"/>
    <mergeCell ref="B416:Q416"/>
    <mergeCell ref="B410:R410"/>
    <mergeCell ref="B411:N411"/>
    <mergeCell ref="B412:R412"/>
    <mergeCell ref="B7:N7"/>
    <mergeCell ref="B394:Q394"/>
    <mergeCell ref="B398:Q398"/>
    <mergeCell ref="B399:Q399"/>
    <mergeCell ref="B409:R409"/>
    <mergeCell ref="B402:N402"/>
    <mergeCell ref="B400:Q400"/>
    <mergeCell ref="B401:Q401"/>
    <mergeCell ref="B395:N395"/>
  </mergeCells>
  <phoneticPr fontId="0" type="noConversion"/>
  <printOptions horizontalCentered="1"/>
  <pageMargins left="0.75" right="0.75" top="0.6692913385826772" bottom="1" header="0.43307086614173229" footer="0"/>
  <pageSetup paperSize="9" scale="40" fitToHeight="4" orientation="landscape" verticalDpi="300" r:id="rId1"/>
  <headerFooter alignWithMargins="0">
    <oddFooter>&amp;L&amp;"Arial,Negrita"&amp;12&amp;F</oddFooter>
  </headerFooter>
  <rowBreaks count="5" manualBreakCount="5">
    <brk id="45" min="1" max="13" man="1"/>
    <brk id="94" min="1" max="13" man="1"/>
    <brk id="181" min="1" max="13" man="1"/>
    <brk id="215" min="1" max="13" man="1"/>
    <brk id="359"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BASE INTERNA</vt:lpstr>
      <vt:lpstr>'BASE INTERNA'!Área_de_impresión</vt:lpstr>
      <vt:lpstr>'BASE INTERNA'!Títulos_a_imprimir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DE INFORMATICA</dc:creator>
  <cp:lastModifiedBy>Vega Baldeon, Hebert</cp:lastModifiedBy>
  <cp:lastPrinted>2011-08-02T20:30:54Z</cp:lastPrinted>
  <dcterms:created xsi:type="dcterms:W3CDTF">1999-10-15T00:05:50Z</dcterms:created>
  <dcterms:modified xsi:type="dcterms:W3CDTF">2019-09-17T20:41:28Z</dcterms:modified>
</cp:coreProperties>
</file>