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xr:revisionPtr revIDLastSave="0" documentId="8_{FD21F636-4A67-4B8D-8FE7-010FCD14A973}" xr6:coauthVersionLast="47" xr6:coauthVersionMax="47" xr10:uidLastSave="{00000000-0000-0000-0000-000000000000}"/>
  <bookViews>
    <workbookView xWindow="-120" yWindow="-120" windowWidth="20730" windowHeight="11160" tabRatio="529" xr2:uid="{00000000-000D-0000-FFFF-FFFF00000000}"/>
  </bookViews>
  <sheets>
    <sheet name="Detallado" sheetId="1" r:id="rId1"/>
  </sheets>
  <definedNames>
    <definedName name="_xlnm._FilterDatabase" localSheetId="0" hidden="1">Detallado!$A$9:$V$283</definedName>
    <definedName name="_xlnm.Print_Area" localSheetId="0">Detallado!$A$1:$V$283</definedName>
    <definedName name="_xlnm.Print_Titles" localSheetId="0">Detallado!$1:$10</definedName>
  </definedNames>
  <calcPr calcId="191029" iterate="1"/>
</workbook>
</file>

<file path=xl/calcChain.xml><?xml version="1.0" encoding="utf-8"?>
<calcChain xmlns="http://schemas.openxmlformats.org/spreadsheetml/2006/main">
  <c r="V111" i="1" l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10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4" i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07" i="1"/>
  <c r="A176" i="1"/>
  <c r="A177" i="1"/>
  <c r="A178" i="1"/>
  <c r="A179" i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75" i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11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5" i="1"/>
  <c r="T203" i="1"/>
  <c r="U203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I26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I242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I20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I195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I173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U11" i="1" s="1"/>
  <c r="I109" i="1"/>
  <c r="J13" i="1"/>
  <c r="K13" i="1"/>
  <c r="L13" i="1"/>
  <c r="M13" i="1"/>
  <c r="N13" i="1"/>
  <c r="O13" i="1"/>
  <c r="P13" i="1"/>
  <c r="Q13" i="1"/>
  <c r="R13" i="1"/>
  <c r="S13" i="1"/>
  <c r="T13" i="1"/>
  <c r="U13" i="1"/>
  <c r="I13" i="1"/>
  <c r="V240" i="1"/>
  <c r="V239" i="1"/>
  <c r="U260" i="1"/>
  <c r="U256" i="1"/>
  <c r="U201" i="1"/>
  <c r="U164" i="1"/>
  <c r="U162" i="1"/>
  <c r="U159" i="1"/>
  <c r="U152" i="1"/>
  <c r="U151" i="1"/>
  <c r="U148" i="1"/>
  <c r="V192" i="1"/>
  <c r="V190" i="1"/>
  <c r="U85" i="1"/>
  <c r="U95" i="1"/>
  <c r="U99" i="1"/>
  <c r="U98" i="1"/>
  <c r="U80" i="1"/>
  <c r="U81" i="1"/>
  <c r="U87" i="1"/>
  <c r="U88" i="1"/>
  <c r="U83" i="1"/>
  <c r="U86" i="1"/>
  <c r="U84" i="1"/>
  <c r="U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I276" i="1"/>
  <c r="H274" i="1"/>
  <c r="H273" i="1"/>
  <c r="V274" i="1"/>
  <c r="V273" i="1"/>
  <c r="T227" i="1"/>
  <c r="V227" i="1" s="1"/>
  <c r="V191" i="1"/>
  <c r="T55" i="1"/>
  <c r="V278" i="1"/>
  <c r="V277" i="1"/>
  <c r="V264" i="1"/>
  <c r="V265" i="1"/>
  <c r="V266" i="1"/>
  <c r="V267" i="1"/>
  <c r="V268" i="1"/>
  <c r="V269" i="1"/>
  <c r="V270" i="1"/>
  <c r="V271" i="1"/>
  <c r="V272" i="1"/>
  <c r="V26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43" i="1"/>
  <c r="V207" i="1"/>
  <c r="V208" i="1"/>
  <c r="V209" i="1"/>
  <c r="V210" i="1"/>
  <c r="V211" i="1"/>
  <c r="V212" i="1"/>
  <c r="V213" i="1"/>
  <c r="V214" i="1"/>
  <c r="V215" i="1"/>
  <c r="V217" i="1"/>
  <c r="V218" i="1"/>
  <c r="V219" i="1"/>
  <c r="V220" i="1"/>
  <c r="V221" i="1"/>
  <c r="V222" i="1"/>
  <c r="V223" i="1"/>
  <c r="V224" i="1"/>
  <c r="V225" i="1"/>
  <c r="V226" i="1"/>
  <c r="V228" i="1"/>
  <c r="V229" i="1"/>
  <c r="V230" i="1"/>
  <c r="V231" i="1"/>
  <c r="V232" i="1"/>
  <c r="V233" i="1"/>
  <c r="V234" i="1"/>
  <c r="V235" i="1"/>
  <c r="V236" i="1"/>
  <c r="V237" i="1"/>
  <c r="V238" i="1"/>
  <c r="V206" i="1"/>
  <c r="V197" i="1"/>
  <c r="V198" i="1"/>
  <c r="V199" i="1"/>
  <c r="V200" i="1"/>
  <c r="V201" i="1"/>
  <c r="V196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74" i="1"/>
  <c r="U281" i="1" l="1"/>
  <c r="T11" i="1"/>
  <c r="T281" i="1" s="1"/>
  <c r="V173" i="1"/>
  <c r="V242" i="1"/>
  <c r="S11" i="1" l="1"/>
  <c r="S281" i="1" s="1"/>
  <c r="V262" i="1"/>
  <c r="S203" i="1"/>
  <c r="V195" i="1"/>
  <c r="V109" i="1"/>
  <c r="J11" i="1" l="1"/>
  <c r="J281" i="1" s="1"/>
  <c r="K11" i="1"/>
  <c r="K281" i="1" s="1"/>
  <c r="L11" i="1"/>
  <c r="L281" i="1" s="1"/>
  <c r="M11" i="1"/>
  <c r="M281" i="1" s="1"/>
  <c r="Q11" i="1"/>
  <c r="Q281" i="1" s="1"/>
  <c r="R11" i="1"/>
  <c r="R281" i="1" s="1"/>
  <c r="I11" i="1"/>
  <c r="I281" i="1" s="1"/>
  <c r="N67" i="1" l="1"/>
  <c r="P66" i="1"/>
  <c r="O66" i="1"/>
  <c r="P11" i="1" l="1"/>
  <c r="P281" i="1" s="1"/>
  <c r="N11" i="1"/>
  <c r="N281" i="1" s="1"/>
  <c r="O11" i="1"/>
  <c r="O281" i="1" s="1"/>
  <c r="R203" i="1"/>
  <c r="V13" i="1" l="1"/>
  <c r="V11" i="1" s="1"/>
  <c r="V276" i="1" l="1"/>
  <c r="N203" i="1" l="1"/>
  <c r="O203" i="1"/>
  <c r="I203" i="1"/>
  <c r="Q203" i="1"/>
  <c r="P203" i="1"/>
  <c r="M203" i="1"/>
  <c r="A264" i="1" l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L216" i="1" l="1"/>
  <c r="L203" i="1" l="1"/>
  <c r="K216" i="1"/>
  <c r="K203" i="1" l="1"/>
  <c r="A278" i="1"/>
  <c r="A244" i="1"/>
  <c r="A197" i="1"/>
  <c r="A198" i="1" s="1"/>
  <c r="A199" i="1" s="1"/>
  <c r="A200" i="1" s="1"/>
  <c r="A201" i="1" s="1"/>
  <c r="J216" i="1" l="1"/>
  <c r="V216" i="1" l="1"/>
  <c r="V205" i="1" s="1"/>
  <c r="J203" i="1"/>
  <c r="H206" i="1"/>
  <c r="V203" i="1" l="1"/>
  <c r="V281" i="1" s="1"/>
  <c r="A245" i="1" l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81" i="1" l="1"/>
</calcChain>
</file>

<file path=xl/sharedStrings.xml><?xml version="1.0" encoding="utf-8"?>
<sst xmlns="http://schemas.openxmlformats.org/spreadsheetml/2006/main" count="1279" uniqueCount="556">
  <si>
    <t>BIRF 7308-PE</t>
  </si>
  <si>
    <t>M. AGRICULTURA</t>
  </si>
  <si>
    <t>CAF 3241</t>
  </si>
  <si>
    <t>Proyecto Olmos Etapa I Obras de Trasvase</t>
  </si>
  <si>
    <t>Detallado por Créditos</t>
  </si>
  <si>
    <t>FONER</t>
  </si>
  <si>
    <t>BID 1663-OC-PE</t>
  </si>
  <si>
    <t>MINISTERIO DE ECONOMIA Y FINANZAS</t>
  </si>
  <si>
    <t>DEUDA  EXTERNA  DE  MEDIANO  Y  LARGO  PLAZO</t>
  </si>
  <si>
    <t>(En Miles US$)</t>
  </si>
  <si>
    <t>M.O.</t>
  </si>
  <si>
    <t>TOTAL</t>
  </si>
  <si>
    <t>I.</t>
  </si>
  <si>
    <t>ORGANISMOS  INTERNACIONALES</t>
  </si>
  <si>
    <t>A.</t>
  </si>
  <si>
    <t>BANCO  INTERAMERICANO  DE  DESARROLLO</t>
  </si>
  <si>
    <t>AGRICULTURA</t>
  </si>
  <si>
    <t>US$</t>
  </si>
  <si>
    <t>MEF</t>
  </si>
  <si>
    <t>TRANSPORTES</t>
  </si>
  <si>
    <t>SALUD</t>
  </si>
  <si>
    <t>FONCODES</t>
  </si>
  <si>
    <t>SOCIALES</t>
  </si>
  <si>
    <t>M.PRESIDENCIA</t>
  </si>
  <si>
    <t>SANEAMIENTO</t>
  </si>
  <si>
    <t>M.AGRICULTURA</t>
  </si>
  <si>
    <t>TRABAJO</t>
  </si>
  <si>
    <t>JUSTICIA</t>
  </si>
  <si>
    <t>SUNAT</t>
  </si>
  <si>
    <t>MINCETUR</t>
  </si>
  <si>
    <t>BID 1461-OC-PE</t>
  </si>
  <si>
    <t>M. VIVIENDA, CONST. Y SANEA</t>
  </si>
  <si>
    <t>VIVIENDA</t>
  </si>
  <si>
    <t>BID 1482-OC-PE</t>
  </si>
  <si>
    <t>BID 1501-OC-PE</t>
  </si>
  <si>
    <t>Transporte Urbano de Lima</t>
  </si>
  <si>
    <t>MLM</t>
  </si>
  <si>
    <t>BID 1437-OC-PE</t>
  </si>
  <si>
    <t>PCM</t>
  </si>
  <si>
    <t>B.</t>
  </si>
  <si>
    <t>BANCO  INTERNACIONAL  DE  RECONSTRUCCIÓN  Y  FOMENTO</t>
  </si>
  <si>
    <t>SEDAPAL</t>
  </si>
  <si>
    <t>COFOPRI</t>
  </si>
  <si>
    <t>BIRF 7142-PE</t>
  </si>
  <si>
    <t>M. VIVIENDA</t>
  </si>
  <si>
    <t>D.</t>
  </si>
  <si>
    <t>CORPORACIÓN  ANDINA  DE  FOMENTO</t>
  </si>
  <si>
    <t>E.</t>
  </si>
  <si>
    <t>FONDO  INTERNACIONAL  DE  DESARROLLO  AGRÍCOLA</t>
  </si>
  <si>
    <t>DEG</t>
  </si>
  <si>
    <t>G.</t>
  </si>
  <si>
    <t>II.</t>
  </si>
  <si>
    <t>CLUB  DE  PARIS</t>
  </si>
  <si>
    <t>ALEMANIA</t>
  </si>
  <si>
    <t>KFW</t>
  </si>
  <si>
    <t>DM</t>
  </si>
  <si>
    <t>SEDAPAR</t>
  </si>
  <si>
    <t>Plan Maestro Agua Potable</t>
  </si>
  <si>
    <t>Py.de Agua Potable y Alcantarillado de Puno</t>
  </si>
  <si>
    <t>EUR</t>
  </si>
  <si>
    <t>Agua Potable y Alcant. Huancavelica</t>
  </si>
  <si>
    <t>JAPON</t>
  </si>
  <si>
    <t>YEN</t>
  </si>
  <si>
    <t>Programa de Caminos Departamentales</t>
  </si>
  <si>
    <t>Facilidad Sectorial Institucional para la  Mejora de la Calidad de la Gestión y el Gasto Público</t>
  </si>
  <si>
    <t>Programa de Ciencia y Tecnología</t>
  </si>
  <si>
    <t>Mejor.ampliac.Sistem.Agua y Alcantl.-PRONAP</t>
  </si>
  <si>
    <t>Proy.mejoramiento Agua Potable Iquitos y Cusco</t>
  </si>
  <si>
    <t>Proy.mejoramiento Agua Potable areas marg.Lima</t>
  </si>
  <si>
    <t>Prog. Estudios de Preinversión Región Fronteriza con Ecuador</t>
  </si>
  <si>
    <t>Corredor Vial Interoceanico Perú-Brasil (IIRSA SUR)</t>
  </si>
  <si>
    <t>Remotorización del BIC Humbolt</t>
  </si>
  <si>
    <t>IMARPE</t>
  </si>
  <si>
    <t>Mej. y Amp. Sistema Alcant. e Inst. Pta. Tratam. Aguas Residuales en Iquitos</t>
  </si>
  <si>
    <t>BIRF 7588-PE</t>
  </si>
  <si>
    <t>M.RELACIONES EXTERIORES</t>
  </si>
  <si>
    <t>BID 1827-OC-PE</t>
  </si>
  <si>
    <t>BID 1899-OC-PE</t>
  </si>
  <si>
    <t>BID 1836-OC-PE</t>
  </si>
  <si>
    <t>BID 1915-OC-PE</t>
  </si>
  <si>
    <t>BID 2045-OC-PE</t>
  </si>
  <si>
    <t>BIRF 7423-PE</t>
  </si>
  <si>
    <t>BIRF 7443-PE</t>
  </si>
  <si>
    <t>CAF 3804</t>
  </si>
  <si>
    <t>CAF 5129</t>
  </si>
  <si>
    <t>FIDA 744-O PE</t>
  </si>
  <si>
    <t>JICA (PE-P32)</t>
  </si>
  <si>
    <t>Prog. Transporte Rural Descentralizado</t>
  </si>
  <si>
    <t>PROVIAS DESCENTRALIZADO</t>
  </si>
  <si>
    <t>PROVIAS NACIONAL</t>
  </si>
  <si>
    <t>FAPEP Modernización del Sistema Administ. Justica para la Mejora de los Servicios Brindados</t>
  </si>
  <si>
    <t>MINJUS</t>
  </si>
  <si>
    <t>Pasos de Frontera Desaguadero (Perú-Bolivia) y Componentes Transversales en el Marco del Programa "Pasos de Frontera Perú - IIRSA"</t>
  </si>
  <si>
    <t>Programa Agua para Todos</t>
  </si>
  <si>
    <t>Prog. Desarrollo de la Sanidad Agropecuaria para la Competitividad Agraria</t>
  </si>
  <si>
    <t>GRC - PLAN COPESCO</t>
  </si>
  <si>
    <t>Prog. Transporte Rural Descentralizado (Caminos Rurales III)</t>
  </si>
  <si>
    <t>Prog. Apoyo a las Alianzas Rurales Productivas en la Sierra del Perú - ALIADOS</t>
  </si>
  <si>
    <t>MARENASS</t>
  </si>
  <si>
    <t>VII.</t>
  </si>
  <si>
    <t>BONOS</t>
  </si>
  <si>
    <t>VARIOS</t>
  </si>
  <si>
    <t>n.a.</t>
  </si>
  <si>
    <t>Bonos Soberanos</t>
  </si>
  <si>
    <t>T O T A L</t>
  </si>
  <si>
    <t xml:space="preserve"> *_/  TIPO DE CAMBIO UTILIZADO ES POR TRANSACCION.</t>
  </si>
  <si>
    <t>BID 1534-OC-PE</t>
  </si>
  <si>
    <t>UCPS</t>
  </si>
  <si>
    <t>Mejoramiento de los Servicios de Justicia</t>
  </si>
  <si>
    <t>P.JUDICIAL</t>
  </si>
  <si>
    <t>Reordenamiento y Rehab. Valle de Vilcanota</t>
  </si>
  <si>
    <t>PROJOVEN</t>
  </si>
  <si>
    <t>BID 1586-OC-PE</t>
  </si>
  <si>
    <t>Prog. Servicio Apoyo para Acceder Mercados Rurales</t>
  </si>
  <si>
    <t>BID 1601-OC-PE</t>
  </si>
  <si>
    <t>Apoyo a Ref. de Prog. Superación de la Pobreza</t>
  </si>
  <si>
    <t>FIDA 602-O PE</t>
  </si>
  <si>
    <t>BID 1539-OC-PE</t>
  </si>
  <si>
    <t>DNS</t>
  </si>
  <si>
    <t>BID 1591-OC-PE</t>
  </si>
  <si>
    <t>CONTRALORIA</t>
  </si>
  <si>
    <t>EMSAPUNO</t>
  </si>
  <si>
    <t>Proy. Agua Potab. Y Alcant. Tumbes</t>
  </si>
  <si>
    <t>EPS TUMBES</t>
  </si>
  <si>
    <t>Proy. Invest. Y Extensión Agricola Fase II</t>
  </si>
  <si>
    <t>PSI</t>
  </si>
  <si>
    <t>EMAPA HUANCAVELICA</t>
  </si>
  <si>
    <t>Proy. Subsectorial de Irrigacion Fase II</t>
  </si>
  <si>
    <t>VIII.</t>
  </si>
  <si>
    <t>ADMINISTRACION DE DEUDA</t>
  </si>
  <si>
    <t xml:space="preserve">Bonos </t>
  </si>
  <si>
    <t>SENASA</t>
  </si>
  <si>
    <t>BID 1696-OC-PE</t>
  </si>
  <si>
    <t>BID 1657-OC-PE</t>
  </si>
  <si>
    <t>BID 1810-OC-PE</t>
  </si>
  <si>
    <t>PROVIAS DESCENT</t>
  </si>
  <si>
    <t>MVCS</t>
  </si>
  <si>
    <t>DNEP</t>
  </si>
  <si>
    <t>BIRF 7322-PE</t>
  </si>
  <si>
    <t>BIRF 7366-PE</t>
  </si>
  <si>
    <t>BIRF 7368-PE</t>
  </si>
  <si>
    <t>CAF 3572</t>
  </si>
  <si>
    <t>FHH</t>
  </si>
  <si>
    <t>PLAN MERISS</t>
  </si>
  <si>
    <t>BIRF 7209-PE</t>
  </si>
  <si>
    <t>BIRF 7219-PE</t>
  </si>
  <si>
    <t>BIRF 7254-PE</t>
  </si>
  <si>
    <t>BIRF 7255-PE</t>
  </si>
  <si>
    <t>BIRF 7257-PE</t>
  </si>
  <si>
    <t>BIRF 7285-PE</t>
  </si>
  <si>
    <t>BID 2092-OC-PE</t>
  </si>
  <si>
    <t>PARSALUD</t>
  </si>
  <si>
    <t>BIRF 7643-PE</t>
  </si>
  <si>
    <t>BIRF 7701-PE</t>
  </si>
  <si>
    <t>BIRF 7810-PE</t>
  </si>
  <si>
    <t xml:space="preserve">Segunda Fase del Prog. Apoyo a Reforma del Sector Salud - PARSALUD II </t>
  </si>
  <si>
    <t>Manejo de Recursos Hídricos</t>
  </si>
  <si>
    <t>Programático de Política Ambiental II</t>
  </si>
  <si>
    <t>ANA-MINAG</t>
  </si>
  <si>
    <t>JICA (PE-P33)</t>
  </si>
  <si>
    <t>JICA (PE-P34)</t>
  </si>
  <si>
    <t>JICA (PE-P35)</t>
  </si>
  <si>
    <t>Proy. Sub-Sectorial de Irrigación</t>
  </si>
  <si>
    <t>Proy. Ampliación de Frontera Eléctrica III</t>
  </si>
  <si>
    <t>Mej. Agua y Alcant. Ciudades de Cajamarca - I Etapa</t>
  </si>
  <si>
    <t>GRLORETO</t>
  </si>
  <si>
    <t>GRCAJAMARCA</t>
  </si>
  <si>
    <t>JICA (PE-P36)</t>
  </si>
  <si>
    <t>Mej. de las Redes Callao - Lima (Lima Norte I)</t>
  </si>
  <si>
    <t>Apoyo a la Implementación del Programa de Reformas del Sector Saneamiento</t>
  </si>
  <si>
    <t>BID 2269-OC-PE</t>
  </si>
  <si>
    <t>BID 2303-OC-PE</t>
  </si>
  <si>
    <t>Facil. Sectorial Apoyo al Prog. para Mejora de Product. y Competitividad</t>
  </si>
  <si>
    <t>BID 2325-OC-PE</t>
  </si>
  <si>
    <t>Prog. Mejora de la Productividad y la Competitividad I</t>
  </si>
  <si>
    <t>BID 2413-OC-PE</t>
  </si>
  <si>
    <t>Prog. Reducción de Vulnerabilidad del Estado ante Desastres I</t>
  </si>
  <si>
    <t>BID 2417 -OC-PE</t>
  </si>
  <si>
    <t>BID 2455 -OC-PE</t>
  </si>
  <si>
    <t>BID 2446 -OC-PE</t>
  </si>
  <si>
    <t>BID 2456 -OC-PE</t>
  </si>
  <si>
    <t>Prog. Desarr. Matríz Energética Sostenible II (NUMES II)</t>
  </si>
  <si>
    <t>Prog. Reformas de Recursos Hídricos III</t>
  </si>
  <si>
    <t>Prog. Reforma de los Sectores Sociales II</t>
  </si>
  <si>
    <t>Prog. de Apoyo a la Agenda de Cambio Climático</t>
  </si>
  <si>
    <t>CAF 6141</t>
  </si>
  <si>
    <t>AUTORIDAD AUTÓNOMA DEL TREN ELÉCTRICO</t>
  </si>
  <si>
    <t>CAF 6616</t>
  </si>
  <si>
    <t>Mej. Sistema de Agua Potable y Alcantarillado - Lima -Callao</t>
  </si>
  <si>
    <t>Proy. Rehab. Integral Ferroc. Huancayo - Huancavelica, Comp. I</t>
  </si>
  <si>
    <t>Prog. Inversión en Mejor. y Rehab. de Infraestructura Vial</t>
  </si>
  <si>
    <t>CAF 6922</t>
  </si>
  <si>
    <t>Programa de Electrificación Rural mediante la Aplic. de Fondos Concursables</t>
  </si>
  <si>
    <t>Consolidación de los Derechos de Propiedad Inmueble</t>
  </si>
  <si>
    <t>BIRF 7950-PE</t>
  </si>
  <si>
    <t>BIRF 7954-PE</t>
  </si>
  <si>
    <t>BIRF 7977-PE</t>
  </si>
  <si>
    <t>Préstamo Programático de Política Ambiental III</t>
  </si>
  <si>
    <t>Prog. Gestión Fiscal y Crecimiento Económico IV</t>
  </si>
  <si>
    <t>Préstamo Programático de Reforma Social III (REAC III)</t>
  </si>
  <si>
    <t>JICA (PE-P25)</t>
  </si>
  <si>
    <t>JICA (PE-P29)</t>
  </si>
  <si>
    <t>JICA (PE-P30)</t>
  </si>
  <si>
    <t>JICA (PE-P31)</t>
  </si>
  <si>
    <t>JICA (PE-P37)</t>
  </si>
  <si>
    <t>Planta Huachipa y Ramal Norte - Lotes 1, 2 y 3</t>
  </si>
  <si>
    <t>Programa Municipal de Atención a los Servicios Básicos</t>
  </si>
  <si>
    <t>Programa de Riego Zona Andina Sur IV</t>
  </si>
  <si>
    <t>Programa de Medidas de Rápido Impacto I</t>
  </si>
  <si>
    <t>Opt. Sistemas Agua Potable y Alcantarillado - Planta Huachipa</t>
  </si>
  <si>
    <t>BID 2166-OC-PE</t>
  </si>
  <si>
    <t>ANA - MINAG</t>
  </si>
  <si>
    <t>BID 2445 -OC-PE</t>
  </si>
  <si>
    <t>BID 2374 -OC-PE</t>
  </si>
  <si>
    <t>Coop. Técnica - Reforma de los Sectores Sociales II</t>
  </si>
  <si>
    <t>BID 2449 -OC-PE</t>
  </si>
  <si>
    <t>Prog. 2da Generación Reforma Sector Saneamiento I</t>
  </si>
  <si>
    <t>BID 2531 -OC-PE</t>
  </si>
  <si>
    <t xml:space="preserve">Programa de Competitividad Agraria II </t>
  </si>
  <si>
    <t>BID 2554 -OC-PE</t>
  </si>
  <si>
    <t>Prog. Reducción de Vulnerabilidad del Estado ante Desastres</t>
  </si>
  <si>
    <t>BID 2544 -OC-PE</t>
  </si>
  <si>
    <t>Prog. Desarr. Matríz Energética Sostenible III (NUMES III)</t>
  </si>
  <si>
    <t>BID 2604 -OC-PE</t>
  </si>
  <si>
    <t>BID 2625 -OC-PE</t>
  </si>
  <si>
    <t>Prog. de Apoyo a la Agenda de Cambio Climático II</t>
  </si>
  <si>
    <t>Prog. 2da Generación Reforma Sector Saneamiento II</t>
  </si>
  <si>
    <t>BIRF 7969-PE</t>
  </si>
  <si>
    <t>Mejoramiento de los Servicios de Justicia, 2da Etapa</t>
  </si>
  <si>
    <t>BIRF 7878-PE</t>
  </si>
  <si>
    <t>Programa Sub-Sectorial de Irrigación - Sierra</t>
  </si>
  <si>
    <t>CAF 6923</t>
  </si>
  <si>
    <t>CAF 7454</t>
  </si>
  <si>
    <t>Carretera IIRSA SUR</t>
  </si>
  <si>
    <t>II Etapa - Tren Eléctrico</t>
  </si>
  <si>
    <t>FIDA 799-O PE</t>
  </si>
  <si>
    <t>Fortalec. Mercados, Diversif. Ingresos y Mej. Cond. Vida Sierra Sur II.</t>
  </si>
  <si>
    <t>AGRORURAL</t>
  </si>
  <si>
    <t>Cofin. BID - Prog. Reforma Saneamiento III</t>
  </si>
  <si>
    <t>Prog. 2da. Generación Reformas Sector Saneamiento  I</t>
  </si>
  <si>
    <t>Prog. Reforma Social II</t>
  </si>
  <si>
    <t>SEDACAJ</t>
  </si>
  <si>
    <t>BID 2534 -OC-PE</t>
  </si>
  <si>
    <t>Prog. Modernización del Sistema Administ. Justica para la Mejora de los Servicios Brindados</t>
  </si>
  <si>
    <t>BID 2783 -OC-PE</t>
  </si>
  <si>
    <t>Programa de Reformas de los Sectores Sociales III</t>
  </si>
  <si>
    <t>BID 2849 -OC-PE</t>
  </si>
  <si>
    <t>Programa de Competitividad y Productividad II</t>
  </si>
  <si>
    <t>Prog NUMES IV</t>
  </si>
  <si>
    <t>BID 2847 -OC-PE</t>
  </si>
  <si>
    <t>BIRF 7978-PE</t>
  </si>
  <si>
    <t>Pequeñas Ciudades - PRONASAR Fase II (ampliación)</t>
  </si>
  <si>
    <t>Opt. Sist. Agua Pot. Y Alcant. En Huachipa, Comas y Chillón.</t>
  </si>
  <si>
    <t>Desarrollo Integral Alto Mayo</t>
  </si>
  <si>
    <t>PEAM</t>
  </si>
  <si>
    <t xml:space="preserve">Proy. Gestión Integral Micro Cuenca Mariño de Prov. Abancay </t>
  </si>
  <si>
    <t>GR APURIMAC</t>
  </si>
  <si>
    <t>GR SAN MARTIN</t>
  </si>
  <si>
    <t>BIRF 8025-PE</t>
  </si>
  <si>
    <t>BID 2693 -OC-PE</t>
  </si>
  <si>
    <t>Innovación para la Competitividad</t>
  </si>
  <si>
    <t>BID 2769 -OC-PE</t>
  </si>
  <si>
    <t>Rehab. y Mejoram. Carretera Lima - Canta - La Viuda - Unish</t>
  </si>
  <si>
    <t>BID 2703 -OC-PE</t>
  </si>
  <si>
    <t>BID 2661 -OC-PE</t>
  </si>
  <si>
    <t>BID 2759 -OC-PE</t>
  </si>
  <si>
    <t>BID 2645 -OC-PE</t>
  </si>
  <si>
    <t>BID 2978 -OC-PE</t>
  </si>
  <si>
    <t>BID 2985 -OC-PE</t>
  </si>
  <si>
    <t>BID 2963 -OC-PE</t>
  </si>
  <si>
    <t>Mejora de la Gestión Integral de la Inversión Pública Territorial</t>
  </si>
  <si>
    <t>Mej. de la Educ.Inicial en Ayacucho, Huancavelíca y Huánuco</t>
  </si>
  <si>
    <t>Prog Competitividad Agraria III</t>
  </si>
  <si>
    <t>Prog. Residuos Sólidos en Zonas Prioritarias I</t>
  </si>
  <si>
    <t>Prog Apoyo de Agenda de Cambio Climático III</t>
  </si>
  <si>
    <t>Prog de Gestión de Resultados para la Inclusión Social I</t>
  </si>
  <si>
    <t>EDUCACIÓN</t>
  </si>
  <si>
    <t>AMBIENTE</t>
  </si>
  <si>
    <t>BIRF 7961-PE</t>
  </si>
  <si>
    <t>Cierre de brechas del Prog. Estratégico Articulado Nutricional</t>
  </si>
  <si>
    <t>BIRF 8034-PE</t>
  </si>
  <si>
    <t>Apoyo Prog. Gestión de Resultados para la Inclusión Social</t>
  </si>
  <si>
    <t>MINEDU</t>
  </si>
  <si>
    <t>M. AMBIENTE</t>
  </si>
  <si>
    <t>Programa de Electrificación Rural mediante la Aplic. de Fondos Concursables - FONER II</t>
  </si>
  <si>
    <t>Prog. Mej. Calidad de la Educación Superior</t>
  </si>
  <si>
    <t xml:space="preserve">DPL MIDIS I </t>
  </si>
  <si>
    <t>BIRF 8222-PE</t>
  </si>
  <si>
    <t>BIRF 8212-PE</t>
  </si>
  <si>
    <t>BIRF 8221-PE</t>
  </si>
  <si>
    <t>Agua Potable y Desague Pisco</t>
  </si>
  <si>
    <t>JICA (PE-P38)</t>
  </si>
  <si>
    <t>JICA (PE-P39)</t>
  </si>
  <si>
    <t>JICA (PE-P40)</t>
  </si>
  <si>
    <t>JICA (PE-P41)</t>
  </si>
  <si>
    <t>JICA (PE-P42)</t>
  </si>
  <si>
    <t>PNSR</t>
  </si>
  <si>
    <t>COFIDE</t>
  </si>
  <si>
    <t>ECONOMÍA</t>
  </si>
  <si>
    <t>Lima Norte II</t>
  </si>
  <si>
    <t>Programa de Asistencia para Infraestructura de Renovación Energética</t>
  </si>
  <si>
    <t>Proyecto Irrigación Sierra</t>
  </si>
  <si>
    <t>Proyecto Amazonía Rural</t>
  </si>
  <si>
    <t>BID 2969 -OC-PE</t>
  </si>
  <si>
    <t>BID 2991 -OC-PE</t>
  </si>
  <si>
    <t>Sistema Integrado de Gestión de Planillas</t>
  </si>
  <si>
    <t>BID 3240 -OC-PE</t>
  </si>
  <si>
    <t>BID 3292 -OC-PE</t>
  </si>
  <si>
    <t>BID 3299 -OC-PE</t>
  </si>
  <si>
    <t>Prog de reducción de vulnerabilidad del Estado ante desastres III</t>
  </si>
  <si>
    <t>BIRF 8246-PE</t>
  </si>
  <si>
    <t>Programa Aliados II (Desarrollo Rural)</t>
  </si>
  <si>
    <t>Mej. del SNC para una gestión pública, integral y eficaz</t>
  </si>
  <si>
    <t>FIDA 884-O PE</t>
  </si>
  <si>
    <t>Fortal. Desarrollo Local en Áreas de Sierra y Selva Alta del Perú</t>
  </si>
  <si>
    <t>Desarrollo y Educ.Infantil en Áreas Rurales</t>
  </si>
  <si>
    <t>Prog. Energìas Renovables y Eficiencia Energética</t>
  </si>
  <si>
    <t>Prog de Gestión Municipal I</t>
  </si>
  <si>
    <t>Programa de Segunda Generación de reformas del Sector Saneamiento III</t>
  </si>
  <si>
    <t>Prog para la mejora de la productividad y competitividad III</t>
  </si>
  <si>
    <t>EMAPISCO</t>
  </si>
  <si>
    <t>BID 3088 -OC-PE</t>
  </si>
  <si>
    <t>INIA - MINAG</t>
  </si>
  <si>
    <t>Programa Nacional de Innovación Agraria</t>
  </si>
  <si>
    <t>BID 3214 -OC-PE</t>
  </si>
  <si>
    <t>Proyectos para la Consolidación de la Administración Tributaria y Aduanera</t>
  </si>
  <si>
    <t>BIRF 8226-PE</t>
  </si>
  <si>
    <t>BIRF 8331-PE</t>
  </si>
  <si>
    <t>BIRF 7649-PE</t>
  </si>
  <si>
    <t>BIRF 7674-PE</t>
  </si>
  <si>
    <t>BIRF 7668-PE</t>
  </si>
  <si>
    <t>Financ. Sup. Programático de Gestión Fiscal y Crecimiento II</t>
  </si>
  <si>
    <t>Programático de Política Ambiental</t>
  </si>
  <si>
    <t>Programático de Reformas en Sectoriales Sociales II</t>
  </si>
  <si>
    <t>CAF 7705</t>
  </si>
  <si>
    <t>GR AREQUIPA</t>
  </si>
  <si>
    <t>GR LAMBAYEQUE</t>
  </si>
  <si>
    <t>CAF 8322</t>
  </si>
  <si>
    <t>Prog. Desarrollo Forestal Sostenible, Inclusivo y Competitivo en la Amazonía Peruana</t>
  </si>
  <si>
    <t>CAF 8386</t>
  </si>
  <si>
    <t>CAF 8519</t>
  </si>
  <si>
    <t>Obras Hidraulicas Mayores del Proyecto Chavimochic - III Etapa</t>
  </si>
  <si>
    <t>GR LA LIBERTAD</t>
  </si>
  <si>
    <t>Prog de Reforma de Gestión Municipal, Fase II</t>
  </si>
  <si>
    <t>Prog de Segunda Generación de Reformas del Sector Saneamiento III</t>
  </si>
  <si>
    <t>JICA (PE-P43)</t>
  </si>
  <si>
    <t>JICA (PE-P44)</t>
  </si>
  <si>
    <t>Desarrollo Rural a través del Turismo en el Corredor Turístico del Valle del Uctubamba</t>
  </si>
  <si>
    <t>CCHH Moquegua 1 y 3</t>
  </si>
  <si>
    <t>GR AMAZONAS</t>
  </si>
  <si>
    <t>EGESUR</t>
  </si>
  <si>
    <t>TURISMO</t>
  </si>
  <si>
    <t>BID 3272 -OC-PE</t>
  </si>
  <si>
    <t>Mejoramiento del Sistema  de información estadística  agraria para el desarrollo rural del Perú (PROSAAMER II)</t>
  </si>
  <si>
    <t>BID 3370 -OC-PE</t>
  </si>
  <si>
    <t>BID 3373 -OC-PE</t>
  </si>
  <si>
    <t>Linea 2 del Metro de Lima y ramal Faucett - Gambeta</t>
  </si>
  <si>
    <t>BIRF 8468-PE</t>
  </si>
  <si>
    <t>Optimización Lima Norte  II</t>
  </si>
  <si>
    <t>Proyecto de Innovación Agraria</t>
  </si>
  <si>
    <t>BIRF 8339-PE</t>
  </si>
  <si>
    <t>Mejoramiento del Transporte de la ciudad del Cusco</t>
  </si>
  <si>
    <t>GR CUSCO</t>
  </si>
  <si>
    <t>BIRF 8306-PE</t>
  </si>
  <si>
    <t>Desarrollo Regional del Cusco</t>
  </si>
  <si>
    <t>BIRF 8517-PE</t>
  </si>
  <si>
    <t>CAF 8972</t>
  </si>
  <si>
    <t>CAF 9448</t>
  </si>
  <si>
    <t>Programa de Medidas de Rápido Impacto II</t>
  </si>
  <si>
    <t>Prog. "Crédito Rural - COFIDE III"</t>
  </si>
  <si>
    <t>Prog. Energìas Renovables y Eficiencia Energética - II Etapa</t>
  </si>
  <si>
    <t>BID 3587 -OC-PE</t>
  </si>
  <si>
    <t>BID 3546 -OC-PE</t>
  </si>
  <si>
    <t>BID 3547 -OC-PE</t>
  </si>
  <si>
    <t>BID 3700 -OC-PE</t>
  </si>
  <si>
    <t>Programa de Apoyo al Transporte Subnacional - PATS</t>
  </si>
  <si>
    <t>Mejoram.de los Servic.de Facilitac.del Com.Exter.a través de la Vuce.Segunda Etapa-San Isidro - Lima - Lima</t>
  </si>
  <si>
    <t>M.COMERCIO EXTERIOR Y TURISMO</t>
  </si>
  <si>
    <t>M.TRABAJO Y PROMOCIÓN DEL EMPLEO</t>
  </si>
  <si>
    <t>Mejoramiento de los Niveles de Innovación Productiva a Nivel Nacional</t>
  </si>
  <si>
    <t>M.PRODUCCION</t>
  </si>
  <si>
    <t>PRODUCCIÓN</t>
  </si>
  <si>
    <t>BIRF 8562-PE</t>
  </si>
  <si>
    <t>BIRF 8680-PE</t>
  </si>
  <si>
    <t>Programa "Mejoramiento y Ampliación de los Servicios de Calidad Ambiental a Nivel Nacional"</t>
  </si>
  <si>
    <t>ORGANISMO DE EVALUACION Y FISCALIZACION AMBIENTAL</t>
  </si>
  <si>
    <t>CAF 9691</t>
  </si>
  <si>
    <t>Proyecto Majes-Sihuas II Etapa</t>
  </si>
  <si>
    <t>GR DE AREQUIPA</t>
  </si>
  <si>
    <t>FIDA 1547-O PE</t>
  </si>
  <si>
    <t>Mejoramiento de los Servicios Públicos para el Desarrollo Territorial Sostenible en el Áres de influ</t>
  </si>
  <si>
    <t>Esquema Cajamarquilla, Nievería y Cerro Camote - Ampliación de los Sistemas de Agua Potable y Alcant</t>
  </si>
  <si>
    <t>Optimizac de Sist de Agua Potable y Alcantarillado,Sec,Rehab Redes y Actual de Catastro-Area Planta</t>
  </si>
  <si>
    <t>AATE</t>
  </si>
  <si>
    <t>Construcción de la Línea 2 y Ramal Av. Faucett - Gambetta de la Red Básica del Metro de Lima y Callao</t>
  </si>
  <si>
    <t>JICA (PE-P45)</t>
  </si>
  <si>
    <t>Programa de Protección de Valles y Poblac Vulnerables a Inundac</t>
  </si>
  <si>
    <t>BIRF 8740-PE</t>
  </si>
  <si>
    <t>Gestión Integrada de los Recursos Hídricos en 10 Cuencas</t>
  </si>
  <si>
    <t>BIRF 8692-PE</t>
  </si>
  <si>
    <t>Programa Nacional de Modernización del Sistema de Innovación en Pesca y Acuicultura</t>
  </si>
  <si>
    <t>PRODUCE</t>
  </si>
  <si>
    <t>BIRF 8682-PE</t>
  </si>
  <si>
    <t xml:space="preserve">Mejoramiento y Ampliación de los Servicios del Sistema Nacional de Ciencia y Tecnología e Innovación </t>
  </si>
  <si>
    <t>BID 3881 -OC-PE</t>
  </si>
  <si>
    <t>Mejoramiento de la Carretera Huánuco - Conococha, Sector: Huánuco - La Unión - Huallanca, Ruta PE-3N</t>
  </si>
  <si>
    <t>BID 4442 -OC-PE</t>
  </si>
  <si>
    <t>Programa Integral de Agua y Saneamiento Rural – PIASAR</t>
  </si>
  <si>
    <t>BID 4399 -OC-PE</t>
  </si>
  <si>
    <t>Proy. Majes Siguas II Etapa</t>
  </si>
  <si>
    <t>Segundo Préstamo de Política de Desarrollo de Gestión de Riesgo de Desastre</t>
  </si>
  <si>
    <t>Programa de Estímulo al Capital Humano y la Productividad</t>
  </si>
  <si>
    <t>Catastro, Titulación y Registro de Tierras Rurales en el Perú, Tercera Etapa - PTRT3</t>
  </si>
  <si>
    <t>Modernización Sistema Adm. Fin. Púb. para mejorar Program., Ejecuc. y Rendic. Ctas - SIAF II</t>
  </si>
  <si>
    <t>Programático Gestión Fiscal y Crecimiento Economico II</t>
  </si>
  <si>
    <t>Programático Gestión Fiscal y Crecimiento Economico II - Financiamiento Contingente</t>
  </si>
  <si>
    <t>Mejoramiento y Ampliación de los Servicios de Soporte para la Provisión de los Servicios a los Ciudadanos y las Empresas, a Nivel Nacional</t>
  </si>
  <si>
    <t xml:space="preserve">Fortalec. Mercados, Diversif. Ingresos y Mej. Cond. Vida Sierra Sur </t>
  </si>
  <si>
    <t>Fortalec. Activos Mrdo y Politicas Desarrollo Rural Sierra Norte</t>
  </si>
  <si>
    <t>Programa de Apoyo al Sector Habitacional</t>
  </si>
  <si>
    <t>Integración y Modernización de la Adm. Tributaria</t>
  </si>
  <si>
    <t xml:space="preserve">Modernización del Estado  y Descentralización </t>
  </si>
  <si>
    <t>Programa Capacitación Laboral para Jovenes</t>
  </si>
  <si>
    <t>FAPEP Prog. Apoyo Desarrollo Sector Saneamiento</t>
  </si>
  <si>
    <t>Moderniz. de la Contraloria General de la República</t>
  </si>
  <si>
    <t>Mejoramiento de Transitabilidad de la Red Vial Nacional</t>
  </si>
  <si>
    <t>BID 3449-OC-PE</t>
  </si>
  <si>
    <t>Programa Contingente de Gestión de Resultados para la Inclusión Social II</t>
  </si>
  <si>
    <t>Mejoram. y Ampl. Servicios Centro de Empleo para Inserción Laboral Jóvenes en Reg.Areq.,Ica,Lamb,L</t>
  </si>
  <si>
    <t>Programa Nacional Saneamiento Rural</t>
  </si>
  <si>
    <t>Asist. Tec. Seguimiento y Evaluación de los Sectores</t>
  </si>
  <si>
    <t>Proy. Fort. Capacidad Institucional en el Marco de la Descentralización Fiscal.</t>
  </si>
  <si>
    <t>Mejoramiento de Calidad de Educación Básica (Swap)</t>
  </si>
  <si>
    <t>Proyecto Tren Urbano de Lima</t>
  </si>
  <si>
    <t>Programa Desarrollo Medio Ambiente IIRSA SUR</t>
  </si>
  <si>
    <t>Financ.Proy.Agua Potable y Alcantar.Cajamarca</t>
  </si>
  <si>
    <t>Proy. Agua Potab. y Saneamiento de Cajamarca</t>
  </si>
  <si>
    <t>Prog. Desarrollo Agroambiental Ceja de Selva</t>
  </si>
  <si>
    <t>Programa de Política Ambiental III</t>
  </si>
  <si>
    <t>Prestamista</t>
  </si>
  <si>
    <t>Finalidad</t>
  </si>
  <si>
    <t>Fecha de Contrato</t>
  </si>
  <si>
    <t>Entidad Ejecutora</t>
  </si>
  <si>
    <t>Sector Económico</t>
  </si>
  <si>
    <t>Monto de Préstamo</t>
  </si>
  <si>
    <t>N°</t>
  </si>
  <si>
    <t>SERIE  HISTÓRICA  DE  DESEMBOLSOS  POR FUENTE DE FINANCIAMIENTO</t>
  </si>
  <si>
    <t>ENERGÍA</t>
  </si>
  <si>
    <t>Esquema Cajamarquilla, Nievería y Cerro Camote - Ampliación de los Sistemas de Agua Potable y Alcantarillado</t>
  </si>
  <si>
    <t>Mejoramiento de la Gestión de la Politica de Ingresos Públicos con énfasis en la Recaudación Tributaria Municipal</t>
  </si>
  <si>
    <t>BID 4428 -OC-PE</t>
  </si>
  <si>
    <t xml:space="preserve">Mejoramiento de la Gestión de la Inversión Pública </t>
  </si>
  <si>
    <t>Mejoramiento de la Capacidad para la Generación del Conocimiento y Mejora Continua en la Gestión de la Contratación Pública</t>
  </si>
  <si>
    <t>OSCE</t>
  </si>
  <si>
    <t>COMERCIO EXTERIOR</t>
  </si>
  <si>
    <t>Programa Integral de Agua y Saneamiento Rural – PIASAR”.</t>
  </si>
  <si>
    <t>BID 4457 -OC-PE</t>
  </si>
  <si>
    <t>Programa de Desarrollo de la Sanidad Agraria y la Inocuidad Agroalimentaria - Fase II</t>
  </si>
  <si>
    <t>BID 4555 -OC-PE</t>
  </si>
  <si>
    <t xml:space="preserve">Prog para la Mejora de la Calidad y Pertinencia de los Servicios de Educación Superior Universitaria y Tecnológica a Nivel Nacional </t>
  </si>
  <si>
    <t>UE 118 - MCEBS</t>
  </si>
  <si>
    <t>Mej. Servicios de Control Gub. para  Control Efectivo, Preventivo y Facilitador de la Gestión Pública</t>
  </si>
  <si>
    <t>BIRF-8478-PE</t>
  </si>
  <si>
    <t>BIRF-8583-PE</t>
  </si>
  <si>
    <t>BIRF-8899-PE</t>
  </si>
  <si>
    <t xml:space="preserve">Modernización de la Prestación de los Servicios de Agua Potable y Saneamiento en las EPS EMAPACOP, SEDACUSCO, SEDAPAR, SEMAPA Barranca, EMAPA Huaral y EMAPA Huacho  </t>
  </si>
  <si>
    <t>Modernización de la Prestación de los Servicios de Agua Potable y Saneamiento de las EPS EMAPACOP, SEDACUSCO, SEDAPAR, SEMAPA Barranca, EMAPA Huaral y EMAPA Huacho</t>
  </si>
  <si>
    <t>PNSU</t>
  </si>
  <si>
    <t>OTASS</t>
  </si>
  <si>
    <t>BID 4714 -OC-PE</t>
  </si>
  <si>
    <t>CAF 10666</t>
  </si>
  <si>
    <t>Prog Acompañamiento a las reformas  para incrementar la productividad en el Perú</t>
  </si>
  <si>
    <t>Prog Apoyo a las medidas de ampliación de la base tributaria y fomento a la inversión</t>
  </si>
  <si>
    <t>Programa de Apoyo al NAMA de Transporte Urbano Sostenible en el Perú I</t>
  </si>
  <si>
    <t>BID 4724 -OC-PE</t>
  </si>
  <si>
    <t>BID 4604 -SX-PE</t>
  </si>
  <si>
    <t>Programa de Inversión Forestal Perú - FIP PERÚ</t>
  </si>
  <si>
    <t>PNCB</t>
  </si>
  <si>
    <t>BID 4725 -OC-PE</t>
  </si>
  <si>
    <t>Mejoramiento de Servicios de Recaudación Tributaria y Aduanera a través de la Transformación Digital</t>
  </si>
  <si>
    <t>BID 4873 -OC-PE</t>
  </si>
  <si>
    <t>Mejoramiento de los Servicios de Prevención del Delito en la Población mas Vulnerable al crimen y la Violencia en el Perú.</t>
  </si>
  <si>
    <t>MININTER</t>
  </si>
  <si>
    <t>INTERIOR</t>
  </si>
  <si>
    <t>BID 4297 -OC-PE</t>
  </si>
  <si>
    <t xml:space="preserve">Mejoramiento del acceso a los Servicios de Registros Civiles e Identificación de Calidad a Nivel Nacional </t>
  </si>
  <si>
    <t>RENIEC</t>
  </si>
  <si>
    <t>BID 4726 -OC-PE</t>
  </si>
  <si>
    <t>Creación de Redes Integradas de Salud: Transformación de la Gestión Sanitaria y de atención de la salud</t>
  </si>
  <si>
    <t>MINSA</t>
  </si>
  <si>
    <t>BID 4957 -OC-PE</t>
  </si>
  <si>
    <t>Programa Programatico de Productividad y Competitividad</t>
  </si>
  <si>
    <t>BIRF-8975-PE</t>
  </si>
  <si>
    <t>BIRF-9040-PE</t>
  </si>
  <si>
    <t>Mejoramiento de los Servicios de Justicia no Penales a traves de la implementación del Expediente Judicial Electronico (EJE)</t>
  </si>
  <si>
    <t>Ampliación del Tramo Norte del COSAC I desde la Estación El Naranjal hasta la Av. Chimpu Ocllo, Comas y Carabayllo, Lima,</t>
  </si>
  <si>
    <t xml:space="preserve">MINJUS </t>
  </si>
  <si>
    <t xml:space="preserve">PODER JUDICIAL </t>
  </si>
  <si>
    <t>MML</t>
  </si>
  <si>
    <t>BIRF-8920-PE</t>
  </si>
  <si>
    <t>Creación de Redes Integradas de Salud: Programa Reorganización y eficiencia de las Redes de Atención Primarias en Salud</t>
  </si>
  <si>
    <t>FIDA 3288-O PE</t>
  </si>
  <si>
    <t>Mejoramiento y Ampliación de los Servicios Públicos para el Desarrollo Productivo Local en los Ámbitos de la Sierra y Selva del Perú - AVANZA RURAL - 5 Departamentos</t>
  </si>
  <si>
    <t xml:space="preserve">PATAR I - Programa "Mejoramiento, Ampliación y creación del Sistema de Tratamiento de Aguas Residuales en los 7 y 3, distritos de Tacna y Huanuco" </t>
  </si>
  <si>
    <t>Programa de Apoyo al NAMA de Transporte Urbano Sostenible en el Perú II</t>
  </si>
  <si>
    <t>DIRECCION GENERAL DEL TESORO PÚBLICO</t>
  </si>
  <si>
    <t>PERÍODO :  2010 - 2022</t>
  </si>
  <si>
    <t>BID 4291 -OC-PE</t>
  </si>
  <si>
    <t>MINAM</t>
  </si>
  <si>
    <t>BID 4959 -OC-PE</t>
  </si>
  <si>
    <t>MINJUSDH</t>
  </si>
  <si>
    <t>MINISTERIO PUBLICO</t>
  </si>
  <si>
    <t>PODER JUDICIAL</t>
  </si>
  <si>
    <t>BID 5203 -OC-PE</t>
  </si>
  <si>
    <t>BID 5267 -OC-PE</t>
  </si>
  <si>
    <t>CAF 11504</t>
  </si>
  <si>
    <t>BIRF-9039-PE</t>
  </si>
  <si>
    <t>PRONATEL</t>
  </si>
  <si>
    <t>BIRF-9068-PE</t>
  </si>
  <si>
    <t>BIRF-9225-PE</t>
  </si>
  <si>
    <t>BIRF-9270-PE</t>
  </si>
  <si>
    <t>BID 4941 -OC-PE</t>
  </si>
  <si>
    <t>BID 4892 -OC-PE</t>
  </si>
  <si>
    <t>CULTURA</t>
  </si>
  <si>
    <t>BID 5247 -OC-PE</t>
  </si>
  <si>
    <t>MTC</t>
  </si>
  <si>
    <t>BID 5301 -OC-PE</t>
  </si>
  <si>
    <t>BID 5287 -OC-PE</t>
  </si>
  <si>
    <t>BID 5384 -OC-PE</t>
  </si>
  <si>
    <t>CAF 11489</t>
  </si>
  <si>
    <t>CAF 11724</t>
  </si>
  <si>
    <t>BIRF-9035-PE</t>
  </si>
  <si>
    <t>BIRF-9363-PE</t>
  </si>
  <si>
    <t>KFW 13891226</t>
  </si>
  <si>
    <t>KFW 30420</t>
  </si>
  <si>
    <t xml:space="preserve">Programa de Recuperación de Áreas Degradadas por Residuos Sólidos en Zonas Prioritarias. </t>
  </si>
  <si>
    <t>Destinada financiar Proyectos Mejoramiento  Centros Históricos Rímac y Huamanga</t>
  </si>
  <si>
    <t>Mejoramiento, Ampliación y Creación del Servicio de Drenaje Pluvial en el ambito urbano de los distritos de Cuzco, Wanchaq, Santiago y San Sebastian de la Provincia y Departamento de Cuzco y los distritos de Zarumilla y Aguas Verdes de las Provincia de Zarumilla - Departamento de Tumbes</t>
  </si>
  <si>
    <t>Programa “Mejoramiento de los Servicios de Justicia en Materia Penal en el Perú”</t>
  </si>
  <si>
    <t>Programa de Infraestructura Vial para la Competitividad Regional–PROREGIÓN 1</t>
  </si>
  <si>
    <t>Programa de Innovacion, Modernización Tecnologico y Emprendimiento</t>
  </si>
  <si>
    <t>Mejoramiento de la Administración Financiera del Sector Público - AFSP a traves de la Transformación Digital</t>
  </si>
  <si>
    <t>Programa para Apoyo a la Recuperación Fiscal y Economica del Perú.</t>
  </si>
  <si>
    <t>Programa de Reformas en Apoyo a la Reactivación Económica y a la Competitividad</t>
  </si>
  <si>
    <t>Programa para Mejorar las Políticas Sociales que Protegen a la Población Vulnerable en el Perú</t>
  </si>
  <si>
    <t>Creación de un Sistema de Atención de Emergencias, Urgencias e Información mediante un número único 911 en Lima Metropolitana y Callao</t>
  </si>
  <si>
    <t>Creación del servicio de catastro urbano en distritos priorizados de las provincias de Chiclayo, Lambayeque</t>
  </si>
  <si>
    <t>Programa de Apoyo Presupuestal Habilitando un Desarrollo Verde y Resiliente</t>
  </si>
  <si>
    <t>Programa de Desarrollo del Capital Humano</t>
  </si>
  <si>
    <t>Programa de Fortalecimiento de las bases para el préstamo para políticas de desarrollo de recuperación posterior a COVID-19</t>
  </si>
  <si>
    <t>Programa de Desarrollo del Capital Humano II</t>
  </si>
  <si>
    <t>BIRF-TF A8845-PE</t>
  </si>
  <si>
    <t>Mejoramiento de los Servicios de Apoyo al Aprovechamiento Sostenible de la Biodiversidad de los Ecosistemas en el Paisaje Forestal - Región Ucayali</t>
  </si>
  <si>
    <t>Programa de Infraestructura Vial para la Competitividad Regional–PROREGIÓN 1.</t>
  </si>
  <si>
    <t>Proyecto Ampliación y Mejoramiento de los Sistemas de Agua Potable y Alcantarillado de los Sectores Nueva Rinconada</t>
  </si>
  <si>
    <t>Préstamo Contingente de Apoyo para Atender los Efectos Generados por el Covid-19 en el 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</si>
</sst>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_)"/>
    <numFmt numFmtId="165" formatCode="#,##0.0_);\(#,##0.0\)"/>
    <numFmt numFmtId="166" formatCode="_-* #,##0.00\ [$€-1]_-;\-* #,##0.00\ [$€-1]_-;_-* &quot;-&quot;??\ [$€-1]_-"/>
    <numFmt numFmtId="167" formatCode="0.000_)"/>
    <numFmt numFmtId="168" formatCode="#,##0.00000"/>
    <numFmt numFmtId="173" formatCode="_-* #,##0.00\ &quot;€&quot;_-;\-* #,##0.00\ &quot;€&quot;_-;_-* &quot;-&quot;??\ &quot;€&quot;_-;_-@_-"/>
    <numFmt numFmtId="179" formatCode="_([$€-2]\ * #,##0.00_);_([$€-2]\ * \(#,##0.00\);_([$€-2]\ * &quot;-&quot;??_)"/>
  </numFmts>
  <fonts count="28">
    <font>
      <sz val="10"/>
      <name val="Arial"/>
    </font>
    <font>
      <sz val="10"/>
      <name val="Arial"/>
      <family val="2"/>
    </font>
    <font>
      <sz val="12"/>
      <name val="Helv"/>
    </font>
    <font>
      <b/>
      <sz val="10"/>
      <name val="Univers Condensed"/>
      <family val="2"/>
    </font>
    <font>
      <b/>
      <sz val="9"/>
      <name val="Univers Condensed"/>
      <family val="2"/>
    </font>
    <font>
      <b/>
      <sz val="14"/>
      <name val="CG Omega (W1)"/>
      <family val="2"/>
    </font>
    <font>
      <b/>
      <sz val="12"/>
      <name val="CG Omega (W1)"/>
      <family val="2"/>
    </font>
    <font>
      <b/>
      <sz val="11"/>
      <name val="CG Omega"/>
      <family val="2"/>
    </font>
    <font>
      <b/>
      <sz val="13"/>
      <color indexed="18"/>
      <name val="CG Omega (W1)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i/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sz val="13"/>
      <name val="CG Omega"/>
      <family val="2"/>
    </font>
    <font>
      <sz val="13"/>
      <color indexed="18"/>
      <name val="Helv"/>
    </font>
    <font>
      <sz val="11"/>
      <name val="Helv"/>
    </font>
    <font>
      <b/>
      <sz val="13"/>
      <name val="CG Omega (W1)"/>
      <family val="2"/>
    </font>
    <font>
      <sz val="10"/>
      <name val="CG Omega (W1)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Helv"/>
    </font>
    <font>
      <sz val="12"/>
      <color theme="1"/>
      <name val="Helv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55"/>
      </top>
      <bottom style="medium">
        <color indexed="55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4" fontId="2" fillId="0" borderId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1" fillId="0" borderId="0"/>
  </cellStyleXfs>
  <cellXfs count="139">
    <xf numFmtId="0" fontId="0" fillId="0" borderId="0" xfId="0"/>
    <xf numFmtId="164" fontId="2" fillId="0" borderId="0" xfId="2"/>
    <xf numFmtId="0" fontId="3" fillId="0" borderId="0" xfId="0" applyFont="1" applyAlignment="1">
      <alignment horizontal="left"/>
    </xf>
    <xf numFmtId="164" fontId="2" fillId="0" borderId="0" xfId="2" applyAlignment="1">
      <alignment horizontal="left"/>
    </xf>
    <xf numFmtId="0" fontId="4" fillId="0" borderId="0" xfId="0" applyFont="1" applyAlignment="1">
      <alignment horizontal="left"/>
    </xf>
    <xf numFmtId="164" fontId="2" fillId="0" borderId="1" xfId="2" applyBorder="1"/>
    <xf numFmtId="164" fontId="9" fillId="0" borderId="0" xfId="2" applyFont="1" applyAlignment="1">
      <alignment horizontal="center" vertical="center"/>
    </xf>
    <xf numFmtId="164" fontId="9" fillId="0" borderId="0" xfId="2" applyFont="1" applyAlignment="1">
      <alignment horizontal="left" vertical="center"/>
    </xf>
    <xf numFmtId="164" fontId="10" fillId="0" borderId="0" xfId="2" applyFont="1" applyAlignment="1">
      <alignment vertical="center"/>
    </xf>
    <xf numFmtId="164" fontId="11" fillId="0" borderId="0" xfId="2" applyFont="1" applyAlignment="1">
      <alignment horizontal="left" vertical="center"/>
    </xf>
    <xf numFmtId="3" fontId="12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center" vertical="center"/>
    </xf>
    <xf numFmtId="1" fontId="13" fillId="0" borderId="3" xfId="2" applyNumberFormat="1" applyFont="1" applyBorder="1" applyAlignment="1">
      <alignment vertical="center"/>
    </xf>
    <xf numFmtId="164" fontId="13" fillId="0" borderId="3" xfId="2" applyFont="1" applyBorder="1" applyAlignment="1">
      <alignment horizontal="left" vertical="center"/>
    </xf>
    <xf numFmtId="15" fontId="13" fillId="0" borderId="3" xfId="2" applyNumberFormat="1" applyFont="1" applyBorder="1" applyAlignment="1">
      <alignment horizontal="center" vertical="center"/>
    </xf>
    <xf numFmtId="164" fontId="13" fillId="0" borderId="3" xfId="2" applyFont="1" applyBorder="1" applyAlignment="1">
      <alignment horizontal="center" vertical="center"/>
    </xf>
    <xf numFmtId="39" fontId="2" fillId="0" borderId="0" xfId="2" applyNumberFormat="1"/>
    <xf numFmtId="3" fontId="13" fillId="0" borderId="3" xfId="2" applyNumberFormat="1" applyFont="1" applyBorder="1" applyAlignment="1">
      <alignment vertical="center"/>
    </xf>
    <xf numFmtId="1" fontId="13" fillId="0" borderId="0" xfId="2" applyNumberFormat="1" applyFont="1" applyAlignment="1">
      <alignment vertical="center"/>
    </xf>
    <xf numFmtId="15" fontId="13" fillId="0" borderId="0" xfId="2" applyNumberFormat="1" applyFont="1" applyAlignment="1">
      <alignment horizontal="center" vertical="center"/>
    </xf>
    <xf numFmtId="164" fontId="13" fillId="0" borderId="0" xfId="2" applyFont="1" applyAlignment="1">
      <alignment horizontal="left" vertical="center"/>
    </xf>
    <xf numFmtId="164" fontId="13" fillId="0" borderId="0" xfId="2" applyFont="1" applyAlignment="1">
      <alignment horizontal="center" vertical="center"/>
    </xf>
    <xf numFmtId="3" fontId="13" fillId="0" borderId="0" xfId="2" applyNumberFormat="1" applyFont="1" applyAlignment="1">
      <alignment vertical="center"/>
    </xf>
    <xf numFmtId="37" fontId="13" fillId="0" borderId="0" xfId="2" applyNumberFormat="1" applyFont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15" fillId="2" borderId="4" xfId="2" applyFont="1" applyFill="1" applyBorder="1" applyAlignment="1">
      <alignment horizontal="left" vertical="center"/>
    </xf>
    <xf numFmtId="15" fontId="15" fillId="2" borderId="4" xfId="2" applyNumberFormat="1" applyFont="1" applyFill="1" applyBorder="1" applyAlignment="1">
      <alignment horizontal="center" vertical="center"/>
    </xf>
    <xf numFmtId="164" fontId="15" fillId="2" borderId="4" xfId="2" applyFont="1" applyFill="1" applyBorder="1" applyAlignment="1">
      <alignment horizontal="center" vertical="center"/>
    </xf>
    <xf numFmtId="37" fontId="15" fillId="2" borderId="4" xfId="2" applyNumberFormat="1" applyFont="1" applyFill="1" applyBorder="1" applyAlignment="1">
      <alignment vertical="center"/>
    </xf>
    <xf numFmtId="3" fontId="15" fillId="2" borderId="4" xfId="2" applyNumberFormat="1" applyFont="1" applyFill="1" applyBorder="1" applyAlignment="1">
      <alignment vertical="center"/>
    </xf>
    <xf numFmtId="1" fontId="16" fillId="2" borderId="0" xfId="2" applyNumberFormat="1" applyFont="1" applyFill="1" applyAlignment="1">
      <alignment vertical="center"/>
    </xf>
    <xf numFmtId="164" fontId="17" fillId="2" borderId="0" xfId="2" applyFont="1" applyFill="1" applyAlignment="1">
      <alignment horizontal="center" vertical="center"/>
    </xf>
    <xf numFmtId="15" fontId="18" fillId="2" borderId="0" xfId="2" applyNumberFormat="1" applyFont="1" applyFill="1" applyAlignment="1">
      <alignment vertical="center"/>
    </xf>
    <xf numFmtId="164" fontId="18" fillId="2" borderId="0" xfId="2" applyFont="1" applyFill="1" applyAlignment="1">
      <alignment vertical="center"/>
    </xf>
    <xf numFmtId="39" fontId="18" fillId="2" borderId="0" xfId="2" applyNumberFormat="1" applyFont="1" applyFill="1" applyAlignment="1">
      <alignment vertical="center"/>
    </xf>
    <xf numFmtId="3" fontId="19" fillId="2" borderId="0" xfId="2" applyNumberFormat="1" applyFont="1" applyFill="1" applyAlignment="1">
      <alignment vertical="center"/>
    </xf>
    <xf numFmtId="164" fontId="20" fillId="2" borderId="5" xfId="2" applyFont="1" applyFill="1" applyBorder="1"/>
    <xf numFmtId="15" fontId="20" fillId="2" borderId="5" xfId="2" applyNumberFormat="1" applyFont="1" applyFill="1" applyBorder="1"/>
    <xf numFmtId="39" fontId="20" fillId="2" borderId="5" xfId="2" applyNumberFormat="1" applyFont="1" applyFill="1" applyBorder="1"/>
    <xf numFmtId="3" fontId="20" fillId="2" borderId="5" xfId="2" applyNumberFormat="1" applyFont="1" applyFill="1" applyBorder="1"/>
    <xf numFmtId="15" fontId="2" fillId="0" borderId="0" xfId="2" applyNumberFormat="1"/>
    <xf numFmtId="0" fontId="2" fillId="0" borderId="0" xfId="2" applyNumberFormat="1"/>
    <xf numFmtId="164" fontId="13" fillId="0" borderId="3" xfId="2" applyFont="1" applyBorder="1" applyAlignment="1">
      <alignment vertical="center"/>
    </xf>
    <xf numFmtId="164" fontId="21" fillId="0" borderId="0" xfId="2" applyFont="1"/>
    <xf numFmtId="164" fontId="23" fillId="0" borderId="0" xfId="2" applyFont="1"/>
    <xf numFmtId="164" fontId="11" fillId="3" borderId="0" xfId="2" applyFont="1" applyFill="1" applyAlignment="1">
      <alignment horizontal="center" vertical="center"/>
    </xf>
    <xf numFmtId="164" fontId="11" fillId="3" borderId="0" xfId="2" applyFont="1" applyFill="1" applyAlignment="1">
      <alignment horizontal="left" vertical="center"/>
    </xf>
    <xf numFmtId="164" fontId="10" fillId="3" borderId="0" xfId="2" applyFont="1" applyFill="1" applyAlignment="1">
      <alignment vertical="center"/>
    </xf>
    <xf numFmtId="165" fontId="10" fillId="3" borderId="0" xfId="2" applyNumberFormat="1" applyFont="1" applyFill="1" applyAlignment="1">
      <alignment vertical="center"/>
    </xf>
    <xf numFmtId="3" fontId="11" fillId="3" borderId="0" xfId="2" applyNumberFormat="1" applyFont="1" applyFill="1" applyAlignment="1">
      <alignment vertical="center"/>
    </xf>
    <xf numFmtId="164" fontId="21" fillId="3" borderId="0" xfId="2" applyFont="1" applyFill="1"/>
    <xf numFmtId="164" fontId="2" fillId="3" borderId="0" xfId="2" applyFill="1"/>
    <xf numFmtId="1" fontId="13" fillId="3" borderId="3" xfId="2" applyNumberFormat="1" applyFont="1" applyFill="1" applyBorder="1" applyAlignment="1">
      <alignment vertical="center"/>
    </xf>
    <xf numFmtId="164" fontId="13" fillId="3" borderId="3" xfId="2" applyFont="1" applyFill="1" applyBorder="1" applyAlignment="1">
      <alignment horizontal="left" vertical="center"/>
    </xf>
    <xf numFmtId="15" fontId="13" fillId="3" borderId="3" xfId="2" applyNumberFormat="1" applyFont="1" applyFill="1" applyBorder="1" applyAlignment="1">
      <alignment horizontal="center" vertical="center"/>
    </xf>
    <xf numFmtId="164" fontId="13" fillId="3" borderId="3" xfId="2" applyFont="1" applyFill="1" applyBorder="1" applyAlignment="1">
      <alignment horizontal="center" vertical="center"/>
    </xf>
    <xf numFmtId="3" fontId="13" fillId="3" borderId="3" xfId="2" applyNumberFormat="1" applyFont="1" applyFill="1" applyBorder="1" applyAlignment="1">
      <alignment vertical="center"/>
    </xf>
    <xf numFmtId="15" fontId="10" fillId="3" borderId="0" xfId="2" applyNumberFormat="1" applyFont="1" applyFill="1" applyAlignment="1">
      <alignment vertical="center"/>
    </xf>
    <xf numFmtId="39" fontId="10" fillId="3" borderId="0" xfId="2" applyNumberFormat="1" applyFont="1" applyFill="1" applyAlignment="1">
      <alignment vertical="center"/>
    </xf>
    <xf numFmtId="164" fontId="10" fillId="3" borderId="0" xfId="2" applyFont="1" applyFill="1"/>
    <xf numFmtId="37" fontId="10" fillId="3" borderId="0" xfId="2" applyNumberFormat="1" applyFont="1" applyFill="1" applyAlignment="1">
      <alignment vertical="center"/>
    </xf>
    <xf numFmtId="164" fontId="13" fillId="3" borderId="3" xfId="2" applyFont="1" applyFill="1" applyBorder="1" applyAlignment="1">
      <alignment vertical="center"/>
    </xf>
    <xf numFmtId="3" fontId="10" fillId="3" borderId="0" xfId="2" applyNumberFormat="1" applyFont="1" applyFill="1" applyAlignment="1">
      <alignment vertical="center"/>
    </xf>
    <xf numFmtId="164" fontId="9" fillId="3" borderId="0" xfId="2" applyFont="1" applyFill="1" applyAlignment="1">
      <alignment horizontal="center" vertical="center"/>
    </xf>
    <xf numFmtId="164" fontId="9" fillId="3" borderId="0" xfId="2" applyFont="1" applyFill="1" applyAlignment="1">
      <alignment horizontal="left" vertical="center"/>
    </xf>
    <xf numFmtId="3" fontId="12" fillId="3" borderId="0" xfId="2" applyNumberFormat="1" applyFont="1" applyFill="1" applyAlignment="1">
      <alignment vertical="center"/>
    </xf>
    <xf numFmtId="164" fontId="14" fillId="3" borderId="0" xfId="2" applyFont="1" applyFill="1" applyAlignment="1">
      <alignment vertical="center"/>
    </xf>
    <xf numFmtId="15" fontId="13" fillId="3" borderId="0" xfId="2" applyNumberFormat="1" applyFont="1" applyFill="1" applyAlignment="1">
      <alignment vertical="center"/>
    </xf>
    <xf numFmtId="164" fontId="13" fillId="3" borderId="0" xfId="2" applyFont="1" applyFill="1" applyAlignment="1">
      <alignment vertical="center"/>
    </xf>
    <xf numFmtId="3" fontId="13" fillId="3" borderId="0" xfId="2" applyNumberFormat="1" applyFont="1" applyFill="1" applyAlignment="1">
      <alignment vertical="center"/>
    </xf>
    <xf numFmtId="1" fontId="13" fillId="3" borderId="0" xfId="2" applyNumberFormat="1" applyFont="1" applyFill="1" applyAlignment="1">
      <alignment vertical="center"/>
    </xf>
    <xf numFmtId="164" fontId="13" fillId="3" borderId="0" xfId="2" applyFont="1" applyFill="1" applyAlignment="1">
      <alignment horizontal="left" vertical="center"/>
    </xf>
    <xf numFmtId="15" fontId="13" fillId="3" borderId="0" xfId="2" applyNumberFormat="1" applyFont="1" applyFill="1" applyAlignment="1">
      <alignment horizontal="center" vertical="center"/>
    </xf>
    <xf numFmtId="164" fontId="13" fillId="3" borderId="0" xfId="2" applyFont="1" applyFill="1" applyAlignment="1">
      <alignment horizontal="center" vertical="center"/>
    </xf>
    <xf numFmtId="164" fontId="13" fillId="3" borderId="6" xfId="2" applyFont="1" applyFill="1" applyBorder="1" applyAlignment="1">
      <alignment horizontal="left" vertical="center"/>
    </xf>
    <xf numFmtId="167" fontId="2" fillId="0" borderId="0" xfId="2" applyNumberFormat="1" applyAlignment="1">
      <alignment horizontal="left"/>
    </xf>
    <xf numFmtId="167" fontId="2" fillId="0" borderId="1" xfId="2" applyNumberFormat="1" applyBorder="1"/>
    <xf numFmtId="167" fontId="2" fillId="0" borderId="0" xfId="2" applyNumberFormat="1"/>
    <xf numFmtId="4" fontId="2" fillId="0" borderId="0" xfId="2" applyNumberFormat="1" applyAlignment="1">
      <alignment horizontal="left"/>
    </xf>
    <xf numFmtId="4" fontId="2" fillId="0" borderId="1" xfId="2" applyNumberFormat="1" applyBorder="1"/>
    <xf numFmtId="4" fontId="2" fillId="0" borderId="0" xfId="2" applyNumberFormat="1"/>
    <xf numFmtId="3" fontId="10" fillId="3" borderId="0" xfId="2" applyNumberFormat="1" applyFont="1" applyFill="1"/>
    <xf numFmtId="3" fontId="10" fillId="0" borderId="0" xfId="2" applyNumberFormat="1" applyFont="1"/>
    <xf numFmtId="3" fontId="10" fillId="0" borderId="0" xfId="2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/>
    </xf>
    <xf numFmtId="1" fontId="8" fillId="2" borderId="7" xfId="2" applyNumberFormat="1" applyFont="1" applyFill="1" applyBorder="1" applyAlignment="1">
      <alignment horizontal="center" vertical="center"/>
    </xf>
    <xf numFmtId="164" fontId="2" fillId="0" borderId="0" xfId="2" applyAlignment="1">
      <alignment horizontal="center"/>
    </xf>
    <xf numFmtId="164" fontId="2" fillId="0" borderId="1" xfId="2" applyBorder="1" applyAlignment="1">
      <alignment horizontal="center"/>
    </xf>
    <xf numFmtId="164" fontId="10" fillId="0" borderId="0" xfId="2" applyFont="1" applyAlignment="1">
      <alignment horizontal="center" vertical="center"/>
    </xf>
    <xf numFmtId="164" fontId="10" fillId="3" borderId="0" xfId="2" applyFont="1" applyFill="1" applyAlignment="1">
      <alignment horizontal="center" vertical="center"/>
    </xf>
    <xf numFmtId="3" fontId="13" fillId="3" borderId="3" xfId="2" applyNumberFormat="1" applyFont="1" applyFill="1" applyBorder="1" applyAlignment="1">
      <alignment horizontal="center" vertical="center"/>
    </xf>
    <xf numFmtId="3" fontId="13" fillId="0" borderId="3" xfId="2" applyNumberFormat="1" applyFont="1" applyBorder="1" applyAlignment="1">
      <alignment horizontal="center" vertical="center"/>
    </xf>
    <xf numFmtId="164" fontId="10" fillId="3" borderId="0" xfId="2" applyFont="1" applyFill="1" applyAlignment="1">
      <alignment horizontal="center"/>
    </xf>
    <xf numFmtId="164" fontId="18" fillId="2" borderId="0" xfId="2" applyFont="1" applyFill="1" applyAlignment="1">
      <alignment horizontal="center" vertical="center"/>
    </xf>
    <xf numFmtId="164" fontId="20" fillId="2" borderId="5" xfId="2" applyFont="1" applyFill="1" applyBorder="1" applyAlignment="1">
      <alignment horizontal="center"/>
    </xf>
    <xf numFmtId="164" fontId="5" fillId="0" borderId="0" xfId="2" applyFont="1" applyAlignment="1">
      <alignment horizontal="center" vertical="center"/>
    </xf>
    <xf numFmtId="164" fontId="22" fillId="0" borderId="0" xfId="2" applyFont="1" applyAlignment="1">
      <alignment horizontal="center" vertical="center"/>
    </xf>
    <xf numFmtId="164" fontId="6" fillId="0" borderId="0" xfId="2" applyFont="1" applyAlignment="1">
      <alignment horizontal="center" vertical="center"/>
    </xf>
    <xf numFmtId="164" fontId="7" fillId="0" borderId="2" xfId="2" applyFont="1" applyBorder="1" applyAlignment="1">
      <alignment horizontal="center"/>
    </xf>
    <xf numFmtId="164" fontId="13" fillId="0" borderId="3" xfId="2" quotePrefix="1" applyFont="1" applyBorder="1" applyAlignment="1">
      <alignment horizontal="left" vertical="center"/>
    </xf>
    <xf numFmtId="164" fontId="5" fillId="0" borderId="0" xfId="2" applyFont="1" applyAlignment="1">
      <alignment horizontal="left" vertical="center"/>
    </xf>
    <xf numFmtId="164" fontId="22" fillId="0" borderId="0" xfId="2" applyFont="1" applyAlignment="1">
      <alignment horizontal="left" vertical="center"/>
    </xf>
    <xf numFmtId="164" fontId="6" fillId="0" borderId="0" xfId="2" applyFont="1" applyAlignment="1">
      <alignment horizontal="left" vertical="center"/>
    </xf>
    <xf numFmtId="164" fontId="7" fillId="0" borderId="2" xfId="2" applyFont="1" applyBorder="1" applyAlignment="1">
      <alignment horizontal="left"/>
    </xf>
    <xf numFmtId="0" fontId="24" fillId="0" borderId="0" xfId="0" applyFont="1" applyAlignment="1">
      <alignment horizontal="left"/>
    </xf>
    <xf numFmtId="164" fontId="25" fillId="0" borderId="3" xfId="2" applyFont="1" applyBorder="1" applyAlignment="1">
      <alignment horizontal="left" vertical="center"/>
    </xf>
    <xf numFmtId="15" fontId="25" fillId="0" borderId="3" xfId="2" applyNumberFormat="1" applyFont="1" applyBorder="1" applyAlignment="1">
      <alignment horizontal="center" vertical="center"/>
    </xf>
    <xf numFmtId="3" fontId="25" fillId="0" borderId="3" xfId="2" applyNumberFormat="1" applyFont="1" applyBorder="1" applyAlignment="1">
      <alignment horizontal="center" vertical="center"/>
    </xf>
    <xf numFmtId="3" fontId="25" fillId="0" borderId="3" xfId="2" applyNumberFormat="1" applyFont="1" applyBorder="1" applyAlignment="1">
      <alignment vertical="center"/>
    </xf>
    <xf numFmtId="3" fontId="25" fillId="3" borderId="3" xfId="2" applyNumberFormat="1" applyFont="1" applyFill="1" applyBorder="1" applyAlignment="1">
      <alignment vertical="center"/>
    </xf>
    <xf numFmtId="164" fontId="26" fillId="0" borderId="0" xfId="2" applyFont="1"/>
    <xf numFmtId="164" fontId="25" fillId="3" borderId="3" xfId="2" applyFont="1" applyFill="1" applyBorder="1" applyAlignment="1">
      <alignment horizontal="left" vertical="center"/>
    </xf>
    <xf numFmtId="15" fontId="25" fillId="3" borderId="3" xfId="2" applyNumberFormat="1" applyFont="1" applyFill="1" applyBorder="1" applyAlignment="1">
      <alignment horizontal="center" vertical="center"/>
    </xf>
    <xf numFmtId="164" fontId="25" fillId="3" borderId="3" xfId="2" applyFont="1" applyFill="1" applyBorder="1" applyAlignment="1">
      <alignment vertical="center"/>
    </xf>
    <xf numFmtId="3" fontId="25" fillId="3" borderId="3" xfId="2" applyNumberFormat="1" applyFont="1" applyFill="1" applyBorder="1" applyAlignment="1">
      <alignment horizontal="center" vertical="center"/>
    </xf>
    <xf numFmtId="164" fontId="26" fillId="3" borderId="0" xfId="2" applyFont="1" applyFill="1"/>
    <xf numFmtId="164" fontId="25" fillId="0" borderId="3" xfId="2" applyFont="1" applyBorder="1" applyAlignment="1">
      <alignment vertical="center"/>
    </xf>
    <xf numFmtId="164" fontId="25" fillId="0" borderId="3" xfId="2" applyFont="1" applyBorder="1" applyAlignment="1">
      <alignment horizontal="center" vertical="center"/>
    </xf>
    <xf numFmtId="1" fontId="25" fillId="3" borderId="3" xfId="2" applyNumberFormat="1" applyFont="1" applyFill="1" applyBorder="1" applyAlignment="1">
      <alignment vertical="center"/>
    </xf>
    <xf numFmtId="164" fontId="25" fillId="3" borderId="3" xfId="2" applyFont="1" applyFill="1" applyBorder="1" applyAlignment="1">
      <alignment horizontal="center" vertical="center"/>
    </xf>
    <xf numFmtId="164" fontId="27" fillId="3" borderId="0" xfId="2" applyFont="1" applyFill="1"/>
    <xf numFmtId="1" fontId="25" fillId="0" borderId="0" xfId="2" applyNumberFormat="1" applyFont="1" applyBorder="1" applyAlignment="1">
      <alignment vertical="center"/>
    </xf>
    <xf numFmtId="164" fontId="25" fillId="0" borderId="0" xfId="2" applyFont="1" applyBorder="1" applyAlignment="1">
      <alignment horizontal="left" vertical="center"/>
    </xf>
    <xf numFmtId="15" fontId="25" fillId="0" borderId="0" xfId="2" applyNumberFormat="1" applyFont="1" applyBorder="1" applyAlignment="1">
      <alignment horizontal="center" vertical="center"/>
    </xf>
    <xf numFmtId="164" fontId="25" fillId="3" borderId="0" xfId="2" applyFont="1" applyFill="1" applyBorder="1" applyAlignment="1">
      <alignment horizontal="left" vertical="center"/>
    </xf>
    <xf numFmtId="3" fontId="25" fillId="0" borderId="0" xfId="2" applyNumberFormat="1" applyFont="1" applyBorder="1" applyAlignment="1">
      <alignment horizontal="center" vertical="center"/>
    </xf>
    <xf numFmtId="3" fontId="25" fillId="0" borderId="0" xfId="2" applyNumberFormat="1" applyFont="1" applyBorder="1" applyAlignment="1">
      <alignment vertical="center"/>
    </xf>
    <xf numFmtId="3" fontId="13" fillId="3" borderId="0" xfId="2" applyNumberFormat="1" applyFont="1" applyFill="1" applyBorder="1" applyAlignment="1">
      <alignment vertical="center"/>
    </xf>
    <xf numFmtId="1" fontId="13" fillId="3" borderId="0" xfId="2" applyNumberFormat="1" applyFont="1" applyFill="1" applyBorder="1" applyAlignment="1">
      <alignment vertical="center"/>
    </xf>
    <xf numFmtId="164" fontId="13" fillId="3" borderId="0" xfId="2" applyFont="1" applyFill="1" applyBorder="1" applyAlignment="1">
      <alignment horizontal="left" vertical="center"/>
    </xf>
    <xf numFmtId="15" fontId="13" fillId="3" borderId="0" xfId="2" applyNumberFormat="1" applyFont="1" applyFill="1" applyBorder="1" applyAlignment="1">
      <alignment horizontal="center" vertical="center"/>
    </xf>
    <xf numFmtId="164" fontId="13" fillId="0" borderId="0" xfId="2" applyFont="1" applyBorder="1" applyAlignment="1">
      <alignment vertical="center"/>
    </xf>
    <xf numFmtId="164" fontId="13" fillId="3" borderId="0" xfId="2" applyFont="1" applyFill="1" applyBorder="1" applyAlignment="1">
      <alignment horizontal="center" vertical="center"/>
    </xf>
    <xf numFmtId="3" fontId="13" fillId="0" borderId="0" xfId="2" applyNumberFormat="1" applyFont="1" applyBorder="1" applyAlignment="1">
      <alignment vertical="center"/>
    </xf>
    <xf numFmtId="164" fontId="25" fillId="0" borderId="0" xfId="2" applyFont="1" applyBorder="1" applyAlignment="1">
      <alignment vertical="center"/>
    </xf>
    <xf numFmtId="3" fontId="25" fillId="3" borderId="0" xfId="2" applyNumberFormat="1" applyFont="1" applyFill="1" applyBorder="1" applyAlignment="1">
      <alignment vertical="center"/>
    </xf>
    <xf numFmtId="164" fontId="25" fillId="0" borderId="0" xfId="2" applyFont="1" applyBorder="1" applyAlignment="1">
      <alignment horizontal="center" vertical="center"/>
    </xf>
  </cellXfs>
  <cellStyles count="8">
    <cellStyle name="Euro" xfId="1" xr:uid="{00000000-0005-0000-0000-000000000000}"/>
    <cellStyle name="Euro 2" xfId="3" xr:uid="{A4C8DBB9-640A-4C83-BE64-AC0AE91C5AED}"/>
    <cellStyle name="Moneda 2" xfId="5" xr:uid="{0C13FCDA-0029-40F4-A255-9C516AD9E281}"/>
    <cellStyle name="Normal" xfId="0" builtinId="0"/>
    <cellStyle name="Normal 10" xfId="6" xr:uid="{6CF959EB-BECD-4902-AFF7-9B9996C714A9}"/>
    <cellStyle name="Normal 2 2" xfId="7" xr:uid="{718234C2-46EF-45B5-85E5-6FCF5E087AE8}"/>
    <cellStyle name="Normal_DESEM_1997" xfId="2" xr:uid="{00000000-0005-0000-0000-000002000000}"/>
    <cellStyle name="Porcentaje 2" xfId="4" xr:uid="{6C78470D-AB49-404F-AC6E-133AD7050B41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GP283"/>
  <sheetViews>
    <sheetView showGridLines="0" tabSelected="1" topLeftCell="A9" zoomScale="70" zoomScaleNormal="70" zoomScaleSheetLayoutView="85" workbookViewId="0">
      <pane xSplit="3" ySplit="3" topLeftCell="M256" activePane="bottomRight" state="frozen"/>
      <selection activeCell="A9" sqref="A9"/>
      <selection pane="topRight" activeCell="D9" sqref="D9"/>
      <selection pane="bottomLeft" activeCell="A12" sqref="A12"/>
      <selection pane="bottomRight" activeCell="D160" sqref="D160"/>
    </sheetView>
  </sheetViews>
  <sheetFormatPr baseColWidth="10" defaultColWidth="12.5703125" defaultRowHeight="15.75"/>
  <cols>
    <col min="1" max="1" width="6" style="1" customWidth="1"/>
    <col min="2" max="2" width="19.140625" style="1" customWidth="1"/>
    <col min="3" max="3" width="15" style="1" customWidth="1"/>
    <col min="4" max="4" width="50.42578125" style="1" customWidth="1"/>
    <col min="5" max="5" width="16.140625" style="1" customWidth="1"/>
    <col min="6" max="6" width="15.7109375" style="1" customWidth="1"/>
    <col min="7" max="7" width="6.85546875" style="88" customWidth="1"/>
    <col min="8" max="8" width="14.7109375" style="1" customWidth="1"/>
    <col min="9" max="16" width="15.7109375" style="77" customWidth="1"/>
    <col min="17" max="21" width="15.7109375" style="80" customWidth="1"/>
    <col min="22" max="22" width="16" style="1" customWidth="1"/>
    <col min="23" max="16384" width="12.5703125" style="1"/>
  </cols>
  <sheetData>
    <row r="1" spans="1:198" s="41" customFormat="1" ht="15.75" hidden="1" customHeight="1">
      <c r="A1" s="2" t="s">
        <v>7</v>
      </c>
      <c r="B1" s="3"/>
      <c r="C1" s="3"/>
      <c r="D1" s="3"/>
      <c r="E1" s="3"/>
      <c r="F1" s="3"/>
      <c r="G1" s="88"/>
      <c r="H1" s="3"/>
      <c r="I1" s="75"/>
      <c r="J1" s="75"/>
      <c r="K1" s="75"/>
      <c r="L1" s="75"/>
      <c r="M1" s="75"/>
      <c r="N1" s="75"/>
      <c r="O1" s="75"/>
      <c r="P1" s="75"/>
      <c r="Q1" s="78"/>
      <c r="R1" s="78"/>
      <c r="S1" s="78"/>
      <c r="T1" s="78"/>
      <c r="U1" s="78"/>
      <c r="V1" s="3"/>
    </row>
    <row r="2" spans="1:198">
      <c r="A2" s="106" t="s">
        <v>505</v>
      </c>
      <c r="B2" s="3"/>
      <c r="C2" s="3"/>
      <c r="D2" s="3"/>
      <c r="E2" s="3"/>
      <c r="F2" s="3"/>
      <c r="H2" s="3"/>
      <c r="I2" s="75"/>
      <c r="J2" s="75"/>
      <c r="K2" s="75"/>
      <c r="L2" s="75"/>
      <c r="M2" s="75"/>
      <c r="N2" s="75"/>
      <c r="O2" s="75"/>
      <c r="P2" s="75"/>
      <c r="Q2" s="78"/>
      <c r="R2" s="78"/>
      <c r="S2" s="78"/>
      <c r="T2" s="78"/>
      <c r="U2" s="78"/>
      <c r="V2" s="3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</row>
    <row r="3" spans="1:198" ht="13.5" customHeight="1">
      <c r="A3" s="4"/>
      <c r="B3" s="3"/>
      <c r="C3" s="3"/>
      <c r="D3" s="3"/>
      <c r="E3" s="3"/>
      <c r="F3" s="3"/>
      <c r="H3" s="3"/>
      <c r="I3" s="75"/>
      <c r="J3" s="75"/>
      <c r="K3" s="75"/>
      <c r="L3" s="75"/>
      <c r="M3" s="75"/>
      <c r="N3" s="75"/>
      <c r="O3" s="75"/>
      <c r="P3" s="75"/>
      <c r="Q3" s="78"/>
      <c r="R3" s="78"/>
      <c r="S3" s="78"/>
      <c r="T3" s="78"/>
      <c r="U3" s="78"/>
      <c r="V3" s="3"/>
    </row>
    <row r="4" spans="1:198" ht="18" customHeight="1">
      <c r="A4" s="102" t="s">
        <v>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198" ht="15.75" customHeight="1">
      <c r="A5" s="103" t="s">
        <v>446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</row>
    <row r="6" spans="1:198" ht="15.75" customHeight="1">
      <c r="A6" s="103" t="s">
        <v>506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</row>
    <row r="7" spans="1:198" ht="15.75" customHeight="1">
      <c r="A7" s="104" t="s">
        <v>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</row>
    <row r="8" spans="1:198" ht="16.5" customHeight="1" thickBot="1">
      <c r="A8" s="105" t="s">
        <v>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</row>
    <row r="9" spans="1:198" ht="34.5" customHeight="1" thickBot="1">
      <c r="A9" s="86" t="s">
        <v>445</v>
      </c>
      <c r="B9" s="86" t="s">
        <v>439</v>
      </c>
      <c r="C9" s="85" t="s">
        <v>441</v>
      </c>
      <c r="D9" s="86" t="s">
        <v>440</v>
      </c>
      <c r="E9" s="85" t="s">
        <v>442</v>
      </c>
      <c r="F9" s="85" t="s">
        <v>443</v>
      </c>
      <c r="G9" s="86" t="s">
        <v>10</v>
      </c>
      <c r="H9" s="85" t="s">
        <v>444</v>
      </c>
      <c r="I9" s="87">
        <v>2010</v>
      </c>
      <c r="J9" s="87">
        <v>2011</v>
      </c>
      <c r="K9" s="87">
        <v>2012</v>
      </c>
      <c r="L9" s="87">
        <v>2013</v>
      </c>
      <c r="M9" s="87">
        <v>2014</v>
      </c>
      <c r="N9" s="87">
        <v>2015</v>
      </c>
      <c r="O9" s="87">
        <v>2016</v>
      </c>
      <c r="P9" s="87">
        <v>2017</v>
      </c>
      <c r="Q9" s="87">
        <v>2018</v>
      </c>
      <c r="R9" s="87">
        <v>2019</v>
      </c>
      <c r="S9" s="87">
        <v>2020</v>
      </c>
      <c r="T9" s="87">
        <v>2021</v>
      </c>
      <c r="U9" s="87">
        <v>2022</v>
      </c>
      <c r="V9" s="86" t="s">
        <v>11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</row>
    <row r="10" spans="1:198" ht="12" customHeight="1">
      <c r="A10" s="5"/>
      <c r="B10" s="5"/>
      <c r="C10" s="5"/>
      <c r="D10" s="5"/>
      <c r="E10" s="5"/>
      <c r="F10" s="5"/>
      <c r="G10" s="89"/>
      <c r="H10" s="5"/>
      <c r="I10" s="76"/>
      <c r="J10" s="76"/>
      <c r="K10" s="76"/>
      <c r="L10" s="76"/>
      <c r="M10" s="76"/>
      <c r="N10" s="76"/>
      <c r="O10" s="76"/>
      <c r="P10" s="76"/>
      <c r="Q10" s="79"/>
      <c r="R10" s="79"/>
      <c r="S10" s="79"/>
      <c r="T10" s="79"/>
      <c r="U10" s="79"/>
      <c r="V10" s="5"/>
    </row>
    <row r="11" spans="1:198" ht="16.5">
      <c r="A11" s="6" t="s">
        <v>12</v>
      </c>
      <c r="B11" s="7" t="s">
        <v>13</v>
      </c>
      <c r="C11" s="8"/>
      <c r="D11" s="8"/>
      <c r="E11" s="9"/>
      <c r="F11" s="9"/>
      <c r="G11" s="90"/>
      <c r="H11" s="8"/>
      <c r="I11" s="10">
        <f>+I13+I109+I173+I195</f>
        <v>1043721.3892</v>
      </c>
      <c r="J11" s="10">
        <f>+J13+J109+J173+J195</f>
        <v>661028.28262000007</v>
      </c>
      <c r="K11" s="10">
        <f>+K13+K109+K173+K195</f>
        <v>363945.20174999995</v>
      </c>
      <c r="L11" s="10">
        <f>+L13+L109+L173+L195</f>
        <v>313681.61533999996</v>
      </c>
      <c r="M11" s="10">
        <f>+M13+M109+M173+M195</f>
        <v>364884.53473999997</v>
      </c>
      <c r="N11" s="10">
        <f>+N13+N109+N173+N195</f>
        <v>1231230.6390800003</v>
      </c>
      <c r="O11" s="10">
        <f>+O13+O109+O173+O195</f>
        <v>823464.69956999994</v>
      </c>
      <c r="P11" s="10">
        <f>+P13+P109+P173+P195</f>
        <v>305492.47469000006</v>
      </c>
      <c r="Q11" s="10">
        <f>+Q13+Q109+Q173+Q195</f>
        <v>458366.20066000003</v>
      </c>
      <c r="R11" s="10">
        <f>+R13+R109+R173+R195</f>
        <v>948791.19757999992</v>
      </c>
      <c r="S11" s="10">
        <f>+S13+S109+S173+S195</f>
        <v>261023</v>
      </c>
      <c r="T11" s="10">
        <f>+T13+T109+T173+T195</f>
        <v>2776028.2455599997</v>
      </c>
      <c r="U11" s="10">
        <f>+U13+U109+U173+U195</f>
        <v>1398191.7973300002</v>
      </c>
      <c r="V11" s="10">
        <f>+V13+V109+V173+V195</f>
        <v>7780082.9878599998</v>
      </c>
    </row>
    <row r="12" spans="1:198" ht="12" customHeight="1">
      <c r="A12" s="8"/>
      <c r="B12" s="8"/>
      <c r="C12" s="8"/>
      <c r="D12" s="8"/>
      <c r="E12" s="8"/>
      <c r="F12" s="8"/>
      <c r="G12" s="90"/>
      <c r="H12" s="8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198" s="51" customFormat="1">
      <c r="A13" s="45" t="s">
        <v>14</v>
      </c>
      <c r="B13" s="46" t="s">
        <v>15</v>
      </c>
      <c r="C13" s="47"/>
      <c r="D13" s="47"/>
      <c r="E13" s="47"/>
      <c r="F13" s="47"/>
      <c r="G13" s="91"/>
      <c r="H13" s="48"/>
      <c r="I13" s="49">
        <f>SUM(I14:I106)</f>
        <v>354179.21463</v>
      </c>
      <c r="J13" s="49">
        <f t="shared" ref="J13:U13" si="0">SUM(J14:J106)</f>
        <v>221464.82173999998</v>
      </c>
      <c r="K13" s="49">
        <f t="shared" si="0"/>
        <v>156949.26929999999</v>
      </c>
      <c r="L13" s="49">
        <f t="shared" si="0"/>
        <v>144344.73507999998</v>
      </c>
      <c r="M13" s="49">
        <f t="shared" si="0"/>
        <v>143593.91584</v>
      </c>
      <c r="N13" s="49">
        <f t="shared" si="0"/>
        <v>72077.393079999994</v>
      </c>
      <c r="O13" s="49">
        <f t="shared" si="0"/>
        <v>497979.9583</v>
      </c>
      <c r="P13" s="49">
        <f t="shared" si="0"/>
        <v>136987.61200000002</v>
      </c>
      <c r="Q13" s="49">
        <f t="shared" si="0"/>
        <v>59323.292359999999</v>
      </c>
      <c r="R13" s="49">
        <f t="shared" si="0"/>
        <v>192470.89406999998</v>
      </c>
      <c r="S13" s="49">
        <f t="shared" si="0"/>
        <v>205420</v>
      </c>
      <c r="T13" s="49">
        <f t="shared" si="0"/>
        <v>1166709.68242</v>
      </c>
      <c r="U13" s="49">
        <f t="shared" si="0"/>
        <v>684184.60938000004</v>
      </c>
      <c r="V13" s="49">
        <f>SUM(V14:V97)</f>
        <v>2516835.8079399997</v>
      </c>
    </row>
    <row r="14" spans="1:198" s="50" customFormat="1" ht="14.25" customHeight="1">
      <c r="A14" s="52">
        <v>1</v>
      </c>
      <c r="B14" s="53" t="s">
        <v>30</v>
      </c>
      <c r="C14" s="54">
        <v>37823</v>
      </c>
      <c r="D14" s="53" t="s">
        <v>419</v>
      </c>
      <c r="E14" s="53" t="s">
        <v>31</v>
      </c>
      <c r="F14" s="53" t="s">
        <v>32</v>
      </c>
      <c r="G14" s="92" t="s">
        <v>17</v>
      </c>
      <c r="H14" s="56">
        <v>60000</v>
      </c>
      <c r="I14" s="56">
        <v>3470.2979999999998</v>
      </c>
      <c r="J14" s="56">
        <v>8261.4196100000008</v>
      </c>
      <c r="K14" s="56">
        <v>-555.42168000000004</v>
      </c>
      <c r="L14" s="17">
        <v>0</v>
      </c>
      <c r="M14" s="17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f>SUM(I14:U14)</f>
        <v>11176.29593</v>
      </c>
    </row>
    <row r="15" spans="1:198" s="50" customFormat="1" ht="14.25" customHeight="1">
      <c r="A15" s="52">
        <f>A14+1</f>
        <v>2</v>
      </c>
      <c r="B15" s="53" t="s">
        <v>33</v>
      </c>
      <c r="C15" s="54">
        <v>38069</v>
      </c>
      <c r="D15" s="53" t="s">
        <v>420</v>
      </c>
      <c r="E15" s="53" t="s">
        <v>28</v>
      </c>
      <c r="F15" s="53" t="s">
        <v>298</v>
      </c>
      <c r="G15" s="92" t="s">
        <v>17</v>
      </c>
      <c r="H15" s="56">
        <v>8860</v>
      </c>
      <c r="I15" s="56">
        <v>775.31568000000004</v>
      </c>
      <c r="J15" s="56">
        <v>1413.4414300000001</v>
      </c>
      <c r="K15" s="56">
        <v>-16.551680000000001</v>
      </c>
      <c r="L15" s="17">
        <v>0</v>
      </c>
      <c r="M15" s="17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f t="shared" ref="V15:V78" si="1">SUM(I15:U15)</f>
        <v>2172.20543</v>
      </c>
    </row>
    <row r="16" spans="1:198" s="50" customFormat="1" ht="14.25" customHeight="1">
      <c r="A16" s="52">
        <f t="shared" ref="A16:A79" si="2">A15+1</f>
        <v>3</v>
      </c>
      <c r="B16" s="53" t="s">
        <v>34</v>
      </c>
      <c r="C16" s="54">
        <v>38042</v>
      </c>
      <c r="D16" s="53" t="s">
        <v>35</v>
      </c>
      <c r="E16" s="53" t="s">
        <v>36</v>
      </c>
      <c r="F16" s="53" t="s">
        <v>19</v>
      </c>
      <c r="G16" s="92" t="s">
        <v>17</v>
      </c>
      <c r="H16" s="56">
        <v>45000</v>
      </c>
      <c r="I16" s="56">
        <v>7318.0169699999997</v>
      </c>
      <c r="J16" s="56">
        <v>0</v>
      </c>
      <c r="K16" s="56">
        <v>0</v>
      </c>
      <c r="L16" s="17">
        <v>0</v>
      </c>
      <c r="M16" s="17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f t="shared" si="1"/>
        <v>7318.0169699999997</v>
      </c>
    </row>
    <row r="17" spans="1:22" s="50" customFormat="1" ht="14.25" customHeight="1">
      <c r="A17" s="52">
        <f t="shared" si="2"/>
        <v>4</v>
      </c>
      <c r="B17" s="53" t="s">
        <v>37</v>
      </c>
      <c r="C17" s="54">
        <v>37876</v>
      </c>
      <c r="D17" s="53" t="s">
        <v>421</v>
      </c>
      <c r="E17" s="53" t="s">
        <v>38</v>
      </c>
      <c r="F17" s="53" t="s">
        <v>38</v>
      </c>
      <c r="G17" s="92" t="s">
        <v>17</v>
      </c>
      <c r="H17" s="56">
        <v>28000</v>
      </c>
      <c r="I17" s="56">
        <v>9533.6758699999991</v>
      </c>
      <c r="J17" s="56">
        <v>1092.92797</v>
      </c>
      <c r="K17" s="56">
        <v>0</v>
      </c>
      <c r="L17" s="17">
        <v>0</v>
      </c>
      <c r="M17" s="17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f t="shared" si="1"/>
        <v>10626.60384</v>
      </c>
    </row>
    <row r="18" spans="1:22" s="50" customFormat="1" ht="14.25" customHeight="1">
      <c r="A18" s="52">
        <f t="shared" si="2"/>
        <v>5</v>
      </c>
      <c r="B18" s="53" t="s">
        <v>106</v>
      </c>
      <c r="C18" s="54">
        <v>38071</v>
      </c>
      <c r="D18" s="53" t="s">
        <v>422</v>
      </c>
      <c r="E18" s="53" t="s">
        <v>111</v>
      </c>
      <c r="F18" s="53" t="s">
        <v>26</v>
      </c>
      <c r="G18" s="92" t="s">
        <v>17</v>
      </c>
      <c r="H18" s="56">
        <v>18000</v>
      </c>
      <c r="I18" s="56">
        <v>1767.0739699999999</v>
      </c>
      <c r="J18" s="56">
        <v>0</v>
      </c>
      <c r="K18" s="56">
        <v>0</v>
      </c>
      <c r="L18" s="17">
        <v>0</v>
      </c>
      <c r="M18" s="17">
        <v>0</v>
      </c>
      <c r="N18" s="56">
        <v>0</v>
      </c>
      <c r="O18" s="17">
        <v>0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f t="shared" si="1"/>
        <v>1767.0739699999999</v>
      </c>
    </row>
    <row r="19" spans="1:22" s="50" customFormat="1" ht="14.25" customHeight="1">
      <c r="A19" s="52">
        <f t="shared" si="2"/>
        <v>6</v>
      </c>
      <c r="B19" s="53" t="s">
        <v>117</v>
      </c>
      <c r="C19" s="54">
        <v>38320</v>
      </c>
      <c r="D19" s="53" t="s">
        <v>423</v>
      </c>
      <c r="E19" s="53" t="s">
        <v>118</v>
      </c>
      <c r="F19" s="53" t="s">
        <v>24</v>
      </c>
      <c r="G19" s="92" t="s">
        <v>17</v>
      </c>
      <c r="H19" s="56">
        <v>750</v>
      </c>
      <c r="I19" s="56">
        <v>153.66244</v>
      </c>
      <c r="J19" s="56">
        <v>10.061640000000001</v>
      </c>
      <c r="K19" s="56">
        <v>0</v>
      </c>
      <c r="L19" s="17">
        <v>0</v>
      </c>
      <c r="M19" s="17">
        <v>0</v>
      </c>
      <c r="N19" s="56">
        <v>0</v>
      </c>
      <c r="O19" s="17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f t="shared" si="1"/>
        <v>163.72408000000001</v>
      </c>
    </row>
    <row r="20" spans="1:22" s="50" customFormat="1" ht="14.25" customHeight="1">
      <c r="A20" s="52">
        <f t="shared" si="2"/>
        <v>7</v>
      </c>
      <c r="B20" s="53" t="s">
        <v>112</v>
      </c>
      <c r="C20" s="54">
        <v>38426</v>
      </c>
      <c r="D20" s="53" t="s">
        <v>113</v>
      </c>
      <c r="E20" s="53" t="s">
        <v>25</v>
      </c>
      <c r="F20" s="53" t="s">
        <v>16</v>
      </c>
      <c r="G20" s="92" t="s">
        <v>17</v>
      </c>
      <c r="H20" s="56">
        <v>15000</v>
      </c>
      <c r="I20" s="56">
        <v>4563.2570299999998</v>
      </c>
      <c r="J20" s="56">
        <v>-305.31702000000001</v>
      </c>
      <c r="K20" s="56">
        <v>0</v>
      </c>
      <c r="L20" s="17">
        <v>0</v>
      </c>
      <c r="M20" s="17">
        <v>0</v>
      </c>
      <c r="N20" s="56">
        <v>0</v>
      </c>
      <c r="O20" s="17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f t="shared" si="1"/>
        <v>4257.9400099999993</v>
      </c>
    </row>
    <row r="21" spans="1:22" s="50" customFormat="1" ht="14.25" customHeight="1">
      <c r="A21" s="52">
        <f t="shared" si="2"/>
        <v>8</v>
      </c>
      <c r="B21" s="53" t="s">
        <v>119</v>
      </c>
      <c r="C21" s="54">
        <v>38411</v>
      </c>
      <c r="D21" s="53" t="s">
        <v>424</v>
      </c>
      <c r="E21" s="53" t="s">
        <v>120</v>
      </c>
      <c r="F21" s="53" t="s">
        <v>120</v>
      </c>
      <c r="G21" s="92" t="s">
        <v>17</v>
      </c>
      <c r="H21" s="56">
        <v>12000</v>
      </c>
      <c r="I21" s="56">
        <v>759.98797999999999</v>
      </c>
      <c r="J21" s="56">
        <v>3015.7495100000001</v>
      </c>
      <c r="K21" s="56">
        <v>1983.81232</v>
      </c>
      <c r="L21" s="17">
        <v>0</v>
      </c>
      <c r="M21" s="17">
        <v>0</v>
      </c>
      <c r="N21" s="56">
        <v>0</v>
      </c>
      <c r="O21" s="17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f t="shared" si="1"/>
        <v>5759.5498100000004</v>
      </c>
    </row>
    <row r="22" spans="1:22" s="50" customFormat="1" ht="14.25" customHeight="1">
      <c r="A22" s="52">
        <f t="shared" si="2"/>
        <v>9</v>
      </c>
      <c r="B22" s="53" t="s">
        <v>114</v>
      </c>
      <c r="C22" s="54">
        <v>38372</v>
      </c>
      <c r="D22" s="53" t="s">
        <v>115</v>
      </c>
      <c r="E22" s="53" t="s">
        <v>18</v>
      </c>
      <c r="F22" s="53" t="s">
        <v>298</v>
      </c>
      <c r="G22" s="92" t="s">
        <v>17</v>
      </c>
      <c r="H22" s="56">
        <v>5300</v>
      </c>
      <c r="I22" s="56">
        <v>525</v>
      </c>
      <c r="J22" s="17">
        <v>940.72343999999998</v>
      </c>
      <c r="K22" s="56">
        <v>0</v>
      </c>
      <c r="L22" s="17">
        <v>0</v>
      </c>
      <c r="M22" s="17">
        <v>0</v>
      </c>
      <c r="N22" s="56">
        <v>0</v>
      </c>
      <c r="O22" s="17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f t="shared" si="1"/>
        <v>1465.72344</v>
      </c>
    </row>
    <row r="23" spans="1:22" s="50" customFormat="1" ht="14.25" customHeight="1">
      <c r="A23" s="52">
        <f t="shared" si="2"/>
        <v>10</v>
      </c>
      <c r="B23" s="53" t="s">
        <v>132</v>
      </c>
      <c r="C23" s="54">
        <v>38694</v>
      </c>
      <c r="D23" s="13" t="s">
        <v>64</v>
      </c>
      <c r="E23" s="53" t="s">
        <v>107</v>
      </c>
      <c r="F23" s="53" t="s">
        <v>298</v>
      </c>
      <c r="G23" s="92" t="s">
        <v>17</v>
      </c>
      <c r="H23" s="56">
        <v>5000</v>
      </c>
      <c r="I23" s="56">
        <v>1138.5401300000001</v>
      </c>
      <c r="J23" s="56">
        <v>221</v>
      </c>
      <c r="K23" s="56">
        <v>-6.7071199999999997</v>
      </c>
      <c r="L23" s="17">
        <v>0</v>
      </c>
      <c r="M23" s="17">
        <v>0</v>
      </c>
      <c r="N23" s="56">
        <v>0</v>
      </c>
      <c r="O23" s="17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f t="shared" si="1"/>
        <v>1352.8330100000001</v>
      </c>
    </row>
    <row r="24" spans="1:22" s="50" customFormat="1" ht="14.25" customHeight="1">
      <c r="A24" s="52">
        <f t="shared" si="2"/>
        <v>11</v>
      </c>
      <c r="B24" s="53" t="s">
        <v>133</v>
      </c>
      <c r="C24" s="54">
        <v>38809</v>
      </c>
      <c r="D24" s="13" t="s">
        <v>63</v>
      </c>
      <c r="E24" s="53" t="s">
        <v>135</v>
      </c>
      <c r="F24" s="53" t="s">
        <v>19</v>
      </c>
      <c r="G24" s="92" t="s">
        <v>17</v>
      </c>
      <c r="H24" s="56">
        <v>50000</v>
      </c>
      <c r="I24" s="56">
        <v>7767.7450500000004</v>
      </c>
      <c r="J24" s="56">
        <v>9400</v>
      </c>
      <c r="K24" s="56">
        <v>11500</v>
      </c>
      <c r="L24" s="17">
        <v>10800</v>
      </c>
      <c r="M24" s="17">
        <v>-1006.39773</v>
      </c>
      <c r="N24" s="56">
        <v>0</v>
      </c>
      <c r="O24" s="17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f t="shared" si="1"/>
        <v>38461.347320000001</v>
      </c>
    </row>
    <row r="25" spans="1:22" s="50" customFormat="1" ht="14.25" customHeight="1">
      <c r="A25" s="52">
        <f t="shared" si="2"/>
        <v>12</v>
      </c>
      <c r="B25" s="53" t="s">
        <v>6</v>
      </c>
      <c r="C25" s="54">
        <v>38917</v>
      </c>
      <c r="D25" s="13" t="s">
        <v>65</v>
      </c>
      <c r="E25" s="53" t="s">
        <v>38</v>
      </c>
      <c r="F25" s="53" t="s">
        <v>38</v>
      </c>
      <c r="G25" s="92" t="s">
        <v>17</v>
      </c>
      <c r="H25" s="56">
        <v>25000</v>
      </c>
      <c r="I25" s="56">
        <v>8579.2002699999994</v>
      </c>
      <c r="J25" s="56">
        <v>5000.08277</v>
      </c>
      <c r="K25" s="56">
        <v>837.48847999999998</v>
      </c>
      <c r="L25" s="17">
        <v>-688</v>
      </c>
      <c r="M25" s="17">
        <v>0</v>
      </c>
      <c r="N25" s="56">
        <v>0</v>
      </c>
      <c r="O25" s="17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0</v>
      </c>
      <c r="V25" s="56">
        <f t="shared" si="1"/>
        <v>13728.771519999998</v>
      </c>
    </row>
    <row r="26" spans="1:22" s="50" customFormat="1" ht="14.25" customHeight="1">
      <c r="A26" s="52">
        <f t="shared" si="2"/>
        <v>13</v>
      </c>
      <c r="B26" s="53" t="s">
        <v>134</v>
      </c>
      <c r="C26" s="54">
        <v>39188</v>
      </c>
      <c r="D26" s="13" t="s">
        <v>87</v>
      </c>
      <c r="E26" s="53" t="s">
        <v>88</v>
      </c>
      <c r="F26" s="53" t="s">
        <v>19</v>
      </c>
      <c r="G26" s="92" t="s">
        <v>17</v>
      </c>
      <c r="H26" s="56">
        <v>50000</v>
      </c>
      <c r="I26" s="56">
        <v>8963.6165400000009</v>
      </c>
      <c r="J26" s="56">
        <v>6300</v>
      </c>
      <c r="K26" s="56">
        <v>4665.8251300000002</v>
      </c>
      <c r="L26" s="17">
        <v>400</v>
      </c>
      <c r="M26" s="17">
        <v>0</v>
      </c>
      <c r="N26" s="56">
        <v>0</v>
      </c>
      <c r="O26" s="17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f t="shared" si="1"/>
        <v>20329.44167</v>
      </c>
    </row>
    <row r="27" spans="1:22" s="50" customFormat="1" ht="14.25" customHeight="1">
      <c r="A27" s="52">
        <f t="shared" si="2"/>
        <v>14</v>
      </c>
      <c r="B27" s="53" t="s">
        <v>76</v>
      </c>
      <c r="C27" s="54">
        <v>39315</v>
      </c>
      <c r="D27" s="13" t="s">
        <v>425</v>
      </c>
      <c r="E27" s="53" t="s">
        <v>89</v>
      </c>
      <c r="F27" s="53" t="s">
        <v>19</v>
      </c>
      <c r="G27" s="92" t="s">
        <v>17</v>
      </c>
      <c r="H27" s="56">
        <v>100000</v>
      </c>
      <c r="I27" s="56">
        <v>22135.200000000001</v>
      </c>
      <c r="J27" s="56">
        <v>23517.07</v>
      </c>
      <c r="K27" s="56">
        <v>5000</v>
      </c>
      <c r="L27" s="17">
        <v>20056</v>
      </c>
      <c r="M27" s="17">
        <v>9600</v>
      </c>
      <c r="N27" s="56">
        <v>5092.0300000000007</v>
      </c>
      <c r="O27" s="17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0</v>
      </c>
      <c r="V27" s="56">
        <f t="shared" si="1"/>
        <v>85400.3</v>
      </c>
    </row>
    <row r="28" spans="1:22" s="50" customFormat="1" ht="14.25" customHeight="1">
      <c r="A28" s="52">
        <f t="shared" si="2"/>
        <v>15</v>
      </c>
      <c r="B28" s="53" t="s">
        <v>77</v>
      </c>
      <c r="C28" s="54">
        <v>39367</v>
      </c>
      <c r="D28" s="13" t="s">
        <v>90</v>
      </c>
      <c r="E28" s="53" t="s">
        <v>91</v>
      </c>
      <c r="F28" s="53" t="s">
        <v>27</v>
      </c>
      <c r="G28" s="92" t="s">
        <v>17</v>
      </c>
      <c r="H28" s="56">
        <v>1179.25</v>
      </c>
      <c r="I28" s="56">
        <v>579.52828</v>
      </c>
      <c r="J28" s="56">
        <v>61.319209999999998</v>
      </c>
      <c r="K28" s="56">
        <v>0</v>
      </c>
      <c r="L28" s="17">
        <v>0</v>
      </c>
      <c r="M28" s="17">
        <v>0</v>
      </c>
      <c r="N28" s="56">
        <v>0</v>
      </c>
      <c r="O28" s="17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f t="shared" si="1"/>
        <v>640.84748999999999</v>
      </c>
    </row>
    <row r="29" spans="1:22" s="50" customFormat="1" ht="14.25" customHeight="1">
      <c r="A29" s="52">
        <f t="shared" si="2"/>
        <v>16</v>
      </c>
      <c r="B29" s="53" t="s">
        <v>78</v>
      </c>
      <c r="C29" s="54">
        <v>39480</v>
      </c>
      <c r="D29" s="13" t="s">
        <v>92</v>
      </c>
      <c r="E29" s="53" t="s">
        <v>75</v>
      </c>
      <c r="F29" s="53" t="s">
        <v>19</v>
      </c>
      <c r="G29" s="92" t="s">
        <v>17</v>
      </c>
      <c r="H29" s="56">
        <v>3993</v>
      </c>
      <c r="I29" s="56">
        <v>268.43083000000001</v>
      </c>
      <c r="J29" s="56">
        <v>413.54700000000003</v>
      </c>
      <c r="K29" s="56">
        <v>375.92200000000003</v>
      </c>
      <c r="L29" s="17">
        <v>528.66782000000001</v>
      </c>
      <c r="M29" s="17">
        <v>559.428</v>
      </c>
      <c r="N29" s="56">
        <v>581.17989</v>
      </c>
      <c r="O29" s="17">
        <v>508.03244999999998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f t="shared" si="1"/>
        <v>3235.2079899999999</v>
      </c>
    </row>
    <row r="30" spans="1:22" s="50" customFormat="1" ht="14.25" customHeight="1">
      <c r="A30" s="52">
        <f t="shared" si="2"/>
        <v>17</v>
      </c>
      <c r="B30" s="53" t="s">
        <v>79</v>
      </c>
      <c r="C30" s="54">
        <v>39787</v>
      </c>
      <c r="D30" s="13" t="s">
        <v>93</v>
      </c>
      <c r="E30" s="53" t="s">
        <v>41</v>
      </c>
      <c r="F30" s="53" t="s">
        <v>24</v>
      </c>
      <c r="G30" s="92" t="s">
        <v>17</v>
      </c>
      <c r="H30" s="56">
        <v>50000</v>
      </c>
      <c r="I30" s="56">
        <v>13782.07</v>
      </c>
      <c r="J30" s="56">
        <v>8.5969999999999995</v>
      </c>
      <c r="K30" s="56">
        <v>0</v>
      </c>
      <c r="L30" s="17">
        <v>0</v>
      </c>
      <c r="M30" s="17">
        <v>0</v>
      </c>
      <c r="N30" s="56">
        <v>0</v>
      </c>
      <c r="O30" s="17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f t="shared" si="1"/>
        <v>13790.666999999999</v>
      </c>
    </row>
    <row r="31" spans="1:22" s="50" customFormat="1" ht="14.25" customHeight="1">
      <c r="A31" s="52">
        <f t="shared" si="2"/>
        <v>18</v>
      </c>
      <c r="B31" s="53" t="s">
        <v>80</v>
      </c>
      <c r="C31" s="54">
        <v>39850</v>
      </c>
      <c r="D31" s="13" t="s">
        <v>94</v>
      </c>
      <c r="E31" s="53" t="s">
        <v>131</v>
      </c>
      <c r="F31" s="53" t="s">
        <v>16</v>
      </c>
      <c r="G31" s="92" t="s">
        <v>17</v>
      </c>
      <c r="H31" s="56">
        <v>25000</v>
      </c>
      <c r="I31" s="56">
        <v>10000</v>
      </c>
      <c r="J31" s="56">
        <v>5000</v>
      </c>
      <c r="K31" s="56">
        <v>5000</v>
      </c>
      <c r="L31" s="17">
        <v>4877</v>
      </c>
      <c r="M31" s="17">
        <v>0</v>
      </c>
      <c r="N31" s="56">
        <v>0</v>
      </c>
      <c r="O31" s="17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f t="shared" si="1"/>
        <v>24877</v>
      </c>
    </row>
    <row r="32" spans="1:22" s="50" customFormat="1" ht="14.25" customHeight="1">
      <c r="A32" s="52">
        <f t="shared" si="2"/>
        <v>19</v>
      </c>
      <c r="B32" s="53" t="s">
        <v>150</v>
      </c>
      <c r="C32" s="54">
        <v>40133</v>
      </c>
      <c r="D32" s="13" t="s">
        <v>155</v>
      </c>
      <c r="E32" s="53" t="s">
        <v>151</v>
      </c>
      <c r="F32" s="53" t="s">
        <v>20</v>
      </c>
      <c r="G32" s="92" t="s">
        <v>17</v>
      </c>
      <c r="H32" s="56">
        <v>15000</v>
      </c>
      <c r="I32" s="56">
        <v>1709.5955899999999</v>
      </c>
      <c r="J32" s="56">
        <v>2284.5981000000002</v>
      </c>
      <c r="K32" s="56">
        <v>1636.4165400000002</v>
      </c>
      <c r="L32" s="17">
        <v>2026</v>
      </c>
      <c r="M32" s="17">
        <v>3084.9278300000001</v>
      </c>
      <c r="N32" s="56">
        <v>3507.9659999999999</v>
      </c>
      <c r="O32" s="17">
        <v>-1.47251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f t="shared" si="1"/>
        <v>14248.031550000002</v>
      </c>
    </row>
    <row r="33" spans="1:22" s="50" customFormat="1" ht="14.25" customHeight="1">
      <c r="A33" s="52">
        <f t="shared" si="2"/>
        <v>20</v>
      </c>
      <c r="B33" s="53" t="s">
        <v>170</v>
      </c>
      <c r="C33" s="54">
        <v>40204</v>
      </c>
      <c r="D33" s="13" t="s">
        <v>169</v>
      </c>
      <c r="E33" s="53" t="s">
        <v>18</v>
      </c>
      <c r="F33" s="53" t="s">
        <v>298</v>
      </c>
      <c r="G33" s="92" t="s">
        <v>17</v>
      </c>
      <c r="H33" s="56">
        <v>2000</v>
      </c>
      <c r="I33" s="56">
        <v>233</v>
      </c>
      <c r="J33" s="56">
        <v>327.51614999999998</v>
      </c>
      <c r="K33" s="56">
        <v>484</v>
      </c>
      <c r="L33" s="17">
        <v>25</v>
      </c>
      <c r="M33" s="17">
        <v>-38.458129999999997</v>
      </c>
      <c r="N33" s="56">
        <v>0</v>
      </c>
      <c r="O33" s="17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  <c r="V33" s="56">
        <f t="shared" si="1"/>
        <v>1031.0580199999999</v>
      </c>
    </row>
    <row r="34" spans="1:22" s="50" customFormat="1" ht="14.25" customHeight="1">
      <c r="A34" s="52">
        <f t="shared" si="2"/>
        <v>21</v>
      </c>
      <c r="B34" s="53" t="s">
        <v>210</v>
      </c>
      <c r="C34" s="54">
        <v>40226</v>
      </c>
      <c r="D34" s="13" t="s">
        <v>156</v>
      </c>
      <c r="E34" s="53" t="s">
        <v>211</v>
      </c>
      <c r="F34" s="53" t="s">
        <v>16</v>
      </c>
      <c r="G34" s="92" t="s">
        <v>17</v>
      </c>
      <c r="H34" s="56">
        <v>10000</v>
      </c>
      <c r="I34" s="56">
        <v>0</v>
      </c>
      <c r="J34" s="56">
        <v>1279.60358</v>
      </c>
      <c r="K34" s="56">
        <v>3468.51008</v>
      </c>
      <c r="L34" s="17">
        <v>1461.6415500000001</v>
      </c>
      <c r="M34" s="17">
        <v>2123.0519800000002</v>
      </c>
      <c r="N34" s="56">
        <v>1531.46273</v>
      </c>
      <c r="O34" s="17">
        <v>-95.225849999999994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>
        <f t="shared" si="1"/>
        <v>9769.0440699999981</v>
      </c>
    </row>
    <row r="35" spans="1:22" s="50" customFormat="1" ht="14.25" customHeight="1">
      <c r="A35" s="52">
        <f t="shared" si="2"/>
        <v>22</v>
      </c>
      <c r="B35" s="53" t="s">
        <v>171</v>
      </c>
      <c r="C35" s="54">
        <v>40379</v>
      </c>
      <c r="D35" s="13" t="s">
        <v>172</v>
      </c>
      <c r="E35" s="53" t="s">
        <v>18</v>
      </c>
      <c r="F35" s="53" t="s">
        <v>298</v>
      </c>
      <c r="G35" s="92" t="s">
        <v>17</v>
      </c>
      <c r="H35" s="56">
        <v>5000</v>
      </c>
      <c r="I35" s="56">
        <v>156</v>
      </c>
      <c r="J35" s="56">
        <v>648.68134999999995</v>
      </c>
      <c r="K35" s="56">
        <v>1135.2404200000001</v>
      </c>
      <c r="L35" s="17">
        <v>1708.9097099999999</v>
      </c>
      <c r="M35" s="17">
        <v>1074.5908899999999</v>
      </c>
      <c r="N35" s="56">
        <v>260.92757999999998</v>
      </c>
      <c r="O35" s="17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6">
        <v>0</v>
      </c>
      <c r="V35" s="56">
        <f t="shared" si="1"/>
        <v>4984.3499499999998</v>
      </c>
    </row>
    <row r="36" spans="1:22" s="50" customFormat="1" ht="14.25" customHeight="1">
      <c r="A36" s="52">
        <f t="shared" si="2"/>
        <v>23</v>
      </c>
      <c r="B36" s="53" t="s">
        <v>173</v>
      </c>
      <c r="C36" s="54">
        <v>40413</v>
      </c>
      <c r="D36" s="13" t="s">
        <v>174</v>
      </c>
      <c r="E36" s="53" t="s">
        <v>18</v>
      </c>
      <c r="F36" s="53" t="s">
        <v>298</v>
      </c>
      <c r="G36" s="92" t="s">
        <v>17</v>
      </c>
      <c r="H36" s="56">
        <v>50000</v>
      </c>
      <c r="I36" s="56">
        <v>50000</v>
      </c>
      <c r="J36" s="56">
        <v>0</v>
      </c>
      <c r="K36" s="56">
        <v>0</v>
      </c>
      <c r="L36" s="17">
        <v>0</v>
      </c>
      <c r="M36" s="17">
        <v>0</v>
      </c>
      <c r="N36" s="56">
        <v>0</v>
      </c>
      <c r="O36" s="17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f t="shared" si="1"/>
        <v>50000</v>
      </c>
    </row>
    <row r="37" spans="1:22" s="50" customFormat="1" ht="14.25" customHeight="1">
      <c r="A37" s="52">
        <f t="shared" si="2"/>
        <v>24</v>
      </c>
      <c r="B37" s="53" t="s">
        <v>175</v>
      </c>
      <c r="C37" s="54">
        <v>40478</v>
      </c>
      <c r="D37" s="13" t="s">
        <v>176</v>
      </c>
      <c r="E37" s="53" t="s">
        <v>18</v>
      </c>
      <c r="F37" s="53" t="s">
        <v>298</v>
      </c>
      <c r="G37" s="92" t="s">
        <v>17</v>
      </c>
      <c r="H37" s="56">
        <v>25000</v>
      </c>
      <c r="I37" s="56">
        <v>25000</v>
      </c>
      <c r="J37" s="56">
        <v>0</v>
      </c>
      <c r="K37" s="56">
        <v>0</v>
      </c>
      <c r="L37" s="17">
        <v>0</v>
      </c>
      <c r="M37" s="17">
        <v>0</v>
      </c>
      <c r="N37" s="56">
        <v>0</v>
      </c>
      <c r="O37" s="17">
        <v>0</v>
      </c>
      <c r="P37" s="56">
        <v>0</v>
      </c>
      <c r="Q37" s="56">
        <v>0</v>
      </c>
      <c r="R37" s="56">
        <v>0</v>
      </c>
      <c r="S37" s="56">
        <v>0</v>
      </c>
      <c r="T37" s="56">
        <v>0</v>
      </c>
      <c r="U37" s="56">
        <v>0</v>
      </c>
      <c r="V37" s="56">
        <f t="shared" si="1"/>
        <v>25000</v>
      </c>
    </row>
    <row r="38" spans="1:22" s="50" customFormat="1" ht="14.25" customHeight="1">
      <c r="A38" s="52">
        <f t="shared" si="2"/>
        <v>25</v>
      </c>
      <c r="B38" s="53" t="s">
        <v>177</v>
      </c>
      <c r="C38" s="54">
        <v>40497</v>
      </c>
      <c r="D38" s="13" t="s">
        <v>181</v>
      </c>
      <c r="E38" s="53" t="s">
        <v>18</v>
      </c>
      <c r="F38" s="53" t="s">
        <v>298</v>
      </c>
      <c r="G38" s="92" t="s">
        <v>17</v>
      </c>
      <c r="H38" s="56">
        <v>25000</v>
      </c>
      <c r="I38" s="56">
        <v>25000</v>
      </c>
      <c r="J38" s="56">
        <v>0</v>
      </c>
      <c r="K38" s="56">
        <v>0</v>
      </c>
      <c r="L38" s="17">
        <v>0</v>
      </c>
      <c r="M38" s="17">
        <v>0</v>
      </c>
      <c r="N38" s="56">
        <v>0</v>
      </c>
      <c r="O38" s="17">
        <v>0</v>
      </c>
      <c r="P38" s="56">
        <v>0</v>
      </c>
      <c r="Q38" s="56">
        <v>0</v>
      </c>
      <c r="R38" s="56">
        <v>0</v>
      </c>
      <c r="S38" s="56">
        <v>0</v>
      </c>
      <c r="T38" s="56">
        <v>0</v>
      </c>
      <c r="U38" s="56">
        <v>0</v>
      </c>
      <c r="V38" s="56">
        <f t="shared" si="1"/>
        <v>25000</v>
      </c>
    </row>
    <row r="39" spans="1:22" s="50" customFormat="1" ht="14.25" customHeight="1">
      <c r="A39" s="52">
        <f t="shared" si="2"/>
        <v>26</v>
      </c>
      <c r="B39" s="53" t="s">
        <v>215</v>
      </c>
      <c r="C39" s="54">
        <v>40513</v>
      </c>
      <c r="D39" s="13" t="s">
        <v>216</v>
      </c>
      <c r="E39" s="53" t="s">
        <v>18</v>
      </c>
      <c r="F39" s="53" t="s">
        <v>298</v>
      </c>
      <c r="G39" s="92" t="s">
        <v>17</v>
      </c>
      <c r="H39" s="56">
        <v>50000</v>
      </c>
      <c r="I39" s="56">
        <v>0</v>
      </c>
      <c r="J39" s="56">
        <v>50000</v>
      </c>
      <c r="K39" s="56">
        <v>0</v>
      </c>
      <c r="L39" s="17">
        <v>0</v>
      </c>
      <c r="M39" s="17">
        <v>0</v>
      </c>
      <c r="N39" s="56">
        <v>0</v>
      </c>
      <c r="O39" s="17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f t="shared" si="1"/>
        <v>50000</v>
      </c>
    </row>
    <row r="40" spans="1:22" s="50" customFormat="1" ht="14.25" customHeight="1">
      <c r="A40" s="52">
        <f t="shared" si="2"/>
        <v>27</v>
      </c>
      <c r="B40" s="53" t="s">
        <v>178</v>
      </c>
      <c r="C40" s="54">
        <v>40514</v>
      </c>
      <c r="D40" s="13" t="s">
        <v>182</v>
      </c>
      <c r="E40" s="53" t="s">
        <v>18</v>
      </c>
      <c r="F40" s="53" t="s">
        <v>298</v>
      </c>
      <c r="G40" s="92" t="s">
        <v>17</v>
      </c>
      <c r="H40" s="56">
        <v>25000</v>
      </c>
      <c r="I40" s="56">
        <v>25000</v>
      </c>
      <c r="J40" s="56">
        <v>0</v>
      </c>
      <c r="K40" s="56">
        <v>0</v>
      </c>
      <c r="L40" s="17">
        <v>0</v>
      </c>
      <c r="M40" s="17">
        <v>0</v>
      </c>
      <c r="N40" s="56">
        <v>0</v>
      </c>
      <c r="O40" s="17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f t="shared" si="1"/>
        <v>25000</v>
      </c>
    </row>
    <row r="41" spans="1:22" s="50" customFormat="1" ht="14.25" customHeight="1">
      <c r="A41" s="52">
        <f t="shared" si="2"/>
        <v>28</v>
      </c>
      <c r="B41" s="53" t="s">
        <v>213</v>
      </c>
      <c r="C41" s="54">
        <v>40514</v>
      </c>
      <c r="D41" s="13" t="s">
        <v>214</v>
      </c>
      <c r="E41" s="53" t="s">
        <v>18</v>
      </c>
      <c r="F41" s="53" t="s">
        <v>298</v>
      </c>
      <c r="G41" s="92" t="s">
        <v>17</v>
      </c>
      <c r="H41" s="56">
        <v>6000</v>
      </c>
      <c r="I41" s="56">
        <v>0</v>
      </c>
      <c r="J41" s="56">
        <v>2045.8</v>
      </c>
      <c r="K41" s="56">
        <v>3590</v>
      </c>
      <c r="L41" s="17">
        <v>208.70599999999999</v>
      </c>
      <c r="M41" s="17">
        <v>155.494</v>
      </c>
      <c r="N41" s="56">
        <v>-13.179779999999999</v>
      </c>
      <c r="O41" s="17">
        <v>0</v>
      </c>
      <c r="P41" s="56">
        <v>0</v>
      </c>
      <c r="Q41" s="56">
        <v>0</v>
      </c>
      <c r="R41" s="56">
        <v>0</v>
      </c>
      <c r="S41" s="56">
        <v>0</v>
      </c>
      <c r="T41" s="56">
        <v>0</v>
      </c>
      <c r="U41" s="56">
        <v>0</v>
      </c>
      <c r="V41" s="56">
        <f t="shared" si="1"/>
        <v>5986.8202199999996</v>
      </c>
    </row>
    <row r="42" spans="1:22" s="50" customFormat="1" ht="14.25" customHeight="1">
      <c r="A42" s="52">
        <f t="shared" si="2"/>
        <v>29</v>
      </c>
      <c r="B42" s="53" t="s">
        <v>179</v>
      </c>
      <c r="C42" s="54">
        <v>40514</v>
      </c>
      <c r="D42" s="13" t="s">
        <v>183</v>
      </c>
      <c r="E42" s="53" t="s">
        <v>18</v>
      </c>
      <c r="F42" s="53" t="s">
        <v>298</v>
      </c>
      <c r="G42" s="92" t="s">
        <v>17</v>
      </c>
      <c r="H42" s="56">
        <v>100000</v>
      </c>
      <c r="I42" s="56">
        <v>100000</v>
      </c>
      <c r="J42" s="56">
        <v>0</v>
      </c>
      <c r="K42" s="56">
        <v>0</v>
      </c>
      <c r="L42" s="17">
        <v>0</v>
      </c>
      <c r="M42" s="17">
        <v>0</v>
      </c>
      <c r="N42" s="56">
        <v>0</v>
      </c>
      <c r="O42" s="17">
        <v>0</v>
      </c>
      <c r="P42" s="56">
        <v>0</v>
      </c>
      <c r="Q42" s="56">
        <v>0</v>
      </c>
      <c r="R42" s="56">
        <v>0</v>
      </c>
      <c r="S42" s="56">
        <v>0</v>
      </c>
      <c r="T42" s="56">
        <v>0</v>
      </c>
      <c r="U42" s="56">
        <v>0</v>
      </c>
      <c r="V42" s="56">
        <f t="shared" si="1"/>
        <v>100000</v>
      </c>
    </row>
    <row r="43" spans="1:22" s="50" customFormat="1" ht="14.25" customHeight="1">
      <c r="A43" s="52">
        <f t="shared" si="2"/>
        <v>30</v>
      </c>
      <c r="B43" s="53" t="s">
        <v>212</v>
      </c>
      <c r="C43" s="54">
        <v>40514</v>
      </c>
      <c r="D43" s="13" t="s">
        <v>413</v>
      </c>
      <c r="E43" s="53" t="s">
        <v>18</v>
      </c>
      <c r="F43" s="53" t="s">
        <v>298</v>
      </c>
      <c r="G43" s="92" t="s">
        <v>17</v>
      </c>
      <c r="H43" s="56">
        <v>20000</v>
      </c>
      <c r="I43" s="56">
        <v>0</v>
      </c>
      <c r="J43" s="56">
        <v>528</v>
      </c>
      <c r="K43" s="56">
        <v>818</v>
      </c>
      <c r="L43" s="17">
        <v>6712.2829999999994</v>
      </c>
      <c r="M43" s="17">
        <v>5000</v>
      </c>
      <c r="N43" s="56">
        <v>3402.5509999999999</v>
      </c>
      <c r="O43" s="17">
        <v>0</v>
      </c>
      <c r="P43" s="56">
        <v>50</v>
      </c>
      <c r="Q43" s="17">
        <v>-14.026300000000001</v>
      </c>
      <c r="R43" s="17">
        <v>0</v>
      </c>
      <c r="S43" s="17">
        <v>0</v>
      </c>
      <c r="T43" s="56">
        <v>0</v>
      </c>
      <c r="U43" s="56">
        <v>0</v>
      </c>
      <c r="V43" s="56">
        <f t="shared" si="1"/>
        <v>16496.807699999998</v>
      </c>
    </row>
    <row r="44" spans="1:22" s="50" customFormat="1" ht="14.25" customHeight="1">
      <c r="A44" s="52">
        <f t="shared" si="2"/>
        <v>31</v>
      </c>
      <c r="B44" s="53" t="s">
        <v>180</v>
      </c>
      <c r="C44" s="54">
        <v>40514</v>
      </c>
      <c r="D44" s="13" t="s">
        <v>184</v>
      </c>
      <c r="E44" s="53" t="s">
        <v>18</v>
      </c>
      <c r="F44" s="53" t="s">
        <v>298</v>
      </c>
      <c r="G44" s="92" t="s">
        <v>17</v>
      </c>
      <c r="H44" s="56">
        <v>25000</v>
      </c>
      <c r="I44" s="56">
        <v>25000</v>
      </c>
      <c r="J44" s="56">
        <v>0</v>
      </c>
      <c r="K44" s="56">
        <v>0</v>
      </c>
      <c r="L44" s="17">
        <v>0</v>
      </c>
      <c r="M44" s="17">
        <v>0</v>
      </c>
      <c r="N44" s="56">
        <v>0</v>
      </c>
      <c r="O44" s="17">
        <v>0</v>
      </c>
      <c r="P44" s="56">
        <v>0</v>
      </c>
      <c r="Q44" s="17">
        <v>0</v>
      </c>
      <c r="R44" s="17">
        <v>0</v>
      </c>
      <c r="S44" s="17">
        <v>0</v>
      </c>
      <c r="T44" s="56">
        <v>0</v>
      </c>
      <c r="U44" s="56">
        <v>0</v>
      </c>
      <c r="V44" s="56">
        <f t="shared" si="1"/>
        <v>25000</v>
      </c>
    </row>
    <row r="45" spans="1:22" s="50" customFormat="1" ht="14.25" customHeight="1">
      <c r="A45" s="52">
        <f t="shared" si="2"/>
        <v>32</v>
      </c>
      <c r="B45" s="53" t="s">
        <v>217</v>
      </c>
      <c r="C45" s="54">
        <v>40716</v>
      </c>
      <c r="D45" s="13" t="s">
        <v>218</v>
      </c>
      <c r="E45" s="53" t="s">
        <v>18</v>
      </c>
      <c r="F45" s="53" t="s">
        <v>298</v>
      </c>
      <c r="G45" s="92" t="s">
        <v>17</v>
      </c>
      <c r="H45" s="56">
        <v>25000</v>
      </c>
      <c r="I45" s="56">
        <v>0</v>
      </c>
      <c r="J45" s="56">
        <v>25000</v>
      </c>
      <c r="K45" s="56">
        <v>0</v>
      </c>
      <c r="L45" s="17">
        <v>0</v>
      </c>
      <c r="M45" s="17">
        <v>0</v>
      </c>
      <c r="N45" s="56">
        <v>0</v>
      </c>
      <c r="O45" s="17">
        <v>0</v>
      </c>
      <c r="P45" s="56">
        <v>0</v>
      </c>
      <c r="Q45" s="17">
        <v>0</v>
      </c>
      <c r="R45" s="17">
        <v>0</v>
      </c>
      <c r="S45" s="17">
        <v>0</v>
      </c>
      <c r="T45" s="56">
        <v>0</v>
      </c>
      <c r="U45" s="56">
        <v>0</v>
      </c>
      <c r="V45" s="56">
        <f t="shared" si="1"/>
        <v>25000</v>
      </c>
    </row>
    <row r="46" spans="1:22" s="50" customFormat="1" ht="14.25" customHeight="1">
      <c r="A46" s="52">
        <f t="shared" si="2"/>
        <v>33</v>
      </c>
      <c r="B46" s="53" t="s">
        <v>242</v>
      </c>
      <c r="C46" s="54">
        <v>40906</v>
      </c>
      <c r="D46" s="13" t="s">
        <v>243</v>
      </c>
      <c r="E46" s="53" t="s">
        <v>91</v>
      </c>
      <c r="F46" s="53" t="s">
        <v>27</v>
      </c>
      <c r="G46" s="92" t="s">
        <v>17</v>
      </c>
      <c r="H46" s="56">
        <v>26000</v>
      </c>
      <c r="I46" s="56">
        <v>0</v>
      </c>
      <c r="J46" s="56">
        <v>0</v>
      </c>
      <c r="K46" s="56">
        <v>2032.7348099999999</v>
      </c>
      <c r="L46" s="17">
        <v>3500</v>
      </c>
      <c r="M46" s="17">
        <v>4805.3710000000001</v>
      </c>
      <c r="N46" s="56">
        <v>7581.1064299999998</v>
      </c>
      <c r="O46" s="17">
        <v>4000</v>
      </c>
      <c r="P46" s="56">
        <v>1227</v>
      </c>
      <c r="Q46" s="17">
        <v>2276.39</v>
      </c>
      <c r="R46" s="17">
        <v>-227.60003</v>
      </c>
      <c r="S46" s="17">
        <v>0</v>
      </c>
      <c r="T46" s="56">
        <v>0</v>
      </c>
      <c r="U46" s="56">
        <v>0</v>
      </c>
      <c r="V46" s="56">
        <f t="shared" si="1"/>
        <v>25195.002209999999</v>
      </c>
    </row>
    <row r="47" spans="1:22" s="50" customFormat="1" ht="14.25" customHeight="1">
      <c r="A47" s="52">
        <f t="shared" si="2"/>
        <v>34</v>
      </c>
      <c r="B47" s="53" t="s">
        <v>221</v>
      </c>
      <c r="C47" s="54">
        <v>40809</v>
      </c>
      <c r="D47" s="13" t="s">
        <v>222</v>
      </c>
      <c r="E47" s="53" t="s">
        <v>18</v>
      </c>
      <c r="F47" s="53" t="s">
        <v>298</v>
      </c>
      <c r="G47" s="92" t="s">
        <v>17</v>
      </c>
      <c r="H47" s="56">
        <v>25000</v>
      </c>
      <c r="I47" s="56">
        <v>0</v>
      </c>
      <c r="J47" s="56">
        <v>25000</v>
      </c>
      <c r="K47" s="56">
        <v>0</v>
      </c>
      <c r="L47" s="17">
        <v>0</v>
      </c>
      <c r="M47" s="17">
        <v>0</v>
      </c>
      <c r="N47" s="56">
        <v>0</v>
      </c>
      <c r="O47" s="17">
        <v>0</v>
      </c>
      <c r="P47" s="56">
        <v>0</v>
      </c>
      <c r="Q47" s="17">
        <v>0</v>
      </c>
      <c r="R47" s="17">
        <v>0</v>
      </c>
      <c r="S47" s="17">
        <v>0</v>
      </c>
      <c r="T47" s="56">
        <v>0</v>
      </c>
      <c r="U47" s="56">
        <v>0</v>
      </c>
      <c r="V47" s="56">
        <f t="shared" si="1"/>
        <v>25000</v>
      </c>
    </row>
    <row r="48" spans="1:22" s="50" customFormat="1" ht="14.25" customHeight="1">
      <c r="A48" s="52">
        <f t="shared" si="2"/>
        <v>35</v>
      </c>
      <c r="B48" s="53" t="s">
        <v>219</v>
      </c>
      <c r="C48" s="54">
        <v>40809</v>
      </c>
      <c r="D48" s="13" t="s">
        <v>220</v>
      </c>
      <c r="E48" s="53" t="s">
        <v>18</v>
      </c>
      <c r="F48" s="53" t="s">
        <v>298</v>
      </c>
      <c r="G48" s="92" t="s">
        <v>17</v>
      </c>
      <c r="H48" s="56">
        <v>25000</v>
      </c>
      <c r="I48" s="56">
        <v>0</v>
      </c>
      <c r="J48" s="56">
        <v>25000</v>
      </c>
      <c r="K48" s="56">
        <v>0</v>
      </c>
      <c r="L48" s="17">
        <v>0</v>
      </c>
      <c r="M48" s="17">
        <v>0</v>
      </c>
      <c r="N48" s="56">
        <v>0</v>
      </c>
      <c r="O48" s="17">
        <v>0</v>
      </c>
      <c r="P48" s="56">
        <v>0</v>
      </c>
      <c r="Q48" s="17">
        <v>0</v>
      </c>
      <c r="R48" s="17">
        <v>0</v>
      </c>
      <c r="S48" s="17">
        <v>0</v>
      </c>
      <c r="T48" s="56">
        <v>0</v>
      </c>
      <c r="U48" s="56">
        <v>0</v>
      </c>
      <c r="V48" s="56">
        <f t="shared" si="1"/>
        <v>25000</v>
      </c>
    </row>
    <row r="49" spans="1:22" s="50" customFormat="1" ht="14.25" customHeight="1">
      <c r="A49" s="52">
        <f t="shared" si="2"/>
        <v>36</v>
      </c>
      <c r="B49" s="53" t="s">
        <v>223</v>
      </c>
      <c r="C49" s="54">
        <v>40904</v>
      </c>
      <c r="D49" s="53" t="s">
        <v>226</v>
      </c>
      <c r="E49" s="53" t="s">
        <v>18</v>
      </c>
      <c r="F49" s="53" t="s">
        <v>298</v>
      </c>
      <c r="G49" s="92" t="s">
        <v>17</v>
      </c>
      <c r="H49" s="56">
        <v>25000</v>
      </c>
      <c r="I49" s="56">
        <v>0</v>
      </c>
      <c r="J49" s="56">
        <v>25000</v>
      </c>
      <c r="K49" s="56">
        <v>0</v>
      </c>
      <c r="L49" s="17">
        <v>0</v>
      </c>
      <c r="M49" s="17">
        <v>0</v>
      </c>
      <c r="N49" s="56">
        <v>0</v>
      </c>
      <c r="O49" s="17">
        <v>0</v>
      </c>
      <c r="P49" s="56">
        <v>0</v>
      </c>
      <c r="Q49" s="17">
        <v>0</v>
      </c>
      <c r="R49" s="17">
        <v>0</v>
      </c>
      <c r="S49" s="17">
        <v>0</v>
      </c>
      <c r="T49" s="56">
        <v>0</v>
      </c>
      <c r="U49" s="56">
        <v>0</v>
      </c>
      <c r="V49" s="56">
        <f t="shared" si="1"/>
        <v>25000</v>
      </c>
    </row>
    <row r="50" spans="1:22" s="50" customFormat="1" ht="14.25" customHeight="1">
      <c r="A50" s="52">
        <f t="shared" si="2"/>
        <v>37</v>
      </c>
      <c r="B50" s="53" t="s">
        <v>224</v>
      </c>
      <c r="C50" s="54">
        <v>40904</v>
      </c>
      <c r="D50" s="53" t="s">
        <v>225</v>
      </c>
      <c r="E50" s="53" t="s">
        <v>18</v>
      </c>
      <c r="F50" s="53" t="s">
        <v>298</v>
      </c>
      <c r="G50" s="92" t="s">
        <v>17</v>
      </c>
      <c r="H50" s="56">
        <v>25000</v>
      </c>
      <c r="I50" s="56">
        <v>0</v>
      </c>
      <c r="J50" s="56">
        <v>0</v>
      </c>
      <c r="K50" s="56">
        <v>25000</v>
      </c>
      <c r="L50" s="17">
        <v>0</v>
      </c>
      <c r="M50" s="17">
        <v>0</v>
      </c>
      <c r="N50" s="56">
        <v>0</v>
      </c>
      <c r="O50" s="17">
        <v>0</v>
      </c>
      <c r="P50" s="56">
        <v>0</v>
      </c>
      <c r="Q50" s="17">
        <v>0</v>
      </c>
      <c r="R50" s="17">
        <v>0</v>
      </c>
      <c r="S50" s="17">
        <v>0</v>
      </c>
      <c r="T50" s="56">
        <v>0</v>
      </c>
      <c r="U50" s="56">
        <v>0</v>
      </c>
      <c r="V50" s="56">
        <f t="shared" si="1"/>
        <v>25000</v>
      </c>
    </row>
    <row r="51" spans="1:22" s="50" customFormat="1" ht="14.25" customHeight="1">
      <c r="A51" s="52">
        <f t="shared" si="2"/>
        <v>38</v>
      </c>
      <c r="B51" s="53" t="s">
        <v>266</v>
      </c>
      <c r="C51" s="54">
        <v>41135</v>
      </c>
      <c r="D51" s="53" t="s">
        <v>448</v>
      </c>
      <c r="E51" s="53" t="s">
        <v>41</v>
      </c>
      <c r="F51" s="53" t="s">
        <v>24</v>
      </c>
      <c r="G51" s="92" t="s">
        <v>17</v>
      </c>
      <c r="H51" s="56">
        <v>100000</v>
      </c>
      <c r="I51" s="56">
        <v>0</v>
      </c>
      <c r="J51" s="56">
        <v>0</v>
      </c>
      <c r="K51" s="56">
        <v>0</v>
      </c>
      <c r="L51" s="17">
        <v>890</v>
      </c>
      <c r="M51" s="17">
        <v>2412.0500000000002</v>
      </c>
      <c r="N51" s="56">
        <v>0</v>
      </c>
      <c r="O51" s="17">
        <v>39893.476210000001</v>
      </c>
      <c r="P51" s="56">
        <v>38548.35</v>
      </c>
      <c r="Q51" s="17">
        <v>12500</v>
      </c>
      <c r="R51" s="17">
        <v>4835.5608299999994</v>
      </c>
      <c r="S51" s="17">
        <v>0</v>
      </c>
      <c r="T51" s="56">
        <v>0</v>
      </c>
      <c r="U51" s="56">
        <v>0</v>
      </c>
      <c r="V51" s="56">
        <f t="shared" si="1"/>
        <v>99079.437040000004</v>
      </c>
    </row>
    <row r="52" spans="1:22" s="50" customFormat="1" ht="14.25" customHeight="1">
      <c r="A52" s="52">
        <f t="shared" si="2"/>
        <v>39</v>
      </c>
      <c r="B52" s="53" t="s">
        <v>264</v>
      </c>
      <c r="C52" s="54">
        <v>41135</v>
      </c>
      <c r="D52" s="13" t="s">
        <v>271</v>
      </c>
      <c r="E52" s="53" t="s">
        <v>282</v>
      </c>
      <c r="F52" s="53" t="s">
        <v>276</v>
      </c>
      <c r="G52" s="92" t="s">
        <v>17</v>
      </c>
      <c r="H52" s="56">
        <v>25000</v>
      </c>
      <c r="I52" s="56">
        <v>0</v>
      </c>
      <c r="J52" s="56">
        <v>0</v>
      </c>
      <c r="K52" s="56">
        <v>0</v>
      </c>
      <c r="L52" s="17">
        <v>1137.95</v>
      </c>
      <c r="M52" s="17">
        <v>3932.3599999999997</v>
      </c>
      <c r="N52" s="56">
        <v>6509.7750000000005</v>
      </c>
      <c r="O52" s="17">
        <v>8386.0910000000003</v>
      </c>
      <c r="P52" s="56">
        <v>3770</v>
      </c>
      <c r="Q52" s="17">
        <v>1000</v>
      </c>
      <c r="R52" s="17">
        <v>259.93040999999999</v>
      </c>
      <c r="S52" s="17">
        <v>0</v>
      </c>
      <c r="T52" s="56">
        <v>0</v>
      </c>
      <c r="U52" s="56">
        <v>0</v>
      </c>
      <c r="V52" s="56">
        <f t="shared" si="1"/>
        <v>24996.10641</v>
      </c>
    </row>
    <row r="53" spans="1:22" s="50" customFormat="1" ht="14.25" customHeight="1">
      <c r="A53" s="52">
        <f t="shared" si="2"/>
        <v>40</v>
      </c>
      <c r="B53" s="53" t="s">
        <v>259</v>
      </c>
      <c r="C53" s="54">
        <v>41180</v>
      </c>
      <c r="D53" s="13" t="s">
        <v>260</v>
      </c>
      <c r="E53" s="53" t="s">
        <v>401</v>
      </c>
      <c r="F53" s="53" t="s">
        <v>381</v>
      </c>
      <c r="G53" s="92" t="s">
        <v>17</v>
      </c>
      <c r="H53" s="56">
        <v>35000</v>
      </c>
      <c r="I53" s="56">
        <v>0</v>
      </c>
      <c r="J53" s="56">
        <v>0</v>
      </c>
      <c r="K53" s="56">
        <v>0</v>
      </c>
      <c r="L53" s="17">
        <v>3000</v>
      </c>
      <c r="M53" s="17">
        <v>8771.1759999999995</v>
      </c>
      <c r="N53" s="56">
        <v>9421</v>
      </c>
      <c r="O53" s="17">
        <v>5286</v>
      </c>
      <c r="P53" s="56">
        <v>5000</v>
      </c>
      <c r="Q53" s="17">
        <v>3000</v>
      </c>
      <c r="R53" s="17">
        <v>0</v>
      </c>
      <c r="S53" s="17">
        <v>-1213</v>
      </c>
      <c r="T53" s="56">
        <v>0</v>
      </c>
      <c r="U53" s="56">
        <v>0</v>
      </c>
      <c r="V53" s="56">
        <f t="shared" si="1"/>
        <v>33265.175999999999</v>
      </c>
    </row>
    <row r="54" spans="1:22" s="50" customFormat="1" ht="14.25" customHeight="1">
      <c r="A54" s="52">
        <f t="shared" si="2"/>
        <v>41</v>
      </c>
      <c r="B54" s="53" t="s">
        <v>263</v>
      </c>
      <c r="C54" s="54">
        <v>41201</v>
      </c>
      <c r="D54" s="13" t="s">
        <v>270</v>
      </c>
      <c r="E54" s="53" t="s">
        <v>107</v>
      </c>
      <c r="F54" s="53" t="s">
        <v>298</v>
      </c>
      <c r="G54" s="92" t="s">
        <v>17</v>
      </c>
      <c r="H54" s="56">
        <v>20000</v>
      </c>
      <c r="I54" s="56">
        <v>0</v>
      </c>
      <c r="J54" s="56">
        <v>0</v>
      </c>
      <c r="K54" s="56">
        <v>0</v>
      </c>
      <c r="L54" s="17">
        <v>340</v>
      </c>
      <c r="M54" s="17">
        <v>390</v>
      </c>
      <c r="N54" s="17">
        <v>4798.6812300000001</v>
      </c>
      <c r="O54" s="17">
        <v>2000</v>
      </c>
      <c r="P54" s="56">
        <v>2863.1819999999998</v>
      </c>
      <c r="Q54" s="17">
        <v>0</v>
      </c>
      <c r="R54" s="17">
        <v>-841.86122</v>
      </c>
      <c r="S54" s="17">
        <v>0</v>
      </c>
      <c r="T54" s="56">
        <v>0</v>
      </c>
      <c r="U54" s="56">
        <v>0</v>
      </c>
      <c r="V54" s="56">
        <f t="shared" si="1"/>
        <v>9550.0020099999983</v>
      </c>
    </row>
    <row r="55" spans="1:22" s="50" customFormat="1" ht="14.25" customHeight="1">
      <c r="A55" s="52">
        <f t="shared" si="2"/>
        <v>42</v>
      </c>
      <c r="B55" s="53" t="s">
        <v>265</v>
      </c>
      <c r="C55" s="54">
        <v>41135</v>
      </c>
      <c r="D55" s="13" t="s">
        <v>273</v>
      </c>
      <c r="E55" s="53" t="s">
        <v>283</v>
      </c>
      <c r="F55" s="53" t="s">
        <v>277</v>
      </c>
      <c r="G55" s="92" t="s">
        <v>17</v>
      </c>
      <c r="H55" s="56">
        <v>15000</v>
      </c>
      <c r="I55" s="56">
        <v>0</v>
      </c>
      <c r="J55" s="56">
        <v>0</v>
      </c>
      <c r="K55" s="56">
        <v>0</v>
      </c>
      <c r="L55" s="17">
        <v>1614.577</v>
      </c>
      <c r="M55" s="17">
        <v>6600.0380000000005</v>
      </c>
      <c r="N55" s="56">
        <v>0</v>
      </c>
      <c r="O55" s="17">
        <v>3846</v>
      </c>
      <c r="P55" s="56">
        <v>2500</v>
      </c>
      <c r="Q55" s="17">
        <v>439.38499999999999</v>
      </c>
      <c r="R55" s="17">
        <v>0</v>
      </c>
      <c r="S55" s="17">
        <v>686</v>
      </c>
      <c r="T55" s="17">
        <f>-10.72/1000</f>
        <v>-1.072E-2</v>
      </c>
      <c r="U55" s="56">
        <v>0</v>
      </c>
      <c r="V55" s="56">
        <f t="shared" si="1"/>
        <v>15685.98928</v>
      </c>
    </row>
    <row r="56" spans="1:22" s="50" customFormat="1" ht="14.25" customHeight="1">
      <c r="A56" s="52">
        <f t="shared" si="2"/>
        <v>43</v>
      </c>
      <c r="B56" s="53" t="s">
        <v>261</v>
      </c>
      <c r="C56" s="54">
        <v>41260</v>
      </c>
      <c r="D56" s="13" t="s">
        <v>262</v>
      </c>
      <c r="E56" s="53" t="s">
        <v>89</v>
      </c>
      <c r="F56" s="53" t="s">
        <v>19</v>
      </c>
      <c r="G56" s="92" t="s">
        <v>17</v>
      </c>
      <c r="H56" s="56">
        <v>70000</v>
      </c>
      <c r="I56" s="56">
        <v>0</v>
      </c>
      <c r="J56" s="56">
        <v>0</v>
      </c>
      <c r="K56" s="56">
        <v>0</v>
      </c>
      <c r="L56" s="17">
        <v>5746</v>
      </c>
      <c r="M56" s="17">
        <v>18000</v>
      </c>
      <c r="N56" s="56">
        <v>20000</v>
      </c>
      <c r="O56" s="17">
        <v>19268</v>
      </c>
      <c r="P56" s="56">
        <v>0</v>
      </c>
      <c r="Q56" s="17">
        <v>0</v>
      </c>
      <c r="R56" s="17">
        <v>3300</v>
      </c>
      <c r="S56" s="17">
        <v>3686</v>
      </c>
      <c r="T56" s="17">
        <v>-1055.25613</v>
      </c>
      <c r="U56" s="56">
        <v>0</v>
      </c>
      <c r="V56" s="56">
        <f t="shared" si="1"/>
        <v>68944.743870000006</v>
      </c>
    </row>
    <row r="57" spans="1:22" s="50" customFormat="1" ht="14.25" customHeight="1">
      <c r="A57" s="52">
        <f t="shared" si="2"/>
        <v>44</v>
      </c>
      <c r="B57" s="53" t="s">
        <v>244</v>
      </c>
      <c r="C57" s="54">
        <v>41213</v>
      </c>
      <c r="D57" s="53" t="s">
        <v>245</v>
      </c>
      <c r="E57" s="53" t="s">
        <v>18</v>
      </c>
      <c r="F57" s="53" t="s">
        <v>298</v>
      </c>
      <c r="G57" s="92" t="s">
        <v>17</v>
      </c>
      <c r="H57" s="56">
        <v>30000</v>
      </c>
      <c r="I57" s="56">
        <v>0</v>
      </c>
      <c r="J57" s="56">
        <v>0</v>
      </c>
      <c r="K57" s="56">
        <v>30000</v>
      </c>
      <c r="L57" s="17">
        <v>0</v>
      </c>
      <c r="M57" s="17">
        <v>0</v>
      </c>
      <c r="N57" s="56">
        <v>0</v>
      </c>
      <c r="O57" s="17">
        <v>0</v>
      </c>
      <c r="P57" s="56">
        <v>0</v>
      </c>
      <c r="Q57" s="17">
        <v>0</v>
      </c>
      <c r="R57" s="17">
        <v>0</v>
      </c>
      <c r="S57" s="17">
        <v>0</v>
      </c>
      <c r="T57" s="17">
        <v>0</v>
      </c>
      <c r="U57" s="56">
        <v>0</v>
      </c>
      <c r="V57" s="56">
        <f t="shared" si="1"/>
        <v>30000</v>
      </c>
    </row>
    <row r="58" spans="1:22" s="50" customFormat="1" ht="14.25" customHeight="1">
      <c r="A58" s="52">
        <f t="shared" si="2"/>
        <v>45</v>
      </c>
      <c r="B58" s="53" t="s">
        <v>246</v>
      </c>
      <c r="C58" s="54">
        <v>41260</v>
      </c>
      <c r="D58" s="13" t="s">
        <v>247</v>
      </c>
      <c r="E58" s="53" t="s">
        <v>18</v>
      </c>
      <c r="F58" s="53" t="s">
        <v>298</v>
      </c>
      <c r="G58" s="92" t="s">
        <v>17</v>
      </c>
      <c r="H58" s="56">
        <v>30000</v>
      </c>
      <c r="I58" s="56">
        <v>0</v>
      </c>
      <c r="J58" s="56">
        <v>0</v>
      </c>
      <c r="K58" s="56">
        <v>30000</v>
      </c>
      <c r="L58" s="17">
        <v>0</v>
      </c>
      <c r="M58" s="17">
        <v>0</v>
      </c>
      <c r="N58" s="56">
        <v>0</v>
      </c>
      <c r="O58" s="17">
        <v>0</v>
      </c>
      <c r="P58" s="56">
        <v>0</v>
      </c>
      <c r="Q58" s="17">
        <v>0</v>
      </c>
      <c r="R58" s="17">
        <v>0</v>
      </c>
      <c r="S58" s="17">
        <v>0</v>
      </c>
      <c r="T58" s="17">
        <v>0</v>
      </c>
      <c r="U58" s="56">
        <v>0</v>
      </c>
      <c r="V58" s="56">
        <f t="shared" si="1"/>
        <v>30000</v>
      </c>
    </row>
    <row r="59" spans="1:22" s="50" customFormat="1" ht="14.25" customHeight="1">
      <c r="A59" s="52">
        <f t="shared" si="2"/>
        <v>46</v>
      </c>
      <c r="B59" s="53" t="s">
        <v>249</v>
      </c>
      <c r="C59" s="54">
        <v>41260</v>
      </c>
      <c r="D59" s="53" t="s">
        <v>248</v>
      </c>
      <c r="E59" s="53" t="s">
        <v>18</v>
      </c>
      <c r="F59" s="53" t="s">
        <v>298</v>
      </c>
      <c r="G59" s="92" t="s">
        <v>17</v>
      </c>
      <c r="H59" s="56">
        <v>30000</v>
      </c>
      <c r="I59" s="56">
        <v>0</v>
      </c>
      <c r="J59" s="56">
        <v>0</v>
      </c>
      <c r="K59" s="56">
        <v>30000</v>
      </c>
      <c r="L59" s="17">
        <v>0</v>
      </c>
      <c r="M59" s="17">
        <v>0</v>
      </c>
      <c r="N59" s="56">
        <v>0</v>
      </c>
      <c r="O59" s="17">
        <v>0</v>
      </c>
      <c r="P59" s="56">
        <v>0</v>
      </c>
      <c r="Q59" s="17">
        <v>0</v>
      </c>
      <c r="R59" s="17">
        <v>0</v>
      </c>
      <c r="S59" s="17">
        <v>0</v>
      </c>
      <c r="T59" s="17">
        <v>0</v>
      </c>
      <c r="U59" s="56">
        <v>0</v>
      </c>
      <c r="V59" s="56">
        <f t="shared" si="1"/>
        <v>30000</v>
      </c>
    </row>
    <row r="60" spans="1:22" s="50" customFormat="1" ht="14.25" customHeight="1">
      <c r="A60" s="52">
        <f t="shared" si="2"/>
        <v>47</v>
      </c>
      <c r="B60" s="53" t="s">
        <v>269</v>
      </c>
      <c r="C60" s="54">
        <v>41619</v>
      </c>
      <c r="D60" s="53" t="s">
        <v>275</v>
      </c>
      <c r="E60" s="53" t="s">
        <v>18</v>
      </c>
      <c r="F60" s="53" t="s">
        <v>298</v>
      </c>
      <c r="G60" s="92" t="s">
        <v>17</v>
      </c>
      <c r="H60" s="56">
        <v>30000</v>
      </c>
      <c r="I60" s="56">
        <v>0</v>
      </c>
      <c r="J60" s="56">
        <v>0</v>
      </c>
      <c r="K60" s="56">
        <v>0</v>
      </c>
      <c r="L60" s="17">
        <v>30000</v>
      </c>
      <c r="M60" s="17">
        <v>0</v>
      </c>
      <c r="N60" s="56">
        <v>0</v>
      </c>
      <c r="O60" s="17">
        <v>0</v>
      </c>
      <c r="P60" s="56">
        <v>0</v>
      </c>
      <c r="Q60" s="17">
        <v>0</v>
      </c>
      <c r="R60" s="17">
        <v>0</v>
      </c>
      <c r="S60" s="17">
        <v>0</v>
      </c>
      <c r="T60" s="17">
        <v>0</v>
      </c>
      <c r="U60" s="56">
        <v>0</v>
      </c>
      <c r="V60" s="56">
        <f t="shared" si="1"/>
        <v>30000</v>
      </c>
    </row>
    <row r="61" spans="1:22" s="50" customFormat="1" ht="14.25" customHeight="1">
      <c r="A61" s="52">
        <f t="shared" si="2"/>
        <v>48</v>
      </c>
      <c r="B61" s="53" t="s">
        <v>303</v>
      </c>
      <c r="C61" s="54">
        <v>41590</v>
      </c>
      <c r="D61" s="13" t="s">
        <v>312</v>
      </c>
      <c r="E61" s="53" t="s">
        <v>120</v>
      </c>
      <c r="F61" s="53" t="s">
        <v>120</v>
      </c>
      <c r="G61" s="92" t="s">
        <v>17</v>
      </c>
      <c r="H61" s="56">
        <v>20000</v>
      </c>
      <c r="I61" s="56">
        <v>0</v>
      </c>
      <c r="J61" s="56">
        <v>0</v>
      </c>
      <c r="K61" s="56">
        <v>0</v>
      </c>
      <c r="L61" s="17">
        <v>0</v>
      </c>
      <c r="M61" s="17">
        <v>2840.2840000000001</v>
      </c>
      <c r="N61" s="56">
        <v>7093</v>
      </c>
      <c r="O61" s="17">
        <v>5822</v>
      </c>
      <c r="P61" s="56">
        <v>1562.579</v>
      </c>
      <c r="Q61" s="17">
        <v>1597.297</v>
      </c>
      <c r="R61" s="17">
        <v>895.55200000000002</v>
      </c>
      <c r="S61" s="17">
        <v>104</v>
      </c>
      <c r="T61" s="17">
        <v>85.755799999999994</v>
      </c>
      <c r="U61" s="56">
        <v>0</v>
      </c>
      <c r="V61" s="56">
        <f t="shared" si="1"/>
        <v>20000.467799999999</v>
      </c>
    </row>
    <row r="62" spans="1:22" s="50" customFormat="1" ht="14.25" customHeight="1">
      <c r="A62" s="52">
        <f t="shared" si="2"/>
        <v>49</v>
      </c>
      <c r="B62" s="53" t="s">
        <v>267</v>
      </c>
      <c r="C62" s="54">
        <v>41619</v>
      </c>
      <c r="D62" s="13" t="s">
        <v>272</v>
      </c>
      <c r="E62" s="53" t="s">
        <v>18</v>
      </c>
      <c r="F62" s="53" t="s">
        <v>298</v>
      </c>
      <c r="G62" s="92" t="s">
        <v>17</v>
      </c>
      <c r="H62" s="56">
        <v>25000</v>
      </c>
      <c r="I62" s="56">
        <v>0</v>
      </c>
      <c r="J62" s="56">
        <v>0</v>
      </c>
      <c r="K62" s="56">
        <v>0</v>
      </c>
      <c r="L62" s="17">
        <v>25000</v>
      </c>
      <c r="M62" s="17">
        <v>0</v>
      </c>
      <c r="N62" s="56">
        <v>0</v>
      </c>
      <c r="O62" s="17">
        <v>0</v>
      </c>
      <c r="P62" s="56">
        <v>0</v>
      </c>
      <c r="Q62" s="17">
        <v>0</v>
      </c>
      <c r="R62" s="17">
        <v>0</v>
      </c>
      <c r="S62" s="17">
        <v>0</v>
      </c>
      <c r="T62" s="17">
        <v>0</v>
      </c>
      <c r="U62" s="56">
        <v>0</v>
      </c>
      <c r="V62" s="56">
        <f t="shared" si="1"/>
        <v>25000</v>
      </c>
    </row>
    <row r="63" spans="1:22" s="50" customFormat="1" ht="14.25" customHeight="1">
      <c r="A63" s="52">
        <f t="shared" si="2"/>
        <v>50</v>
      </c>
      <c r="B63" s="53" t="s">
        <v>268</v>
      </c>
      <c r="C63" s="54">
        <v>41619</v>
      </c>
      <c r="D63" s="13" t="s">
        <v>274</v>
      </c>
      <c r="E63" s="53" t="s">
        <v>18</v>
      </c>
      <c r="F63" s="53" t="s">
        <v>298</v>
      </c>
      <c r="G63" s="92" t="s">
        <v>17</v>
      </c>
      <c r="H63" s="56">
        <v>25000</v>
      </c>
      <c r="I63" s="56">
        <v>0</v>
      </c>
      <c r="J63" s="56">
        <v>0</v>
      </c>
      <c r="K63" s="56">
        <v>0</v>
      </c>
      <c r="L63" s="17">
        <v>25000</v>
      </c>
      <c r="M63" s="17">
        <v>0</v>
      </c>
      <c r="N63" s="56">
        <v>0</v>
      </c>
      <c r="O63" s="17">
        <v>0</v>
      </c>
      <c r="P63" s="56">
        <v>0</v>
      </c>
      <c r="Q63" s="17">
        <v>0</v>
      </c>
      <c r="R63" s="17">
        <v>0</v>
      </c>
      <c r="S63" s="17">
        <v>0</v>
      </c>
      <c r="T63" s="17">
        <v>0</v>
      </c>
      <c r="U63" s="56">
        <v>0</v>
      </c>
      <c r="V63" s="56">
        <f t="shared" si="1"/>
        <v>25000</v>
      </c>
    </row>
    <row r="64" spans="1:22" s="50" customFormat="1" ht="14.25" customHeight="1">
      <c r="A64" s="52">
        <f t="shared" si="2"/>
        <v>51</v>
      </c>
      <c r="B64" s="53" t="s">
        <v>304</v>
      </c>
      <c r="C64" s="54">
        <v>41659</v>
      </c>
      <c r="D64" s="13" t="s">
        <v>305</v>
      </c>
      <c r="E64" s="53" t="s">
        <v>18</v>
      </c>
      <c r="F64" s="53" t="s">
        <v>298</v>
      </c>
      <c r="G64" s="92" t="s">
        <v>17</v>
      </c>
      <c r="H64" s="56">
        <v>10000</v>
      </c>
      <c r="I64" s="56">
        <v>0</v>
      </c>
      <c r="J64" s="56">
        <v>0</v>
      </c>
      <c r="K64" s="56">
        <v>0</v>
      </c>
      <c r="L64" s="17">
        <v>0</v>
      </c>
      <c r="M64" s="17">
        <v>290</v>
      </c>
      <c r="N64" s="56">
        <v>320</v>
      </c>
      <c r="O64" s="17">
        <v>2700</v>
      </c>
      <c r="P64" s="56">
        <v>-2671.0810000000001</v>
      </c>
      <c r="Q64" s="17">
        <v>0</v>
      </c>
      <c r="R64" s="17">
        <v>231.65873999999999</v>
      </c>
      <c r="S64" s="17">
        <v>0</v>
      </c>
      <c r="T64" s="17">
        <v>0</v>
      </c>
      <c r="U64" s="56">
        <v>0</v>
      </c>
      <c r="V64" s="56">
        <f t="shared" si="1"/>
        <v>870.57773999999984</v>
      </c>
    </row>
    <row r="65" spans="1:22" s="50" customFormat="1" ht="14.25" customHeight="1">
      <c r="A65" s="52">
        <f t="shared" si="2"/>
        <v>52</v>
      </c>
      <c r="B65" s="53" t="s">
        <v>321</v>
      </c>
      <c r="C65" s="54">
        <v>41745</v>
      </c>
      <c r="D65" s="13" t="s">
        <v>323</v>
      </c>
      <c r="E65" s="53" t="s">
        <v>322</v>
      </c>
      <c r="F65" s="53" t="s">
        <v>16</v>
      </c>
      <c r="G65" s="92" t="s">
        <v>17</v>
      </c>
      <c r="H65" s="56">
        <v>40000</v>
      </c>
      <c r="I65" s="56">
        <v>0</v>
      </c>
      <c r="J65" s="56">
        <v>0</v>
      </c>
      <c r="K65" s="56">
        <v>0</v>
      </c>
      <c r="L65" s="17">
        <v>0</v>
      </c>
      <c r="M65" s="17">
        <v>0</v>
      </c>
      <c r="N65" s="56">
        <v>895.2</v>
      </c>
      <c r="O65" s="17">
        <v>1925</v>
      </c>
      <c r="P65" s="56">
        <v>7500</v>
      </c>
      <c r="Q65" s="17">
        <v>10300</v>
      </c>
      <c r="R65" s="17">
        <v>11123</v>
      </c>
      <c r="S65" s="17">
        <v>8001</v>
      </c>
      <c r="T65" s="17">
        <v>-47.958039999999997</v>
      </c>
      <c r="U65" s="56">
        <v>0</v>
      </c>
      <c r="V65" s="56">
        <f t="shared" si="1"/>
        <v>39696.241959999999</v>
      </c>
    </row>
    <row r="66" spans="1:22" s="50" customFormat="1" ht="14.25" customHeight="1">
      <c r="A66" s="52">
        <f t="shared" si="2"/>
        <v>53</v>
      </c>
      <c r="B66" s="53" t="s">
        <v>324</v>
      </c>
      <c r="C66" s="54">
        <v>41880</v>
      </c>
      <c r="D66" s="13" t="s">
        <v>325</v>
      </c>
      <c r="E66" s="53" t="s">
        <v>18</v>
      </c>
      <c r="F66" s="53" t="s">
        <v>298</v>
      </c>
      <c r="G66" s="92" t="s">
        <v>17</v>
      </c>
      <c r="H66" s="56">
        <v>12000</v>
      </c>
      <c r="I66" s="56">
        <v>0</v>
      </c>
      <c r="J66" s="56">
        <v>0</v>
      </c>
      <c r="K66" s="56">
        <v>0</v>
      </c>
      <c r="L66" s="17">
        <v>0</v>
      </c>
      <c r="M66" s="17">
        <v>0</v>
      </c>
      <c r="N66" s="56">
        <v>1013.497</v>
      </c>
      <c r="O66" s="17">
        <f>5532.879-600</f>
        <v>4932.8789999999999</v>
      </c>
      <c r="P66" s="56">
        <f>4154.45+370</f>
        <v>4524.45</v>
      </c>
      <c r="Q66" s="17">
        <v>1123.9436599999999</v>
      </c>
      <c r="R66" s="17">
        <v>405.23034000000001</v>
      </c>
      <c r="S66" s="17">
        <v>0</v>
      </c>
      <c r="T66" s="17">
        <v>0</v>
      </c>
      <c r="U66" s="56">
        <v>258</v>
      </c>
      <c r="V66" s="56">
        <f t="shared" si="1"/>
        <v>12258.000000000002</v>
      </c>
    </row>
    <row r="67" spans="1:22" s="50" customFormat="1" ht="14.25" customHeight="1">
      <c r="A67" s="52">
        <f t="shared" si="2"/>
        <v>54</v>
      </c>
      <c r="B67" s="53" t="s">
        <v>324</v>
      </c>
      <c r="C67" s="54">
        <v>41880</v>
      </c>
      <c r="D67" s="101" t="s">
        <v>449</v>
      </c>
      <c r="E67" s="53" t="s">
        <v>18</v>
      </c>
      <c r="F67" s="53" t="s">
        <v>298</v>
      </c>
      <c r="G67" s="92" t="s">
        <v>17</v>
      </c>
      <c r="H67" s="56">
        <v>3000</v>
      </c>
      <c r="I67" s="56">
        <v>0</v>
      </c>
      <c r="J67" s="56">
        <v>0</v>
      </c>
      <c r="K67" s="56">
        <v>0</v>
      </c>
      <c r="L67" s="17">
        <v>0</v>
      </c>
      <c r="M67" s="17">
        <v>0</v>
      </c>
      <c r="N67" s="56">
        <f>51.696-45+75.5</f>
        <v>82.195999999999998</v>
      </c>
      <c r="O67" s="17">
        <v>600</v>
      </c>
      <c r="P67" s="56">
        <v>-370</v>
      </c>
      <c r="Q67" s="17">
        <v>0</v>
      </c>
      <c r="R67" s="17">
        <v>0</v>
      </c>
      <c r="S67" s="17">
        <v>525</v>
      </c>
      <c r="T67" s="17">
        <v>781.79700000000003</v>
      </c>
      <c r="U67" s="56">
        <v>0</v>
      </c>
      <c r="V67" s="56">
        <f t="shared" si="1"/>
        <v>1618.9929999999999</v>
      </c>
    </row>
    <row r="68" spans="1:22" s="50" customFormat="1" ht="14.25" customHeight="1">
      <c r="A68" s="52">
        <f t="shared" si="2"/>
        <v>55</v>
      </c>
      <c r="B68" s="53" t="s">
        <v>306</v>
      </c>
      <c r="C68" s="54">
        <v>41950</v>
      </c>
      <c r="D68" s="13" t="s">
        <v>309</v>
      </c>
      <c r="E68" s="53" t="s">
        <v>18</v>
      </c>
      <c r="F68" s="53" t="s">
        <v>298</v>
      </c>
      <c r="G68" s="92" t="s">
        <v>17</v>
      </c>
      <c r="H68" s="56">
        <v>25000</v>
      </c>
      <c r="I68" s="56">
        <v>0</v>
      </c>
      <c r="J68" s="56">
        <v>0</v>
      </c>
      <c r="K68" s="56">
        <v>0</v>
      </c>
      <c r="L68" s="17">
        <v>0</v>
      </c>
      <c r="M68" s="17">
        <v>25000</v>
      </c>
      <c r="N68" s="56">
        <v>0</v>
      </c>
      <c r="O68" s="17">
        <v>0</v>
      </c>
      <c r="P68" s="56">
        <v>0</v>
      </c>
      <c r="Q68" s="17">
        <v>0</v>
      </c>
      <c r="R68" s="17">
        <v>0</v>
      </c>
      <c r="S68" s="17">
        <v>0</v>
      </c>
      <c r="T68" s="17">
        <v>0</v>
      </c>
      <c r="U68" s="56">
        <v>0</v>
      </c>
      <c r="V68" s="56">
        <f t="shared" si="1"/>
        <v>25000</v>
      </c>
    </row>
    <row r="69" spans="1:22" s="50" customFormat="1" ht="14.25" customHeight="1">
      <c r="A69" s="52">
        <f t="shared" si="2"/>
        <v>56</v>
      </c>
      <c r="B69" s="53" t="s">
        <v>352</v>
      </c>
      <c r="C69" s="54">
        <v>42048</v>
      </c>
      <c r="D69" s="13" t="s">
        <v>353</v>
      </c>
      <c r="E69" s="53" t="s">
        <v>237</v>
      </c>
      <c r="F69" s="53" t="s">
        <v>16</v>
      </c>
      <c r="G69" s="92" t="s">
        <v>17</v>
      </c>
      <c r="H69" s="56">
        <v>15000</v>
      </c>
      <c r="I69" s="56">
        <v>0</v>
      </c>
      <c r="J69" s="56">
        <v>0</v>
      </c>
      <c r="K69" s="56">
        <v>0</v>
      </c>
      <c r="L69" s="17">
        <v>0</v>
      </c>
      <c r="M69" s="17">
        <v>0</v>
      </c>
      <c r="N69" s="56">
        <v>0</v>
      </c>
      <c r="O69" s="17">
        <v>455.625</v>
      </c>
      <c r="P69" s="56">
        <v>1540</v>
      </c>
      <c r="Q69" s="17">
        <v>2400</v>
      </c>
      <c r="R69" s="17">
        <v>4000</v>
      </c>
      <c r="S69" s="17">
        <v>-3357</v>
      </c>
      <c r="T69" s="17">
        <v>0</v>
      </c>
      <c r="U69" s="56">
        <v>0</v>
      </c>
      <c r="V69" s="56">
        <f t="shared" si="1"/>
        <v>5038.625</v>
      </c>
    </row>
    <row r="70" spans="1:22" s="50" customFormat="1" ht="14.25" customHeight="1">
      <c r="A70" s="52">
        <f t="shared" si="2"/>
        <v>57</v>
      </c>
      <c r="B70" s="53" t="s">
        <v>307</v>
      </c>
      <c r="C70" s="54">
        <v>41977</v>
      </c>
      <c r="D70" s="13" t="s">
        <v>318</v>
      </c>
      <c r="E70" s="53" t="s">
        <v>18</v>
      </c>
      <c r="F70" s="53" t="s">
        <v>298</v>
      </c>
      <c r="G70" s="92" t="s">
        <v>17</v>
      </c>
      <c r="H70" s="56">
        <v>25000</v>
      </c>
      <c r="I70" s="56">
        <v>0</v>
      </c>
      <c r="J70" s="56">
        <v>0</v>
      </c>
      <c r="K70" s="56">
        <v>0</v>
      </c>
      <c r="L70" s="17">
        <v>0</v>
      </c>
      <c r="M70" s="17">
        <v>25000</v>
      </c>
      <c r="N70" s="56">
        <v>0</v>
      </c>
      <c r="O70" s="17">
        <v>0</v>
      </c>
      <c r="P70" s="56">
        <v>0</v>
      </c>
      <c r="Q70" s="17">
        <v>0</v>
      </c>
      <c r="R70" s="17">
        <v>0</v>
      </c>
      <c r="S70" s="17">
        <v>0</v>
      </c>
      <c r="T70" s="17">
        <v>0</v>
      </c>
      <c r="U70" s="56">
        <v>0</v>
      </c>
      <c r="V70" s="56">
        <f t="shared" si="1"/>
        <v>25000</v>
      </c>
    </row>
    <row r="71" spans="1:22" s="43" customFormat="1" ht="14.25" customHeight="1">
      <c r="A71" s="52">
        <f t="shared" si="2"/>
        <v>58</v>
      </c>
      <c r="B71" s="53" t="s">
        <v>308</v>
      </c>
      <c r="C71" s="54">
        <v>41977</v>
      </c>
      <c r="D71" s="13" t="s">
        <v>319</v>
      </c>
      <c r="E71" s="53" t="s">
        <v>18</v>
      </c>
      <c r="F71" s="53" t="s">
        <v>298</v>
      </c>
      <c r="G71" s="92" t="s">
        <v>17</v>
      </c>
      <c r="H71" s="17">
        <v>25000</v>
      </c>
      <c r="I71" s="17">
        <v>0</v>
      </c>
      <c r="J71" s="17">
        <v>0</v>
      </c>
      <c r="K71" s="17">
        <v>0</v>
      </c>
      <c r="L71" s="17">
        <v>0</v>
      </c>
      <c r="M71" s="17">
        <v>25000</v>
      </c>
      <c r="N71" s="56">
        <v>0</v>
      </c>
      <c r="O71" s="17">
        <v>0</v>
      </c>
      <c r="P71" s="56">
        <v>0</v>
      </c>
      <c r="Q71" s="17">
        <v>0</v>
      </c>
      <c r="R71" s="17">
        <v>0</v>
      </c>
      <c r="S71" s="17">
        <v>0</v>
      </c>
      <c r="T71" s="17">
        <v>0</v>
      </c>
      <c r="U71" s="56">
        <v>0</v>
      </c>
      <c r="V71" s="56">
        <f t="shared" si="1"/>
        <v>25000</v>
      </c>
    </row>
    <row r="72" spans="1:22" s="43" customFormat="1" ht="14.25" customHeight="1">
      <c r="A72" s="52">
        <f t="shared" si="2"/>
        <v>59</v>
      </c>
      <c r="B72" s="13" t="s">
        <v>354</v>
      </c>
      <c r="C72" s="14">
        <v>42048</v>
      </c>
      <c r="D72" s="13" t="s">
        <v>412</v>
      </c>
      <c r="E72" s="13" t="s">
        <v>25</v>
      </c>
      <c r="F72" s="13" t="s">
        <v>16</v>
      </c>
      <c r="G72" s="93" t="s">
        <v>17</v>
      </c>
      <c r="H72" s="17">
        <v>40000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932.93200000000002</v>
      </c>
      <c r="P72" s="17">
        <v>2829.1120000000001</v>
      </c>
      <c r="Q72" s="17">
        <v>9870</v>
      </c>
      <c r="R72" s="17">
        <v>3500</v>
      </c>
      <c r="S72" s="17">
        <v>0</v>
      </c>
      <c r="T72" s="17">
        <v>0</v>
      </c>
      <c r="U72" s="56">
        <v>-7260.4504100000004</v>
      </c>
      <c r="V72" s="56">
        <f t="shared" si="1"/>
        <v>9871.5935900000004</v>
      </c>
    </row>
    <row r="73" spans="1:22" s="43" customFormat="1" ht="14.25" customHeight="1">
      <c r="A73" s="52">
        <f t="shared" si="2"/>
        <v>60</v>
      </c>
      <c r="B73" s="13" t="s">
        <v>355</v>
      </c>
      <c r="C73" s="14">
        <v>42124</v>
      </c>
      <c r="D73" s="13" t="s">
        <v>356</v>
      </c>
      <c r="E73" s="42" t="s">
        <v>186</v>
      </c>
      <c r="F73" s="42" t="s">
        <v>19</v>
      </c>
      <c r="G73" s="93" t="s">
        <v>17</v>
      </c>
      <c r="H73" s="17">
        <v>300000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97520.620999999999</v>
      </c>
      <c r="P73" s="17">
        <v>65000</v>
      </c>
      <c r="Q73" s="17">
        <v>0</v>
      </c>
      <c r="R73" s="17">
        <v>0</v>
      </c>
      <c r="S73" s="17">
        <v>30000</v>
      </c>
      <c r="T73" s="17">
        <v>0</v>
      </c>
      <c r="U73" s="56">
        <v>-1932.21147</v>
      </c>
      <c r="V73" s="56">
        <f t="shared" si="1"/>
        <v>190588.40952999998</v>
      </c>
    </row>
    <row r="74" spans="1:22" s="43" customFormat="1" ht="14.25" customHeight="1">
      <c r="A74" s="52">
        <f t="shared" si="2"/>
        <v>61</v>
      </c>
      <c r="B74" s="13" t="s">
        <v>426</v>
      </c>
      <c r="C74" s="14">
        <v>42136</v>
      </c>
      <c r="D74" s="13" t="s">
        <v>427</v>
      </c>
      <c r="E74" s="13" t="s">
        <v>18</v>
      </c>
      <c r="F74" s="53" t="s">
        <v>298</v>
      </c>
      <c r="G74" s="93" t="s">
        <v>17</v>
      </c>
      <c r="H74" s="17">
        <v>300000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300000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56">
        <v>0</v>
      </c>
      <c r="V74" s="56">
        <f t="shared" si="1"/>
        <v>300000</v>
      </c>
    </row>
    <row r="75" spans="1:22" s="43" customFormat="1" ht="14.25" customHeight="1">
      <c r="A75" s="52">
        <f t="shared" si="2"/>
        <v>62</v>
      </c>
      <c r="B75" s="53" t="s">
        <v>371</v>
      </c>
      <c r="C75" s="54">
        <v>42464</v>
      </c>
      <c r="D75" s="13" t="s">
        <v>375</v>
      </c>
      <c r="E75" s="53" t="s">
        <v>88</v>
      </c>
      <c r="F75" s="61" t="s">
        <v>19</v>
      </c>
      <c r="G75" s="92" t="s">
        <v>17</v>
      </c>
      <c r="H75" s="56">
        <v>50000</v>
      </c>
      <c r="I75" s="56">
        <v>0</v>
      </c>
      <c r="J75" s="56">
        <v>0</v>
      </c>
      <c r="K75" s="56">
        <v>0</v>
      </c>
      <c r="L75" s="17">
        <v>0</v>
      </c>
      <c r="M75" s="17">
        <v>0</v>
      </c>
      <c r="N75" s="56">
        <v>0</v>
      </c>
      <c r="O75" s="17">
        <v>0</v>
      </c>
      <c r="P75" s="56">
        <v>1148.0450000000001</v>
      </c>
      <c r="Q75" s="17">
        <v>4000</v>
      </c>
      <c r="R75" s="17">
        <v>10300</v>
      </c>
      <c r="S75" s="17">
        <v>5800</v>
      </c>
      <c r="T75" s="17">
        <v>9200</v>
      </c>
      <c r="U75" s="56">
        <v>13500</v>
      </c>
      <c r="V75" s="56">
        <f t="shared" si="1"/>
        <v>43948.044999999998</v>
      </c>
    </row>
    <row r="76" spans="1:22" s="43" customFormat="1" ht="14.25" customHeight="1">
      <c r="A76" s="52">
        <f t="shared" si="2"/>
        <v>63</v>
      </c>
      <c r="B76" s="53" t="s">
        <v>372</v>
      </c>
      <c r="C76" s="54">
        <v>42489</v>
      </c>
      <c r="D76" s="53" t="s">
        <v>376</v>
      </c>
      <c r="E76" s="53" t="s">
        <v>377</v>
      </c>
      <c r="F76" s="53" t="s">
        <v>454</v>
      </c>
      <c r="G76" s="92" t="s">
        <v>17</v>
      </c>
      <c r="H76" s="56">
        <v>20000</v>
      </c>
      <c r="I76" s="56">
        <v>0</v>
      </c>
      <c r="J76" s="56">
        <v>0</v>
      </c>
      <c r="K76" s="56">
        <v>0</v>
      </c>
      <c r="L76" s="17">
        <v>0</v>
      </c>
      <c r="M76" s="17">
        <v>0</v>
      </c>
      <c r="N76" s="56">
        <v>0</v>
      </c>
      <c r="O76" s="17">
        <v>0</v>
      </c>
      <c r="P76" s="56">
        <v>600</v>
      </c>
      <c r="Q76" s="17">
        <v>2000</v>
      </c>
      <c r="R76" s="17">
        <v>3807</v>
      </c>
      <c r="S76" s="17">
        <v>3103</v>
      </c>
      <c r="T76" s="17">
        <v>4636.4340000000002</v>
      </c>
      <c r="U76" s="56">
        <f>1500+1300</f>
        <v>2800</v>
      </c>
      <c r="V76" s="56">
        <f t="shared" si="1"/>
        <v>16946.434000000001</v>
      </c>
    </row>
    <row r="77" spans="1:22" s="43" customFormat="1" ht="14.25" customHeight="1">
      <c r="A77" s="52">
        <f t="shared" si="2"/>
        <v>64</v>
      </c>
      <c r="B77" s="53" t="s">
        <v>373</v>
      </c>
      <c r="C77" s="54">
        <v>42549</v>
      </c>
      <c r="D77" s="53" t="s">
        <v>428</v>
      </c>
      <c r="E77" s="53" t="s">
        <v>378</v>
      </c>
      <c r="F77" s="53" t="s">
        <v>26</v>
      </c>
      <c r="G77" s="92" t="s">
        <v>17</v>
      </c>
      <c r="H77" s="56">
        <v>30000</v>
      </c>
      <c r="I77" s="56">
        <v>0</v>
      </c>
      <c r="J77" s="56">
        <v>0</v>
      </c>
      <c r="K77" s="56">
        <v>0</v>
      </c>
      <c r="L77" s="17">
        <v>0</v>
      </c>
      <c r="M77" s="17">
        <v>0</v>
      </c>
      <c r="N77" s="56">
        <v>0</v>
      </c>
      <c r="O77" s="17">
        <v>0</v>
      </c>
      <c r="P77" s="56">
        <v>715.97500000000002</v>
      </c>
      <c r="Q77" s="17">
        <v>0</v>
      </c>
      <c r="R77" s="17">
        <v>4942.7150000000001</v>
      </c>
      <c r="S77" s="17">
        <v>4209</v>
      </c>
      <c r="T77" s="17">
        <v>9999.9989999999998</v>
      </c>
      <c r="U77" s="56">
        <v>6140.9620000000004</v>
      </c>
      <c r="V77" s="56">
        <f t="shared" si="1"/>
        <v>26008.650999999998</v>
      </c>
    </row>
    <row r="78" spans="1:22" s="43" customFormat="1" ht="14.25" customHeight="1">
      <c r="A78" s="52">
        <f t="shared" si="2"/>
        <v>65</v>
      </c>
      <c r="B78" s="53" t="s">
        <v>374</v>
      </c>
      <c r="C78" s="54">
        <v>42604</v>
      </c>
      <c r="D78" s="53" t="s">
        <v>379</v>
      </c>
      <c r="E78" s="53" t="s">
        <v>380</v>
      </c>
      <c r="F78" s="53" t="s">
        <v>381</v>
      </c>
      <c r="G78" s="92" t="s">
        <v>17</v>
      </c>
      <c r="H78" s="56">
        <v>40000</v>
      </c>
      <c r="I78" s="56">
        <v>0</v>
      </c>
      <c r="J78" s="56">
        <v>0</v>
      </c>
      <c r="K78" s="56">
        <v>0</v>
      </c>
      <c r="L78" s="17">
        <v>0</v>
      </c>
      <c r="M78" s="17">
        <v>0</v>
      </c>
      <c r="N78" s="56">
        <v>0</v>
      </c>
      <c r="O78" s="17">
        <v>0</v>
      </c>
      <c r="P78" s="56">
        <v>650</v>
      </c>
      <c r="Q78" s="17">
        <v>3800</v>
      </c>
      <c r="R78" s="17">
        <v>5683</v>
      </c>
      <c r="S78" s="17">
        <v>6684</v>
      </c>
      <c r="T78" s="17">
        <v>7819.98</v>
      </c>
      <c r="U78" s="56">
        <v>9083.2039999999997</v>
      </c>
      <c r="V78" s="56">
        <f t="shared" si="1"/>
        <v>33720.184000000001</v>
      </c>
    </row>
    <row r="79" spans="1:22" s="112" customFormat="1" ht="14.25" customHeight="1">
      <c r="A79" s="52">
        <f t="shared" si="2"/>
        <v>66</v>
      </c>
      <c r="B79" s="107" t="s">
        <v>404</v>
      </c>
      <c r="C79" s="108">
        <v>42605</v>
      </c>
      <c r="D79" s="107" t="s">
        <v>405</v>
      </c>
      <c r="E79" s="107" t="s">
        <v>89</v>
      </c>
      <c r="F79" s="107" t="s">
        <v>19</v>
      </c>
      <c r="G79" s="109" t="s">
        <v>17</v>
      </c>
      <c r="H79" s="110">
        <v>80000</v>
      </c>
      <c r="I79" s="110">
        <v>0</v>
      </c>
      <c r="J79" s="110">
        <v>0</v>
      </c>
      <c r="K79" s="110">
        <v>0</v>
      </c>
      <c r="L79" s="110">
        <v>0</v>
      </c>
      <c r="M79" s="110">
        <v>0</v>
      </c>
      <c r="N79" s="110">
        <v>0</v>
      </c>
      <c r="O79" s="110">
        <v>0</v>
      </c>
      <c r="P79" s="110">
        <v>0</v>
      </c>
      <c r="Q79" s="110">
        <v>5030.3029999999999</v>
      </c>
      <c r="R79" s="110">
        <v>7500</v>
      </c>
      <c r="S79" s="110">
        <v>13875</v>
      </c>
      <c r="T79" s="110">
        <v>21000</v>
      </c>
      <c r="U79" s="56">
        <v>11096.162</v>
      </c>
      <c r="V79" s="56">
        <f t="shared" ref="V79:V106" si="3">SUM(I79:U79)</f>
        <v>58501.464999999997</v>
      </c>
    </row>
    <row r="80" spans="1:22" s="112" customFormat="1" ht="14.25" customHeight="1">
      <c r="A80" s="52">
        <f t="shared" ref="A80:A106" si="4">A79+1</f>
        <v>67</v>
      </c>
      <c r="B80" s="107" t="s">
        <v>484</v>
      </c>
      <c r="C80" s="108">
        <v>43502</v>
      </c>
      <c r="D80" s="107" t="s">
        <v>485</v>
      </c>
      <c r="E80" s="113" t="s">
        <v>486</v>
      </c>
      <c r="F80" s="113" t="s">
        <v>38</v>
      </c>
      <c r="G80" s="109" t="s">
        <v>17</v>
      </c>
      <c r="H80" s="110">
        <v>50000</v>
      </c>
      <c r="I80" s="110">
        <v>0</v>
      </c>
      <c r="J80" s="110">
        <v>0</v>
      </c>
      <c r="K80" s="110">
        <v>0</v>
      </c>
      <c r="L80" s="110">
        <v>0</v>
      </c>
      <c r="M80" s="110">
        <v>0</v>
      </c>
      <c r="N80" s="110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2427</v>
      </c>
      <c r="T80" s="110">
        <v>7123.7120000000004</v>
      </c>
      <c r="U80" s="56">
        <f>13860.456+6166.495</f>
        <v>20026.951000000001</v>
      </c>
      <c r="V80" s="56">
        <f t="shared" si="3"/>
        <v>29577.663</v>
      </c>
    </row>
    <row r="81" spans="1:22" s="112" customFormat="1" ht="14.25" customHeight="1">
      <c r="A81" s="52">
        <f t="shared" si="4"/>
        <v>68</v>
      </c>
      <c r="B81" s="107" t="s">
        <v>507</v>
      </c>
      <c r="C81" s="108">
        <v>43395</v>
      </c>
      <c r="D81" s="107" t="s">
        <v>535</v>
      </c>
      <c r="E81" s="113" t="s">
        <v>508</v>
      </c>
      <c r="F81" s="113" t="s">
        <v>277</v>
      </c>
      <c r="G81" s="109" t="s">
        <v>17</v>
      </c>
      <c r="H81" s="110">
        <v>30000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2613.7600000000002</v>
      </c>
      <c r="U81" s="56">
        <f>4818.75+739.685</f>
        <v>5558.4349999999995</v>
      </c>
      <c r="V81" s="56">
        <f t="shared" si="3"/>
        <v>8172.1949999999997</v>
      </c>
    </row>
    <row r="82" spans="1:22" s="112" customFormat="1" ht="14.25" customHeight="1">
      <c r="A82" s="52">
        <f t="shared" si="4"/>
        <v>69</v>
      </c>
      <c r="B82" s="107" t="s">
        <v>406</v>
      </c>
      <c r="C82" s="108">
        <v>42606</v>
      </c>
      <c r="D82" s="107" t="s">
        <v>407</v>
      </c>
      <c r="E82" s="107" t="s">
        <v>296</v>
      </c>
      <c r="F82" s="107" t="s">
        <v>24</v>
      </c>
      <c r="G82" s="109" t="s">
        <v>17</v>
      </c>
      <c r="H82" s="110">
        <v>100000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56">
        <v>0</v>
      </c>
      <c r="V82" s="56">
        <f t="shared" si="3"/>
        <v>0</v>
      </c>
    </row>
    <row r="83" spans="1:22" s="112" customFormat="1" ht="14.25" customHeight="1">
      <c r="A83" s="52">
        <f t="shared" si="4"/>
        <v>70</v>
      </c>
      <c r="B83" s="107" t="s">
        <v>408</v>
      </c>
      <c r="C83" s="108">
        <v>42607</v>
      </c>
      <c r="D83" s="107" t="s">
        <v>416</v>
      </c>
      <c r="E83" s="107" t="s">
        <v>38</v>
      </c>
      <c r="F83" s="107" t="s">
        <v>38</v>
      </c>
      <c r="G83" s="109" t="s">
        <v>17</v>
      </c>
      <c r="H83" s="110">
        <v>50000</v>
      </c>
      <c r="I83" s="110">
        <v>0</v>
      </c>
      <c r="J83" s="110">
        <v>0</v>
      </c>
      <c r="K83" s="110">
        <v>0</v>
      </c>
      <c r="L83" s="110">
        <v>0</v>
      </c>
      <c r="M83" s="110">
        <v>0</v>
      </c>
      <c r="N83" s="110">
        <v>0</v>
      </c>
      <c r="O83" s="110">
        <v>0</v>
      </c>
      <c r="P83" s="110">
        <v>0</v>
      </c>
      <c r="Q83" s="110">
        <v>0</v>
      </c>
      <c r="R83" s="110">
        <v>6460</v>
      </c>
      <c r="S83" s="110">
        <v>4000</v>
      </c>
      <c r="T83" s="110">
        <v>11084</v>
      </c>
      <c r="U83" s="56">
        <f>6760+4450</f>
        <v>11210</v>
      </c>
      <c r="V83" s="56">
        <f t="shared" si="3"/>
        <v>32754</v>
      </c>
    </row>
    <row r="84" spans="1:22" s="112" customFormat="1" ht="14.25" customHeight="1">
      <c r="A84" s="52">
        <f t="shared" si="4"/>
        <v>71</v>
      </c>
      <c r="B84" s="107" t="s">
        <v>450</v>
      </c>
      <c r="C84" s="108">
        <v>43241</v>
      </c>
      <c r="D84" s="107" t="s">
        <v>451</v>
      </c>
      <c r="E84" s="107" t="s">
        <v>18</v>
      </c>
      <c r="F84" s="113" t="s">
        <v>298</v>
      </c>
      <c r="G84" s="109" t="s">
        <v>17</v>
      </c>
      <c r="H84" s="110">
        <v>50000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v>0</v>
      </c>
      <c r="O84" s="110">
        <v>0</v>
      </c>
      <c r="P84" s="110">
        <v>0</v>
      </c>
      <c r="Q84" s="110">
        <v>0</v>
      </c>
      <c r="R84" s="110">
        <v>1624.3879999999999</v>
      </c>
      <c r="S84" s="110">
        <v>3569</v>
      </c>
      <c r="T84" s="110">
        <v>4182.7240000000002</v>
      </c>
      <c r="U84" s="56">
        <f>1700+2950</f>
        <v>4650</v>
      </c>
      <c r="V84" s="56">
        <f t="shared" si="3"/>
        <v>14026.112000000001</v>
      </c>
    </row>
    <row r="85" spans="1:22" s="112" customFormat="1" ht="14.25" customHeight="1">
      <c r="A85" s="52">
        <f t="shared" si="4"/>
        <v>72</v>
      </c>
      <c r="B85" s="107" t="s">
        <v>450</v>
      </c>
      <c r="C85" s="108">
        <v>43241</v>
      </c>
      <c r="D85" s="107" t="s">
        <v>452</v>
      </c>
      <c r="E85" s="107" t="s">
        <v>453</v>
      </c>
      <c r="F85" s="113" t="s">
        <v>298</v>
      </c>
      <c r="G85" s="109" t="s">
        <v>17</v>
      </c>
      <c r="H85" s="110">
        <v>15000</v>
      </c>
      <c r="I85" s="110">
        <v>0</v>
      </c>
      <c r="J85" s="110">
        <v>0</v>
      </c>
      <c r="K85" s="110">
        <v>0</v>
      </c>
      <c r="L85" s="110">
        <v>0</v>
      </c>
      <c r="M85" s="110">
        <v>0</v>
      </c>
      <c r="N85" s="110">
        <v>0</v>
      </c>
      <c r="O85" s="110">
        <v>0</v>
      </c>
      <c r="P85" s="110">
        <v>0</v>
      </c>
      <c r="Q85" s="110">
        <v>0</v>
      </c>
      <c r="R85" s="110">
        <v>239.14999999999998</v>
      </c>
      <c r="S85" s="110">
        <v>2084</v>
      </c>
      <c r="T85" s="110">
        <v>1876.9715100000001</v>
      </c>
      <c r="U85" s="56">
        <f>652.438+1214.968</f>
        <v>1867.4059999999999</v>
      </c>
      <c r="V85" s="56">
        <f t="shared" si="3"/>
        <v>6067.5275099999999</v>
      </c>
    </row>
    <row r="86" spans="1:22" s="112" customFormat="1" ht="14.25" customHeight="1">
      <c r="A86" s="52">
        <f t="shared" si="4"/>
        <v>73</v>
      </c>
      <c r="B86" s="107" t="s">
        <v>406</v>
      </c>
      <c r="C86" s="108">
        <v>43355</v>
      </c>
      <c r="D86" s="107" t="s">
        <v>455</v>
      </c>
      <c r="E86" s="107" t="s">
        <v>296</v>
      </c>
      <c r="F86" s="113" t="s">
        <v>24</v>
      </c>
      <c r="G86" s="109" t="s">
        <v>17</v>
      </c>
      <c r="H86" s="110">
        <v>100000</v>
      </c>
      <c r="I86" s="110">
        <v>0</v>
      </c>
      <c r="J86" s="110">
        <v>0</v>
      </c>
      <c r="K86" s="110">
        <v>0</v>
      </c>
      <c r="L86" s="110">
        <v>0</v>
      </c>
      <c r="M86" s="110">
        <v>0</v>
      </c>
      <c r="N86" s="110">
        <v>0</v>
      </c>
      <c r="O86" s="110">
        <v>0</v>
      </c>
      <c r="P86" s="110">
        <v>0</v>
      </c>
      <c r="Q86" s="110">
        <v>0</v>
      </c>
      <c r="R86" s="110">
        <v>15110.556</v>
      </c>
      <c r="S86" s="110">
        <v>19782</v>
      </c>
      <c r="T86" s="110">
        <v>29148.492999999999</v>
      </c>
      <c r="U86" s="56">
        <f>9641.516+7919.441</f>
        <v>17560.956999999999</v>
      </c>
      <c r="V86" s="56">
        <f t="shared" si="3"/>
        <v>81602.005999999994</v>
      </c>
    </row>
    <row r="87" spans="1:22" s="112" customFormat="1" ht="14.25" customHeight="1">
      <c r="A87" s="52">
        <f t="shared" si="4"/>
        <v>74</v>
      </c>
      <c r="B87" s="107" t="s">
        <v>456</v>
      </c>
      <c r="C87" s="108">
        <v>43374</v>
      </c>
      <c r="D87" s="107" t="s">
        <v>457</v>
      </c>
      <c r="E87" s="113" t="s">
        <v>131</v>
      </c>
      <c r="F87" s="113" t="s">
        <v>16</v>
      </c>
      <c r="G87" s="109" t="s">
        <v>17</v>
      </c>
      <c r="H87" s="110">
        <v>100000</v>
      </c>
      <c r="I87" s="110">
        <v>0</v>
      </c>
      <c r="J87" s="110">
        <v>0</v>
      </c>
      <c r="K87" s="110">
        <v>0</v>
      </c>
      <c r="L87" s="110">
        <v>0</v>
      </c>
      <c r="M87" s="110">
        <v>0</v>
      </c>
      <c r="N87" s="110">
        <v>0</v>
      </c>
      <c r="O87" s="110">
        <v>0</v>
      </c>
      <c r="P87" s="110">
        <v>0</v>
      </c>
      <c r="Q87" s="110">
        <v>0</v>
      </c>
      <c r="R87" s="110">
        <v>4500</v>
      </c>
      <c r="S87" s="110">
        <v>20971</v>
      </c>
      <c r="T87" s="110">
        <v>16000</v>
      </c>
      <c r="U87" s="56">
        <f>10321+11000</f>
        <v>21321</v>
      </c>
      <c r="V87" s="56">
        <f t="shared" si="3"/>
        <v>62792</v>
      </c>
    </row>
    <row r="88" spans="1:22" s="112" customFormat="1" ht="14.25" customHeight="1">
      <c r="A88" s="52">
        <f t="shared" si="4"/>
        <v>75</v>
      </c>
      <c r="B88" s="107" t="s">
        <v>458</v>
      </c>
      <c r="C88" s="108">
        <v>43355</v>
      </c>
      <c r="D88" s="107" t="s">
        <v>459</v>
      </c>
      <c r="E88" s="107" t="s">
        <v>460</v>
      </c>
      <c r="F88" s="113" t="s">
        <v>276</v>
      </c>
      <c r="G88" s="109" t="s">
        <v>17</v>
      </c>
      <c r="H88" s="110">
        <v>75000</v>
      </c>
      <c r="I88" s="110">
        <v>0</v>
      </c>
      <c r="J88" s="110">
        <v>0</v>
      </c>
      <c r="K88" s="110">
        <v>0</v>
      </c>
      <c r="L88" s="110">
        <v>0</v>
      </c>
      <c r="M88" s="110">
        <v>0</v>
      </c>
      <c r="N88" s="110">
        <v>0</v>
      </c>
      <c r="O88" s="110">
        <v>0</v>
      </c>
      <c r="P88" s="110">
        <v>0</v>
      </c>
      <c r="Q88" s="110">
        <v>0</v>
      </c>
      <c r="R88" s="110">
        <v>1335.453</v>
      </c>
      <c r="S88" s="110">
        <v>11832</v>
      </c>
      <c r="T88" s="110">
        <v>11061.928</v>
      </c>
      <c r="U88" s="56">
        <f>29947.225+1176.059</f>
        <v>31123.284</v>
      </c>
      <c r="V88" s="56">
        <f t="shared" si="3"/>
        <v>55352.665000000001</v>
      </c>
    </row>
    <row r="89" spans="1:22" s="112" customFormat="1" ht="14.25" customHeight="1">
      <c r="A89" s="52">
        <f t="shared" si="4"/>
        <v>76</v>
      </c>
      <c r="B89" s="107" t="s">
        <v>475</v>
      </c>
      <c r="C89" s="108">
        <v>43677</v>
      </c>
      <c r="D89" s="107" t="s">
        <v>476</v>
      </c>
      <c r="E89" s="107" t="s">
        <v>477</v>
      </c>
      <c r="F89" s="113" t="s">
        <v>277</v>
      </c>
      <c r="G89" s="109" t="s">
        <v>17</v>
      </c>
      <c r="H89" s="110">
        <v>16800</v>
      </c>
      <c r="I89" s="110">
        <v>0</v>
      </c>
      <c r="J89" s="110">
        <v>0</v>
      </c>
      <c r="K89" s="110">
        <v>0</v>
      </c>
      <c r="L89" s="110">
        <v>0</v>
      </c>
      <c r="M89" s="110">
        <v>0</v>
      </c>
      <c r="N89" s="110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97</v>
      </c>
      <c r="T89" s="110">
        <v>1092.3589999999999</v>
      </c>
      <c r="U89" s="56">
        <v>3154.4050000000002</v>
      </c>
      <c r="V89" s="56">
        <f t="shared" si="3"/>
        <v>4343.7640000000001</v>
      </c>
    </row>
    <row r="90" spans="1:22" s="112" customFormat="1" ht="14.25" customHeight="1">
      <c r="A90" s="52">
        <f t="shared" si="4"/>
        <v>77</v>
      </c>
      <c r="B90" s="107" t="s">
        <v>469</v>
      </c>
      <c r="C90" s="108">
        <v>43496</v>
      </c>
      <c r="D90" s="107" t="s">
        <v>471</v>
      </c>
      <c r="E90" s="107" t="s">
        <v>18</v>
      </c>
      <c r="F90" s="113" t="s">
        <v>298</v>
      </c>
      <c r="G90" s="109" t="s">
        <v>17</v>
      </c>
      <c r="H90" s="110">
        <v>100000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v>0</v>
      </c>
      <c r="O90" s="110">
        <v>0</v>
      </c>
      <c r="P90" s="110">
        <v>0</v>
      </c>
      <c r="Q90" s="110">
        <v>0</v>
      </c>
      <c r="R90" s="110">
        <v>100000</v>
      </c>
      <c r="S90" s="110">
        <v>0</v>
      </c>
      <c r="T90" s="110">
        <v>0</v>
      </c>
      <c r="U90" s="56">
        <v>0</v>
      </c>
      <c r="V90" s="56">
        <f t="shared" si="3"/>
        <v>100000</v>
      </c>
    </row>
    <row r="91" spans="1:22" s="112" customFormat="1" ht="14.25" customHeight="1">
      <c r="A91" s="52">
        <f t="shared" si="4"/>
        <v>78</v>
      </c>
      <c r="B91" s="107" t="s">
        <v>474</v>
      </c>
      <c r="C91" s="108">
        <v>43501</v>
      </c>
      <c r="D91" s="107" t="s">
        <v>461</v>
      </c>
      <c r="E91" s="113" t="s">
        <v>120</v>
      </c>
      <c r="F91" s="113" t="s">
        <v>120</v>
      </c>
      <c r="G91" s="109" t="s">
        <v>17</v>
      </c>
      <c r="H91" s="110">
        <v>50000</v>
      </c>
      <c r="I91" s="110">
        <v>0</v>
      </c>
      <c r="J91" s="110">
        <v>0</v>
      </c>
      <c r="K91" s="110">
        <v>0</v>
      </c>
      <c r="L91" s="110">
        <v>0</v>
      </c>
      <c r="M91" s="110">
        <v>0</v>
      </c>
      <c r="N91" s="110">
        <v>0</v>
      </c>
      <c r="O91" s="110">
        <v>0</v>
      </c>
      <c r="P91" s="110">
        <v>0</v>
      </c>
      <c r="Q91" s="110">
        <v>0</v>
      </c>
      <c r="R91" s="110">
        <v>3487.1610000000001</v>
      </c>
      <c r="S91" s="110">
        <v>7210</v>
      </c>
      <c r="T91" s="110">
        <v>14000</v>
      </c>
      <c r="U91" s="56">
        <v>0</v>
      </c>
      <c r="V91" s="56">
        <f t="shared" si="3"/>
        <v>24697.161</v>
      </c>
    </row>
    <row r="92" spans="1:22" s="112" customFormat="1" ht="14.25" customHeight="1">
      <c r="A92" s="52">
        <f t="shared" si="4"/>
        <v>79</v>
      </c>
      <c r="B92" s="107" t="s">
        <v>478</v>
      </c>
      <c r="C92" s="108">
        <v>43511</v>
      </c>
      <c r="D92" s="107" t="s">
        <v>479</v>
      </c>
      <c r="E92" s="113" t="s">
        <v>28</v>
      </c>
      <c r="F92" s="113" t="s">
        <v>298</v>
      </c>
      <c r="G92" s="109" t="s">
        <v>17</v>
      </c>
      <c r="H92" s="110">
        <v>50000</v>
      </c>
      <c r="I92" s="110">
        <v>0</v>
      </c>
      <c r="J92" s="110">
        <v>0</v>
      </c>
      <c r="K92" s="110">
        <v>0</v>
      </c>
      <c r="L92" s="110">
        <v>0</v>
      </c>
      <c r="M92" s="110">
        <v>0</v>
      </c>
      <c r="N92" s="110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991</v>
      </c>
      <c r="T92" s="110">
        <v>3481.6779999999999</v>
      </c>
      <c r="U92" s="56">
        <v>8054.0129999999999</v>
      </c>
      <c r="V92" s="56">
        <f t="shared" si="3"/>
        <v>12526.690999999999</v>
      </c>
    </row>
    <row r="93" spans="1:22" s="112" customFormat="1" ht="14.25" customHeight="1">
      <c r="A93" s="52">
        <f t="shared" si="4"/>
        <v>80</v>
      </c>
      <c r="B93" s="107" t="s">
        <v>487</v>
      </c>
      <c r="C93" s="108">
        <v>43537</v>
      </c>
      <c r="D93" s="107" t="s">
        <v>488</v>
      </c>
      <c r="E93" s="113" t="s">
        <v>489</v>
      </c>
      <c r="F93" s="113" t="s">
        <v>20</v>
      </c>
      <c r="G93" s="109" t="s">
        <v>17</v>
      </c>
      <c r="H93" s="110">
        <v>125000</v>
      </c>
      <c r="I93" s="110">
        <v>0</v>
      </c>
      <c r="J93" s="110">
        <v>0</v>
      </c>
      <c r="K93" s="110">
        <v>0</v>
      </c>
      <c r="L93" s="110">
        <v>0</v>
      </c>
      <c r="M93" s="110">
        <v>0</v>
      </c>
      <c r="N93" s="110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5269</v>
      </c>
      <c r="T93" s="110">
        <v>2035.9670000000001</v>
      </c>
      <c r="U93" s="56">
        <v>3194.1320000000001</v>
      </c>
      <c r="V93" s="56">
        <f t="shared" si="3"/>
        <v>10499.099</v>
      </c>
    </row>
    <row r="94" spans="1:22" s="112" customFormat="1" ht="14.25" customHeight="1">
      <c r="A94" s="52">
        <f t="shared" si="4"/>
        <v>81</v>
      </c>
      <c r="B94" s="107" t="s">
        <v>480</v>
      </c>
      <c r="C94" s="108">
        <v>43826</v>
      </c>
      <c r="D94" s="107" t="s">
        <v>481</v>
      </c>
      <c r="E94" s="113" t="s">
        <v>482</v>
      </c>
      <c r="F94" s="113" t="s">
        <v>483</v>
      </c>
      <c r="G94" s="109" t="s">
        <v>17</v>
      </c>
      <c r="H94" s="110">
        <v>40000</v>
      </c>
      <c r="I94" s="110">
        <v>0</v>
      </c>
      <c r="J94" s="110">
        <v>0</v>
      </c>
      <c r="K94" s="110">
        <v>0</v>
      </c>
      <c r="L94" s="110">
        <v>0</v>
      </c>
      <c r="M94" s="110">
        <v>0</v>
      </c>
      <c r="N94" s="110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5085</v>
      </c>
      <c r="T94" s="110">
        <v>6500.1229999999996</v>
      </c>
      <c r="U94" s="56">
        <v>6105.1080000000002</v>
      </c>
      <c r="V94" s="56">
        <f t="shared" si="3"/>
        <v>17690.231</v>
      </c>
    </row>
    <row r="95" spans="1:22" s="112" customFormat="1" ht="14.25" customHeight="1">
      <c r="A95" s="52">
        <f t="shared" si="4"/>
        <v>82</v>
      </c>
      <c r="B95" s="107" t="s">
        <v>522</v>
      </c>
      <c r="C95" s="108">
        <v>44280</v>
      </c>
      <c r="D95" s="107" t="s">
        <v>536</v>
      </c>
      <c r="E95" s="113" t="s">
        <v>523</v>
      </c>
      <c r="F95" s="113" t="s">
        <v>523</v>
      </c>
      <c r="G95" s="109" t="s">
        <v>17</v>
      </c>
      <c r="H95" s="110">
        <v>30000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N95" s="110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56">
        <f>416.675+423.753</f>
        <v>840.428</v>
      </c>
      <c r="V95" s="56">
        <f t="shared" si="3"/>
        <v>840.428</v>
      </c>
    </row>
    <row r="96" spans="1:22" s="112" customFormat="1" ht="14.25" customHeight="1">
      <c r="A96" s="52">
        <f t="shared" si="4"/>
        <v>83</v>
      </c>
      <c r="B96" s="107" t="s">
        <v>521</v>
      </c>
      <c r="C96" s="108">
        <v>44012</v>
      </c>
      <c r="D96" s="107" t="s">
        <v>537</v>
      </c>
      <c r="E96" s="113" t="s">
        <v>136</v>
      </c>
      <c r="F96" s="113" t="s">
        <v>24</v>
      </c>
      <c r="G96" s="109" t="s">
        <v>17</v>
      </c>
      <c r="H96" s="110">
        <v>100000</v>
      </c>
      <c r="I96" s="110">
        <v>0</v>
      </c>
      <c r="J96" s="110">
        <v>0</v>
      </c>
      <c r="K96" s="110">
        <v>0</v>
      </c>
      <c r="L96" s="110">
        <v>0</v>
      </c>
      <c r="M96" s="110">
        <v>0</v>
      </c>
      <c r="N96" s="110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56">
        <v>1070.46</v>
      </c>
      <c r="V96" s="56">
        <f t="shared" si="3"/>
        <v>1070.46</v>
      </c>
    </row>
    <row r="97" spans="1:22" s="112" customFormat="1" ht="14.25" customHeight="1">
      <c r="A97" s="52">
        <f t="shared" si="4"/>
        <v>84</v>
      </c>
      <c r="B97" s="107" t="s">
        <v>490</v>
      </c>
      <c r="C97" s="108">
        <v>43998</v>
      </c>
      <c r="D97" s="107" t="s">
        <v>491</v>
      </c>
      <c r="E97" s="113" t="s">
        <v>18</v>
      </c>
      <c r="F97" s="113" t="s">
        <v>298</v>
      </c>
      <c r="G97" s="109" t="s">
        <v>17</v>
      </c>
      <c r="H97" s="110">
        <v>50000</v>
      </c>
      <c r="I97" s="110">
        <v>0</v>
      </c>
      <c r="J97" s="110">
        <v>0</v>
      </c>
      <c r="K97" s="110">
        <v>0</v>
      </c>
      <c r="L97" s="110">
        <v>0</v>
      </c>
      <c r="M97" s="110">
        <v>0</v>
      </c>
      <c r="N97" s="110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50000</v>
      </c>
      <c r="T97" s="110">
        <v>0</v>
      </c>
      <c r="U97" s="56">
        <v>0</v>
      </c>
      <c r="V97" s="56">
        <f t="shared" si="3"/>
        <v>50000</v>
      </c>
    </row>
    <row r="98" spans="1:22" s="112" customFormat="1" ht="14.25" customHeight="1">
      <c r="A98" s="52">
        <f t="shared" si="4"/>
        <v>85</v>
      </c>
      <c r="B98" s="107" t="s">
        <v>509</v>
      </c>
      <c r="C98" s="108">
        <v>44020</v>
      </c>
      <c r="D98" s="107" t="s">
        <v>538</v>
      </c>
      <c r="E98" s="113" t="s">
        <v>510</v>
      </c>
      <c r="F98" s="113" t="s">
        <v>27</v>
      </c>
      <c r="G98" s="109" t="s">
        <v>17</v>
      </c>
      <c r="H98" s="110">
        <v>11026</v>
      </c>
      <c r="I98" s="110">
        <v>0</v>
      </c>
      <c r="J98" s="110">
        <v>0</v>
      </c>
      <c r="K98" s="110">
        <v>0</v>
      </c>
      <c r="L98" s="110">
        <v>0</v>
      </c>
      <c r="M98" s="110">
        <v>0</v>
      </c>
      <c r="N98" s="110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1206</v>
      </c>
      <c r="U98" s="56">
        <f>1172+882</f>
        <v>2054</v>
      </c>
      <c r="V98" s="56">
        <f t="shared" si="3"/>
        <v>3260</v>
      </c>
    </row>
    <row r="99" spans="1:22" s="112" customFormat="1" ht="14.25" customHeight="1">
      <c r="A99" s="52">
        <f t="shared" si="4"/>
        <v>86</v>
      </c>
      <c r="B99" s="107" t="s">
        <v>509</v>
      </c>
      <c r="C99" s="108">
        <v>44020</v>
      </c>
      <c r="D99" s="107" t="s">
        <v>538</v>
      </c>
      <c r="E99" s="113" t="s">
        <v>511</v>
      </c>
      <c r="F99" s="113" t="s">
        <v>27</v>
      </c>
      <c r="G99" s="109" t="s">
        <v>17</v>
      </c>
      <c r="H99" s="110">
        <v>70635</v>
      </c>
      <c r="I99" s="110">
        <v>0</v>
      </c>
      <c r="J99" s="110">
        <v>0</v>
      </c>
      <c r="K99" s="110">
        <v>0</v>
      </c>
      <c r="L99" s="110">
        <v>0</v>
      </c>
      <c r="M99" s="110">
        <v>0</v>
      </c>
      <c r="N99" s="110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1271.6099999999999</v>
      </c>
      <c r="U99" s="56">
        <f>2444.90026+5963.258</f>
        <v>8408.1582600000002</v>
      </c>
      <c r="V99" s="56">
        <f t="shared" si="3"/>
        <v>9679.7682600000007</v>
      </c>
    </row>
    <row r="100" spans="1:22" s="112" customFormat="1" ht="14.25" customHeight="1">
      <c r="A100" s="52">
        <f t="shared" si="4"/>
        <v>87</v>
      </c>
      <c r="B100" s="107" t="s">
        <v>509</v>
      </c>
      <c r="C100" s="108">
        <v>44020</v>
      </c>
      <c r="D100" s="107" t="s">
        <v>538</v>
      </c>
      <c r="E100" s="113" t="s">
        <v>512</v>
      </c>
      <c r="F100" s="113" t="s">
        <v>27</v>
      </c>
      <c r="G100" s="109" t="s">
        <v>17</v>
      </c>
      <c r="H100" s="110">
        <v>18339</v>
      </c>
      <c r="I100" s="110">
        <v>0</v>
      </c>
      <c r="J100" s="110">
        <v>0</v>
      </c>
      <c r="K100" s="110">
        <v>0</v>
      </c>
      <c r="L100" s="110">
        <v>0</v>
      </c>
      <c r="M100" s="110">
        <v>0</v>
      </c>
      <c r="N100" s="110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1609.616</v>
      </c>
      <c r="U100" s="56">
        <v>2112.8649999999998</v>
      </c>
      <c r="V100" s="56">
        <f t="shared" si="3"/>
        <v>3722.4809999999998</v>
      </c>
    </row>
    <row r="101" spans="1:22" s="112" customFormat="1" ht="14.25" customHeight="1">
      <c r="A101" s="52">
        <f t="shared" si="4"/>
        <v>88</v>
      </c>
      <c r="B101" s="107" t="s">
        <v>513</v>
      </c>
      <c r="C101" s="108">
        <v>44298</v>
      </c>
      <c r="D101" s="107" t="s">
        <v>543</v>
      </c>
      <c r="E101" s="113" t="s">
        <v>18</v>
      </c>
      <c r="F101" s="113" t="s">
        <v>298</v>
      </c>
      <c r="G101" s="109" t="s">
        <v>17</v>
      </c>
      <c r="H101" s="110">
        <v>400000</v>
      </c>
      <c r="I101" s="110">
        <v>0</v>
      </c>
      <c r="J101" s="110">
        <v>0</v>
      </c>
      <c r="K101" s="110">
        <v>0</v>
      </c>
      <c r="L101" s="110">
        <v>0</v>
      </c>
      <c r="M101" s="110">
        <v>0</v>
      </c>
      <c r="N101" s="110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400000</v>
      </c>
      <c r="U101" s="56">
        <v>0</v>
      </c>
      <c r="V101" s="56">
        <f t="shared" si="3"/>
        <v>400000</v>
      </c>
    </row>
    <row r="102" spans="1:22" s="112" customFormat="1" ht="14.25" customHeight="1">
      <c r="A102" s="52">
        <f t="shared" si="4"/>
        <v>89</v>
      </c>
      <c r="B102" s="107" t="s">
        <v>524</v>
      </c>
      <c r="C102" s="108">
        <v>44334</v>
      </c>
      <c r="D102" s="107" t="s">
        <v>539</v>
      </c>
      <c r="E102" s="113" t="s">
        <v>525</v>
      </c>
      <c r="F102" s="113" t="s">
        <v>19</v>
      </c>
      <c r="G102" s="109" t="s">
        <v>17</v>
      </c>
      <c r="H102" s="110">
        <v>114300</v>
      </c>
      <c r="I102" s="110">
        <v>0</v>
      </c>
      <c r="J102" s="110">
        <v>0</v>
      </c>
      <c r="K102" s="110">
        <v>0</v>
      </c>
      <c r="L102" s="110">
        <v>0</v>
      </c>
      <c r="M102" s="110">
        <v>0</v>
      </c>
      <c r="N102" s="110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56">
        <v>648.95699999999999</v>
      </c>
      <c r="V102" s="56">
        <f t="shared" si="3"/>
        <v>648.95699999999999</v>
      </c>
    </row>
    <row r="103" spans="1:22" s="112" customFormat="1" ht="14.25" customHeight="1">
      <c r="A103" s="52">
        <f t="shared" si="4"/>
        <v>90</v>
      </c>
      <c r="B103" s="107" t="s">
        <v>514</v>
      </c>
      <c r="C103" s="108">
        <v>44377</v>
      </c>
      <c r="D103" s="107" t="s">
        <v>544</v>
      </c>
      <c r="E103" s="113" t="s">
        <v>18</v>
      </c>
      <c r="F103" s="113" t="s">
        <v>298</v>
      </c>
      <c r="G103" s="109" t="s">
        <v>17</v>
      </c>
      <c r="H103" s="110">
        <v>600000</v>
      </c>
      <c r="I103" s="110">
        <v>0</v>
      </c>
      <c r="J103" s="110">
        <v>0</v>
      </c>
      <c r="K103" s="110">
        <v>0</v>
      </c>
      <c r="L103" s="110">
        <v>0</v>
      </c>
      <c r="M103" s="110">
        <v>0</v>
      </c>
      <c r="N103" s="110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600000</v>
      </c>
      <c r="U103" s="56">
        <v>0</v>
      </c>
      <c r="V103" s="56">
        <f t="shared" si="3"/>
        <v>600000</v>
      </c>
    </row>
    <row r="104" spans="1:22" s="112" customFormat="1" ht="14.25" customHeight="1">
      <c r="A104" s="52">
        <f t="shared" si="4"/>
        <v>91</v>
      </c>
      <c r="B104" s="107" t="s">
        <v>527</v>
      </c>
      <c r="C104" s="108">
        <v>44398</v>
      </c>
      <c r="D104" s="107" t="s">
        <v>540</v>
      </c>
      <c r="E104" s="113" t="s">
        <v>401</v>
      </c>
      <c r="F104" s="113" t="s">
        <v>381</v>
      </c>
      <c r="G104" s="109" t="s">
        <v>17</v>
      </c>
      <c r="H104" s="110">
        <v>100000</v>
      </c>
      <c r="I104" s="110">
        <v>0</v>
      </c>
      <c r="J104" s="110">
        <v>0</v>
      </c>
      <c r="K104" s="110">
        <v>0</v>
      </c>
      <c r="L104" s="110">
        <v>0</v>
      </c>
      <c r="M104" s="110">
        <v>0</v>
      </c>
      <c r="N104" s="110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56">
        <v>573.73699999999997</v>
      </c>
      <c r="V104" s="56">
        <f t="shared" si="3"/>
        <v>573.73699999999997</v>
      </c>
    </row>
    <row r="105" spans="1:22" s="112" customFormat="1" ht="14.25" customHeight="1">
      <c r="A105" s="52">
        <f t="shared" si="4"/>
        <v>92</v>
      </c>
      <c r="B105" s="107" t="s">
        <v>526</v>
      </c>
      <c r="C105" s="108">
        <v>44398</v>
      </c>
      <c r="D105" s="107" t="s">
        <v>541</v>
      </c>
      <c r="E105" s="113" t="s">
        <v>18</v>
      </c>
      <c r="F105" s="113" t="s">
        <v>298</v>
      </c>
      <c r="G105" s="109" t="s">
        <v>17</v>
      </c>
      <c r="H105" s="110">
        <v>74000</v>
      </c>
      <c r="I105" s="110">
        <v>0</v>
      </c>
      <c r="J105" s="110">
        <v>0</v>
      </c>
      <c r="K105" s="110">
        <v>0</v>
      </c>
      <c r="L105" s="110">
        <v>0</v>
      </c>
      <c r="M105" s="110">
        <v>0</v>
      </c>
      <c r="N105" s="110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56">
        <v>964.64700000000005</v>
      </c>
      <c r="V105" s="56">
        <f t="shared" si="3"/>
        <v>964.64700000000005</v>
      </c>
    </row>
    <row r="106" spans="1:22" s="112" customFormat="1" ht="14.25" customHeight="1">
      <c r="A106" s="52">
        <f t="shared" si="4"/>
        <v>93</v>
      </c>
      <c r="B106" s="107" t="s">
        <v>528</v>
      </c>
      <c r="C106" s="108">
        <v>44531</v>
      </c>
      <c r="D106" s="107" t="s">
        <v>542</v>
      </c>
      <c r="E106" s="113" t="s">
        <v>18</v>
      </c>
      <c r="F106" s="113" t="s">
        <v>298</v>
      </c>
      <c r="G106" s="109" t="s">
        <v>17</v>
      </c>
      <c r="H106" s="110">
        <v>500000</v>
      </c>
      <c r="I106" s="110">
        <v>0</v>
      </c>
      <c r="J106" s="110">
        <v>0</v>
      </c>
      <c r="K106" s="110">
        <v>0</v>
      </c>
      <c r="L106" s="110">
        <v>0</v>
      </c>
      <c r="M106" s="110">
        <v>0</v>
      </c>
      <c r="N106" s="110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56">
        <v>500000</v>
      </c>
      <c r="V106" s="56">
        <f t="shared" si="3"/>
        <v>500000</v>
      </c>
    </row>
    <row r="107" spans="1:22" s="112" customFormat="1" ht="14.25" customHeight="1">
      <c r="A107" s="123"/>
      <c r="B107" s="124"/>
      <c r="C107" s="125"/>
      <c r="D107" s="124"/>
      <c r="E107" s="126"/>
      <c r="F107" s="126"/>
      <c r="G107" s="127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9"/>
    </row>
    <row r="108" spans="1:22">
      <c r="A108" s="18"/>
      <c r="B108" s="20"/>
      <c r="C108" s="19"/>
      <c r="D108" s="20"/>
      <c r="E108" s="20"/>
      <c r="F108" s="20"/>
      <c r="G108" s="21"/>
      <c r="H108" s="22"/>
      <c r="I108" s="22"/>
      <c r="J108" s="22"/>
      <c r="K108" s="22"/>
      <c r="L108" s="22"/>
      <c r="M108" s="22"/>
      <c r="N108" s="22"/>
      <c r="O108" s="22"/>
      <c r="P108" s="22"/>
      <c r="Q108" s="84"/>
      <c r="R108" s="84"/>
      <c r="S108" s="84"/>
      <c r="T108" s="84"/>
      <c r="U108" s="84"/>
      <c r="V108" s="22"/>
    </row>
    <row r="109" spans="1:22" s="51" customFormat="1">
      <c r="A109" s="45" t="s">
        <v>39</v>
      </c>
      <c r="B109" s="46" t="s">
        <v>40</v>
      </c>
      <c r="C109" s="57"/>
      <c r="D109" s="47"/>
      <c r="E109" s="47"/>
      <c r="F109" s="47"/>
      <c r="G109" s="91"/>
      <c r="H109" s="58"/>
      <c r="I109" s="49">
        <f>SUM(I110:I170)</f>
        <v>376810.31388999999</v>
      </c>
      <c r="J109" s="49">
        <f t="shared" ref="J109:U109" si="5">SUM(J110:J170)</f>
        <v>45270.955939999993</v>
      </c>
      <c r="K109" s="49">
        <f t="shared" si="5"/>
        <v>44895.618149999988</v>
      </c>
      <c r="L109" s="49">
        <f t="shared" si="5"/>
        <v>113430.81852</v>
      </c>
      <c r="M109" s="49">
        <f t="shared" si="5"/>
        <v>205561.06431999998</v>
      </c>
      <c r="N109" s="49">
        <f t="shared" si="5"/>
        <v>1020546.3942600002</v>
      </c>
      <c r="O109" s="49">
        <f t="shared" si="5"/>
        <v>101228.02317999999</v>
      </c>
      <c r="P109" s="49">
        <f t="shared" si="5"/>
        <v>75318.574259999994</v>
      </c>
      <c r="Q109" s="49">
        <f t="shared" si="5"/>
        <v>378785.28434999997</v>
      </c>
      <c r="R109" s="49">
        <f t="shared" si="5"/>
        <v>494777.90717000002</v>
      </c>
      <c r="S109" s="49">
        <f t="shared" si="5"/>
        <v>47736</v>
      </c>
      <c r="T109" s="49">
        <f t="shared" si="5"/>
        <v>1254651.8297299999</v>
      </c>
      <c r="U109" s="49">
        <f t="shared" si="5"/>
        <v>594076.54237000004</v>
      </c>
      <c r="V109" s="49">
        <f>SUM(V110:V166)</f>
        <v>3103089.3261400005</v>
      </c>
    </row>
    <row r="110" spans="1:22" s="50" customFormat="1" ht="14.25" customHeight="1">
      <c r="A110" s="56">
        <v>1</v>
      </c>
      <c r="B110" s="56" t="s">
        <v>43</v>
      </c>
      <c r="C110" s="54">
        <v>37512</v>
      </c>
      <c r="D110" s="56" t="s">
        <v>429</v>
      </c>
      <c r="E110" s="56" t="s">
        <v>44</v>
      </c>
      <c r="F110" s="56" t="s">
        <v>32</v>
      </c>
      <c r="G110" s="92" t="s">
        <v>17</v>
      </c>
      <c r="H110" s="56">
        <v>50000</v>
      </c>
      <c r="I110" s="56">
        <v>5318.5028899999998</v>
      </c>
      <c r="J110" s="17">
        <v>8233.5371699999996</v>
      </c>
      <c r="K110" s="56">
        <v>6407.6797900000001</v>
      </c>
      <c r="L110" s="17">
        <v>-53.660269999999997</v>
      </c>
      <c r="M110" s="17">
        <v>0</v>
      </c>
      <c r="N110" s="56">
        <v>0</v>
      </c>
      <c r="O110" s="17">
        <v>0</v>
      </c>
      <c r="P110" s="56">
        <v>0</v>
      </c>
      <c r="Q110" s="56">
        <v>0</v>
      </c>
      <c r="R110" s="56">
        <v>0</v>
      </c>
      <c r="S110" s="56">
        <v>0</v>
      </c>
      <c r="T110" s="56">
        <v>0</v>
      </c>
      <c r="U110" s="56">
        <v>0</v>
      </c>
      <c r="V110" s="56">
        <f>SUM(I110:U110)</f>
        <v>19906.059580000001</v>
      </c>
    </row>
    <row r="111" spans="1:22" s="50" customFormat="1" ht="14.25" customHeight="1">
      <c r="A111" s="56">
        <f>A110+1</f>
        <v>2</v>
      </c>
      <c r="B111" s="56" t="s">
        <v>144</v>
      </c>
      <c r="C111" s="54">
        <v>38140</v>
      </c>
      <c r="D111" s="56" t="s">
        <v>35</v>
      </c>
      <c r="E111" s="56" t="s">
        <v>36</v>
      </c>
      <c r="F111" s="56" t="s">
        <v>19</v>
      </c>
      <c r="G111" s="92" t="s">
        <v>17</v>
      </c>
      <c r="H111" s="56">
        <v>45000</v>
      </c>
      <c r="I111" s="56">
        <v>4480.5847999999996</v>
      </c>
      <c r="J111" s="56">
        <v>1434.87718</v>
      </c>
      <c r="K111" s="56">
        <v>0</v>
      </c>
      <c r="L111" s="17">
        <v>0</v>
      </c>
      <c r="M111" s="17">
        <v>0</v>
      </c>
      <c r="N111" s="56">
        <v>0</v>
      </c>
      <c r="O111" s="17">
        <v>0</v>
      </c>
      <c r="P111" s="56">
        <v>0</v>
      </c>
      <c r="Q111" s="56">
        <v>0</v>
      </c>
      <c r="R111" s="56">
        <v>0</v>
      </c>
      <c r="S111" s="56">
        <v>0</v>
      </c>
      <c r="T111" s="56">
        <v>0</v>
      </c>
      <c r="U111" s="56">
        <v>0</v>
      </c>
      <c r="V111" s="56">
        <f t="shared" ref="V111:V170" si="6">SUM(I111:U111)</f>
        <v>5915.46198</v>
      </c>
    </row>
    <row r="112" spans="1:22" s="50" customFormat="1" ht="14.25" customHeight="1">
      <c r="A112" s="56">
        <f t="shared" ref="A112:A170" si="7">A111+1</f>
        <v>3</v>
      </c>
      <c r="B112" s="56" t="s">
        <v>145</v>
      </c>
      <c r="C112" s="54">
        <v>38321</v>
      </c>
      <c r="D112" s="56" t="s">
        <v>108</v>
      </c>
      <c r="E112" s="56" t="s">
        <v>109</v>
      </c>
      <c r="F112" s="56" t="s">
        <v>27</v>
      </c>
      <c r="G112" s="92" t="s">
        <v>17</v>
      </c>
      <c r="H112" s="56">
        <v>12000</v>
      </c>
      <c r="I112" s="56">
        <v>-117.98757999999999</v>
      </c>
      <c r="J112" s="56">
        <v>0</v>
      </c>
      <c r="K112" s="56">
        <v>0</v>
      </c>
      <c r="L112" s="17">
        <v>0</v>
      </c>
      <c r="M112" s="17">
        <v>0</v>
      </c>
      <c r="N112" s="56">
        <v>0</v>
      </c>
      <c r="O112" s="17">
        <v>0</v>
      </c>
      <c r="P112" s="56">
        <v>0</v>
      </c>
      <c r="Q112" s="56">
        <v>0</v>
      </c>
      <c r="R112" s="56">
        <v>0</v>
      </c>
      <c r="S112" s="56">
        <v>0</v>
      </c>
      <c r="T112" s="56">
        <v>0</v>
      </c>
      <c r="U112" s="56">
        <v>0</v>
      </c>
      <c r="V112" s="56">
        <f t="shared" si="6"/>
        <v>-117.98757999999999</v>
      </c>
    </row>
    <row r="113" spans="1:22" s="50" customFormat="1" ht="14.25" customHeight="1">
      <c r="A113" s="56">
        <f t="shared" si="7"/>
        <v>4</v>
      </c>
      <c r="B113" s="56" t="s">
        <v>146</v>
      </c>
      <c r="C113" s="54">
        <v>38337</v>
      </c>
      <c r="D113" s="56" t="s">
        <v>430</v>
      </c>
      <c r="E113" s="56" t="s">
        <v>107</v>
      </c>
      <c r="F113" s="53" t="s">
        <v>298</v>
      </c>
      <c r="G113" s="92" t="s">
        <v>17</v>
      </c>
      <c r="H113" s="56">
        <v>7800</v>
      </c>
      <c r="I113" s="56">
        <v>137.43938</v>
      </c>
      <c r="J113" s="56">
        <v>0</v>
      </c>
      <c r="K113" s="56">
        <v>0</v>
      </c>
      <c r="L113" s="17">
        <v>0</v>
      </c>
      <c r="M113" s="17">
        <v>0</v>
      </c>
      <c r="N113" s="56">
        <v>0</v>
      </c>
      <c r="O113" s="17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56">
        <f t="shared" si="6"/>
        <v>137.43938</v>
      </c>
    </row>
    <row r="114" spans="1:22" s="50" customFormat="1" ht="14.25" customHeight="1">
      <c r="A114" s="56">
        <f t="shared" si="7"/>
        <v>5</v>
      </c>
      <c r="B114" s="56" t="s">
        <v>147</v>
      </c>
      <c r="C114" s="54">
        <v>38337</v>
      </c>
      <c r="D114" s="56" t="s">
        <v>431</v>
      </c>
      <c r="E114" s="56" t="s">
        <v>107</v>
      </c>
      <c r="F114" s="53" t="s">
        <v>298</v>
      </c>
      <c r="G114" s="92" t="s">
        <v>17</v>
      </c>
      <c r="H114" s="56">
        <v>8800</v>
      </c>
      <c r="I114" s="56">
        <v>941.90801999999996</v>
      </c>
      <c r="J114" s="56">
        <v>0</v>
      </c>
      <c r="K114" s="56">
        <v>0</v>
      </c>
      <c r="L114" s="17">
        <v>0</v>
      </c>
      <c r="M114" s="17">
        <v>0</v>
      </c>
      <c r="N114" s="56">
        <v>0</v>
      </c>
      <c r="O114" s="17">
        <v>0</v>
      </c>
      <c r="P114" s="56">
        <v>0</v>
      </c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>
        <f t="shared" si="6"/>
        <v>941.90801999999996</v>
      </c>
    </row>
    <row r="115" spans="1:22" s="50" customFormat="1" ht="14.25" customHeight="1">
      <c r="A115" s="56">
        <f t="shared" si="7"/>
        <v>6</v>
      </c>
      <c r="B115" s="56" t="s">
        <v>148</v>
      </c>
      <c r="C115" s="54">
        <v>38392</v>
      </c>
      <c r="D115" s="56" t="s">
        <v>110</v>
      </c>
      <c r="E115" s="56" t="s">
        <v>29</v>
      </c>
      <c r="F115" s="56" t="s">
        <v>29</v>
      </c>
      <c r="G115" s="92" t="s">
        <v>17</v>
      </c>
      <c r="H115" s="56">
        <v>2140.4879999999998</v>
      </c>
      <c r="I115" s="17">
        <v>85.702340000000007</v>
      </c>
      <c r="J115" s="17">
        <v>-114.70684</v>
      </c>
      <c r="K115" s="56">
        <v>0</v>
      </c>
      <c r="L115" s="17">
        <v>0</v>
      </c>
      <c r="M115" s="17">
        <v>0</v>
      </c>
      <c r="N115" s="56">
        <v>0</v>
      </c>
      <c r="O115" s="17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f t="shared" si="6"/>
        <v>-29.004499999999993</v>
      </c>
    </row>
    <row r="116" spans="1:22" s="50" customFormat="1" ht="14.25" customHeight="1">
      <c r="A116" s="56">
        <f t="shared" si="7"/>
        <v>7</v>
      </c>
      <c r="B116" s="56" t="s">
        <v>148</v>
      </c>
      <c r="C116" s="54">
        <v>38392</v>
      </c>
      <c r="D116" s="56" t="s">
        <v>110</v>
      </c>
      <c r="E116" s="56" t="s">
        <v>95</v>
      </c>
      <c r="F116" s="56" t="s">
        <v>29</v>
      </c>
      <c r="G116" s="92" t="s">
        <v>17</v>
      </c>
      <c r="H116" s="56">
        <v>2839.5120000000002</v>
      </c>
      <c r="I116" s="17">
        <v>234.11419000000001</v>
      </c>
      <c r="J116" s="17">
        <v>1602.48777</v>
      </c>
      <c r="K116" s="56">
        <v>0</v>
      </c>
      <c r="L116" s="17">
        <v>0</v>
      </c>
      <c r="M116" s="17">
        <v>0</v>
      </c>
      <c r="N116" s="56">
        <v>0</v>
      </c>
      <c r="O116" s="17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f t="shared" si="6"/>
        <v>1836.60196</v>
      </c>
    </row>
    <row r="117" spans="1:22" s="50" customFormat="1" ht="14.25" customHeight="1">
      <c r="A117" s="56">
        <f t="shared" si="7"/>
        <v>8</v>
      </c>
      <c r="B117" s="56" t="s">
        <v>149</v>
      </c>
      <c r="C117" s="54">
        <v>38539</v>
      </c>
      <c r="D117" s="56" t="s">
        <v>124</v>
      </c>
      <c r="E117" s="56" t="s">
        <v>1</v>
      </c>
      <c r="F117" s="56" t="s">
        <v>16</v>
      </c>
      <c r="G117" s="92" t="s">
        <v>17</v>
      </c>
      <c r="H117" s="56">
        <v>25000</v>
      </c>
      <c r="I117" s="56">
        <v>3441.7</v>
      </c>
      <c r="J117" s="56">
        <v>-1359.48685</v>
      </c>
      <c r="K117" s="56">
        <v>0</v>
      </c>
      <c r="L117" s="17">
        <v>0</v>
      </c>
      <c r="M117" s="17">
        <v>0</v>
      </c>
      <c r="N117" s="56">
        <v>0</v>
      </c>
      <c r="O117" s="17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56">
        <f t="shared" si="6"/>
        <v>2082.2131499999996</v>
      </c>
    </row>
    <row r="118" spans="1:22" s="50" customFormat="1" ht="14.25" customHeight="1">
      <c r="A118" s="56">
        <f t="shared" si="7"/>
        <v>9</v>
      </c>
      <c r="B118" s="56" t="s">
        <v>0</v>
      </c>
      <c r="C118" s="54">
        <v>38653</v>
      </c>
      <c r="D118" s="56" t="s">
        <v>127</v>
      </c>
      <c r="E118" s="56" t="s">
        <v>25</v>
      </c>
      <c r="F118" s="56" t="s">
        <v>16</v>
      </c>
      <c r="G118" s="92" t="s">
        <v>17</v>
      </c>
      <c r="H118" s="56">
        <v>10260</v>
      </c>
      <c r="I118" s="56">
        <v>-2.0720000000000001</v>
      </c>
      <c r="J118" s="56">
        <v>0</v>
      </c>
      <c r="K118" s="56">
        <v>0</v>
      </c>
      <c r="L118" s="17">
        <v>0</v>
      </c>
      <c r="M118" s="17">
        <v>0</v>
      </c>
      <c r="N118" s="56">
        <v>0</v>
      </c>
      <c r="O118" s="17">
        <v>0</v>
      </c>
      <c r="P118" s="56">
        <v>0</v>
      </c>
      <c r="Q118" s="56">
        <v>0</v>
      </c>
      <c r="R118" s="56">
        <v>0</v>
      </c>
      <c r="S118" s="56">
        <v>0</v>
      </c>
      <c r="T118" s="56">
        <v>0</v>
      </c>
      <c r="U118" s="56">
        <v>0</v>
      </c>
      <c r="V118" s="56">
        <f t="shared" si="6"/>
        <v>-2.0720000000000001</v>
      </c>
    </row>
    <row r="119" spans="1:22" s="50" customFormat="1" ht="14.25" customHeight="1">
      <c r="A119" s="56">
        <f t="shared" si="7"/>
        <v>10</v>
      </c>
      <c r="B119" s="56" t="s">
        <v>138</v>
      </c>
      <c r="C119" s="54">
        <v>38791</v>
      </c>
      <c r="D119" s="56" t="s">
        <v>63</v>
      </c>
      <c r="E119" s="56" t="s">
        <v>135</v>
      </c>
      <c r="F119" s="56" t="s">
        <v>19</v>
      </c>
      <c r="G119" s="92" t="s">
        <v>17</v>
      </c>
      <c r="H119" s="56">
        <v>50000</v>
      </c>
      <c r="I119" s="56">
        <v>8754.2540599999993</v>
      </c>
      <c r="J119" s="56">
        <v>7900</v>
      </c>
      <c r="K119" s="56">
        <v>8000</v>
      </c>
      <c r="L119" s="17">
        <v>12500</v>
      </c>
      <c r="M119" s="17">
        <v>-2926.7974100000001</v>
      </c>
      <c r="N119" s="56">
        <v>0</v>
      </c>
      <c r="O119" s="17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56">
        <f t="shared" si="6"/>
        <v>34227.45665</v>
      </c>
    </row>
    <row r="120" spans="1:22" s="50" customFormat="1" ht="14.25" customHeight="1">
      <c r="A120" s="56">
        <f t="shared" si="7"/>
        <v>11</v>
      </c>
      <c r="B120" s="56" t="s">
        <v>139</v>
      </c>
      <c r="C120" s="54">
        <v>38917</v>
      </c>
      <c r="D120" s="56" t="s">
        <v>192</v>
      </c>
      <c r="E120" s="56" t="s">
        <v>5</v>
      </c>
      <c r="F120" s="56" t="s">
        <v>447</v>
      </c>
      <c r="G120" s="92" t="s">
        <v>17</v>
      </c>
      <c r="H120" s="56">
        <v>50000</v>
      </c>
      <c r="I120" s="56">
        <v>9894.7346799999996</v>
      </c>
      <c r="J120" s="17">
        <v>7174.2216399999998</v>
      </c>
      <c r="K120" s="56">
        <v>876</v>
      </c>
      <c r="L120" s="17">
        <v>-52.496759999999995</v>
      </c>
      <c r="M120" s="17">
        <v>0</v>
      </c>
      <c r="N120" s="56">
        <v>-442.25799999999998</v>
      </c>
      <c r="O120" s="17">
        <v>0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>
        <f t="shared" si="6"/>
        <v>17450.201559999994</v>
      </c>
    </row>
    <row r="121" spans="1:22" s="50" customFormat="1" ht="14.25" customHeight="1">
      <c r="A121" s="56">
        <f t="shared" si="7"/>
        <v>12</v>
      </c>
      <c r="B121" s="56" t="s">
        <v>140</v>
      </c>
      <c r="C121" s="54">
        <v>39024</v>
      </c>
      <c r="D121" s="56" t="s">
        <v>193</v>
      </c>
      <c r="E121" s="56" t="s">
        <v>42</v>
      </c>
      <c r="F121" s="56" t="s">
        <v>32</v>
      </c>
      <c r="G121" s="92" t="s">
        <v>17</v>
      </c>
      <c r="H121" s="56">
        <v>25000</v>
      </c>
      <c r="I121" s="56">
        <v>5694.3914800000002</v>
      </c>
      <c r="J121" s="56">
        <v>2333.8531699999999</v>
      </c>
      <c r="K121" s="56">
        <v>-252.34263999999999</v>
      </c>
      <c r="L121" s="17">
        <v>0</v>
      </c>
      <c r="M121" s="17">
        <v>0</v>
      </c>
      <c r="N121" s="56">
        <v>0</v>
      </c>
      <c r="O121" s="17">
        <v>0</v>
      </c>
      <c r="P121" s="56">
        <v>0</v>
      </c>
      <c r="Q121" s="56">
        <v>0</v>
      </c>
      <c r="R121" s="56">
        <v>0</v>
      </c>
      <c r="S121" s="56">
        <v>0</v>
      </c>
      <c r="T121" s="56">
        <v>0</v>
      </c>
      <c r="U121" s="56">
        <v>0</v>
      </c>
      <c r="V121" s="56">
        <f t="shared" si="6"/>
        <v>7775.9020100000007</v>
      </c>
    </row>
    <row r="122" spans="1:22" s="50" customFormat="1" ht="14.25" customHeight="1">
      <c r="A122" s="56">
        <f t="shared" si="7"/>
        <v>13</v>
      </c>
      <c r="B122" s="56" t="s">
        <v>81</v>
      </c>
      <c r="C122" s="54">
        <v>39188</v>
      </c>
      <c r="D122" s="56" t="s">
        <v>96</v>
      </c>
      <c r="E122" s="56" t="s">
        <v>135</v>
      </c>
      <c r="F122" s="56" t="s">
        <v>19</v>
      </c>
      <c r="G122" s="92" t="s">
        <v>17</v>
      </c>
      <c r="H122" s="56">
        <v>50000</v>
      </c>
      <c r="I122" s="56">
        <v>8000</v>
      </c>
      <c r="J122" s="56">
        <v>5000</v>
      </c>
      <c r="K122" s="56">
        <v>6197.8614900000002</v>
      </c>
      <c r="L122" s="17">
        <v>1000</v>
      </c>
      <c r="M122" s="17">
        <v>-53.970619999999997</v>
      </c>
      <c r="N122" s="56">
        <v>0</v>
      </c>
      <c r="O122" s="17">
        <v>0</v>
      </c>
      <c r="P122" s="56">
        <v>0</v>
      </c>
      <c r="Q122" s="56">
        <v>0</v>
      </c>
      <c r="R122" s="56">
        <v>0</v>
      </c>
      <c r="S122" s="56">
        <v>0</v>
      </c>
      <c r="T122" s="56">
        <v>0</v>
      </c>
      <c r="U122" s="56">
        <v>0</v>
      </c>
      <c r="V122" s="56">
        <f t="shared" si="6"/>
        <v>20143.890869999999</v>
      </c>
    </row>
    <row r="123" spans="1:22" s="50" customFormat="1" ht="14.25" customHeight="1">
      <c r="A123" s="56">
        <f t="shared" si="7"/>
        <v>14</v>
      </c>
      <c r="B123" s="56" t="s">
        <v>82</v>
      </c>
      <c r="C123" s="54">
        <v>39594</v>
      </c>
      <c r="D123" s="56" t="s">
        <v>97</v>
      </c>
      <c r="E123" s="56" t="s">
        <v>98</v>
      </c>
      <c r="F123" s="56" t="s">
        <v>16</v>
      </c>
      <c r="G123" s="92" t="s">
        <v>17</v>
      </c>
      <c r="H123" s="56">
        <v>20000</v>
      </c>
      <c r="I123" s="56">
        <v>4447.0416299999997</v>
      </c>
      <c r="J123" s="56">
        <v>6469.1866900000005</v>
      </c>
      <c r="K123" s="56">
        <v>4325.7214899999999</v>
      </c>
      <c r="L123" s="17">
        <v>1758.0501899999999</v>
      </c>
      <c r="M123" s="17">
        <v>-166.20555999999999</v>
      </c>
      <c r="N123" s="56">
        <v>0</v>
      </c>
      <c r="O123" s="17">
        <v>0</v>
      </c>
      <c r="P123" s="56">
        <v>0</v>
      </c>
      <c r="Q123" s="56">
        <v>0</v>
      </c>
      <c r="R123" s="56">
        <v>0</v>
      </c>
      <c r="S123" s="56">
        <v>0</v>
      </c>
      <c r="T123" s="56">
        <v>0</v>
      </c>
      <c r="U123" s="56">
        <v>0</v>
      </c>
      <c r="V123" s="56">
        <f t="shared" si="6"/>
        <v>16833.794440000001</v>
      </c>
    </row>
    <row r="124" spans="1:22" s="50" customFormat="1" ht="14.25" customHeight="1">
      <c r="A124" s="56">
        <f t="shared" si="7"/>
        <v>15</v>
      </c>
      <c r="B124" s="56" t="s">
        <v>74</v>
      </c>
      <c r="C124" s="54">
        <v>39783</v>
      </c>
      <c r="D124" s="56" t="s">
        <v>414</v>
      </c>
      <c r="E124" s="56" t="s">
        <v>18</v>
      </c>
      <c r="F124" s="53" t="s">
        <v>298</v>
      </c>
      <c r="G124" s="92" t="s">
        <v>17</v>
      </c>
      <c r="H124" s="56">
        <v>70000</v>
      </c>
      <c r="I124" s="56">
        <v>50000</v>
      </c>
      <c r="J124" s="56">
        <v>0</v>
      </c>
      <c r="K124" s="56">
        <v>0</v>
      </c>
      <c r="L124" s="17">
        <v>0</v>
      </c>
      <c r="M124" s="17">
        <v>0</v>
      </c>
      <c r="N124" s="56">
        <v>0</v>
      </c>
      <c r="O124" s="17">
        <v>0</v>
      </c>
      <c r="P124" s="56">
        <v>0</v>
      </c>
      <c r="Q124" s="56">
        <v>0</v>
      </c>
      <c r="R124" s="56">
        <v>0</v>
      </c>
      <c r="S124" s="56">
        <v>0</v>
      </c>
      <c r="T124" s="56">
        <v>0</v>
      </c>
      <c r="U124" s="56">
        <v>0</v>
      </c>
      <c r="V124" s="56">
        <f t="shared" si="6"/>
        <v>50000</v>
      </c>
    </row>
    <row r="125" spans="1:22" s="50" customFormat="1" ht="14.25" customHeight="1">
      <c r="A125" s="56">
        <f t="shared" si="7"/>
        <v>16</v>
      </c>
      <c r="B125" s="56" t="s">
        <v>74</v>
      </c>
      <c r="C125" s="54">
        <v>39783</v>
      </c>
      <c r="D125" s="17" t="s">
        <v>415</v>
      </c>
      <c r="E125" s="56" t="s">
        <v>18</v>
      </c>
      <c r="F125" s="53" t="s">
        <v>298</v>
      </c>
      <c r="G125" s="92" t="s">
        <v>17</v>
      </c>
      <c r="H125" s="56">
        <v>300000</v>
      </c>
      <c r="I125" s="56">
        <v>0</v>
      </c>
      <c r="J125" s="56">
        <v>0</v>
      </c>
      <c r="K125" s="56">
        <v>0</v>
      </c>
      <c r="L125" s="17">
        <v>0</v>
      </c>
      <c r="M125" s="17">
        <v>150000</v>
      </c>
      <c r="N125" s="56">
        <v>0</v>
      </c>
      <c r="O125" s="17">
        <v>0</v>
      </c>
      <c r="P125" s="56">
        <v>0</v>
      </c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>
        <f t="shared" si="6"/>
        <v>150000</v>
      </c>
    </row>
    <row r="126" spans="1:22" s="50" customFormat="1" ht="14.25" customHeight="1">
      <c r="A126" s="56">
        <f t="shared" si="7"/>
        <v>17</v>
      </c>
      <c r="B126" s="56" t="s">
        <v>152</v>
      </c>
      <c r="C126" s="54">
        <v>40133</v>
      </c>
      <c r="D126" s="56" t="s">
        <v>155</v>
      </c>
      <c r="E126" s="56" t="s">
        <v>151</v>
      </c>
      <c r="F126" s="56" t="s">
        <v>20</v>
      </c>
      <c r="G126" s="92" t="s">
        <v>17</v>
      </c>
      <c r="H126" s="56">
        <v>15000</v>
      </c>
      <c r="I126" s="56">
        <v>500</v>
      </c>
      <c r="J126" s="56">
        <v>2975.1365099999998</v>
      </c>
      <c r="K126" s="56">
        <v>1717.85041</v>
      </c>
      <c r="L126" s="17">
        <v>2207.5040099999997</v>
      </c>
      <c r="M126" s="17">
        <v>1867.2438599999998</v>
      </c>
      <c r="N126" s="56">
        <v>2716.9025700000002</v>
      </c>
      <c r="O126" s="17">
        <v>0</v>
      </c>
      <c r="P126" s="56">
        <v>0</v>
      </c>
      <c r="Q126" s="56">
        <v>0</v>
      </c>
      <c r="R126" s="56">
        <v>0</v>
      </c>
      <c r="S126" s="56">
        <v>0</v>
      </c>
      <c r="T126" s="56">
        <v>0</v>
      </c>
      <c r="U126" s="56">
        <v>0</v>
      </c>
      <c r="V126" s="56">
        <f t="shared" si="6"/>
        <v>11984.637359999999</v>
      </c>
    </row>
    <row r="127" spans="1:22" s="50" customFormat="1" ht="14.25" customHeight="1">
      <c r="A127" s="56">
        <f t="shared" si="7"/>
        <v>18</v>
      </c>
      <c r="B127" s="56" t="s">
        <v>328</v>
      </c>
      <c r="C127" s="54">
        <v>39829</v>
      </c>
      <c r="D127" s="56" t="s">
        <v>331</v>
      </c>
      <c r="E127" s="56" t="s">
        <v>18</v>
      </c>
      <c r="F127" s="53" t="s">
        <v>298</v>
      </c>
      <c r="G127" s="92" t="s">
        <v>17</v>
      </c>
      <c r="H127" s="56">
        <v>330000</v>
      </c>
      <c r="I127" s="56">
        <v>0</v>
      </c>
      <c r="J127" s="56">
        <v>0</v>
      </c>
      <c r="K127" s="56">
        <v>0</v>
      </c>
      <c r="L127" s="17">
        <v>0</v>
      </c>
      <c r="M127" s="17">
        <v>0</v>
      </c>
      <c r="N127" s="56">
        <v>330000</v>
      </c>
      <c r="O127" s="17">
        <v>0</v>
      </c>
      <c r="P127" s="56">
        <v>0</v>
      </c>
      <c r="Q127" s="56">
        <v>0</v>
      </c>
      <c r="R127" s="56">
        <v>0</v>
      </c>
      <c r="S127" s="56">
        <v>0</v>
      </c>
      <c r="T127" s="56">
        <v>0</v>
      </c>
      <c r="U127" s="56">
        <v>0</v>
      </c>
      <c r="V127" s="56">
        <f t="shared" si="6"/>
        <v>330000</v>
      </c>
    </row>
    <row r="128" spans="1:22" s="50" customFormat="1" ht="14.25" customHeight="1">
      <c r="A128" s="56">
        <f t="shared" si="7"/>
        <v>19</v>
      </c>
      <c r="B128" s="56" t="s">
        <v>329</v>
      </c>
      <c r="C128" s="54">
        <v>40064</v>
      </c>
      <c r="D128" s="56" t="s">
        <v>332</v>
      </c>
      <c r="E128" s="56" t="s">
        <v>18</v>
      </c>
      <c r="F128" s="53" t="s">
        <v>298</v>
      </c>
      <c r="G128" s="92" t="s">
        <v>17</v>
      </c>
      <c r="H128" s="56">
        <v>330000</v>
      </c>
      <c r="I128" s="56">
        <v>0</v>
      </c>
      <c r="J128" s="56">
        <v>0</v>
      </c>
      <c r="K128" s="56">
        <v>0</v>
      </c>
      <c r="L128" s="17">
        <v>0</v>
      </c>
      <c r="M128" s="17">
        <v>0</v>
      </c>
      <c r="N128" s="56">
        <v>310000</v>
      </c>
      <c r="O128" s="17">
        <v>0</v>
      </c>
      <c r="P128" s="56">
        <v>0</v>
      </c>
      <c r="Q128" s="56">
        <v>0</v>
      </c>
      <c r="R128" s="56">
        <v>0</v>
      </c>
      <c r="S128" s="56">
        <v>0</v>
      </c>
      <c r="T128" s="56">
        <v>0</v>
      </c>
      <c r="U128" s="56">
        <v>0</v>
      </c>
      <c r="V128" s="56">
        <f t="shared" si="6"/>
        <v>310000</v>
      </c>
    </row>
    <row r="129" spans="1:22" s="50" customFormat="1" ht="14.25" customHeight="1">
      <c r="A129" s="56">
        <f t="shared" si="7"/>
        <v>20</v>
      </c>
      <c r="B129" s="56" t="s">
        <v>330</v>
      </c>
      <c r="C129" s="54">
        <v>40064</v>
      </c>
      <c r="D129" s="56" t="s">
        <v>333</v>
      </c>
      <c r="E129" s="56" t="s">
        <v>18</v>
      </c>
      <c r="F129" s="53" t="s">
        <v>298</v>
      </c>
      <c r="G129" s="92" t="s">
        <v>17</v>
      </c>
      <c r="H129" s="56">
        <v>330000</v>
      </c>
      <c r="I129" s="56">
        <v>0</v>
      </c>
      <c r="J129" s="56">
        <v>0</v>
      </c>
      <c r="K129" s="56">
        <v>0</v>
      </c>
      <c r="L129" s="17">
        <v>0</v>
      </c>
      <c r="M129" s="17">
        <v>0</v>
      </c>
      <c r="N129" s="56">
        <v>310000</v>
      </c>
      <c r="O129" s="17">
        <v>0</v>
      </c>
      <c r="P129" s="56">
        <v>0</v>
      </c>
      <c r="Q129" s="56">
        <v>0</v>
      </c>
      <c r="R129" s="56">
        <v>0</v>
      </c>
      <c r="S129" s="56">
        <v>0</v>
      </c>
      <c r="T129" s="56">
        <v>0</v>
      </c>
      <c r="U129" s="56">
        <v>0</v>
      </c>
      <c r="V129" s="56">
        <f t="shared" si="6"/>
        <v>310000</v>
      </c>
    </row>
    <row r="130" spans="1:22" s="50" customFormat="1" ht="14.25" customHeight="1">
      <c r="A130" s="56">
        <f t="shared" si="7"/>
        <v>21</v>
      </c>
      <c r="B130" s="56" t="s">
        <v>153</v>
      </c>
      <c r="C130" s="54">
        <v>40150</v>
      </c>
      <c r="D130" s="56" t="s">
        <v>156</v>
      </c>
      <c r="E130" s="56" t="s">
        <v>158</v>
      </c>
      <c r="F130" s="56" t="s">
        <v>16</v>
      </c>
      <c r="G130" s="92" t="s">
        <v>17</v>
      </c>
      <c r="H130" s="56">
        <v>10000</v>
      </c>
      <c r="I130" s="56">
        <v>0</v>
      </c>
      <c r="J130" s="56">
        <v>1368.6205</v>
      </c>
      <c r="K130" s="56">
        <v>2166.0068700000002</v>
      </c>
      <c r="L130" s="17">
        <v>2339.8110400000005</v>
      </c>
      <c r="M130" s="17">
        <v>2841.6726799999997</v>
      </c>
      <c r="N130" s="56">
        <v>1187.7552900000001</v>
      </c>
      <c r="O130" s="17">
        <v>-6.2434200000000004</v>
      </c>
      <c r="P130" s="56">
        <v>0</v>
      </c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>
        <f t="shared" si="6"/>
        <v>9897.6229599999988</v>
      </c>
    </row>
    <row r="131" spans="1:22" s="50" customFormat="1" ht="14.25" customHeight="1">
      <c r="A131" s="56">
        <f t="shared" si="7"/>
        <v>22</v>
      </c>
      <c r="B131" s="56" t="s">
        <v>154</v>
      </c>
      <c r="C131" s="54">
        <v>40165</v>
      </c>
      <c r="D131" s="56" t="s">
        <v>157</v>
      </c>
      <c r="E131" s="56" t="s">
        <v>18</v>
      </c>
      <c r="F131" s="53" t="s">
        <v>298</v>
      </c>
      <c r="G131" s="92" t="s">
        <v>17</v>
      </c>
      <c r="H131" s="56">
        <v>50000</v>
      </c>
      <c r="I131" s="56">
        <v>50000</v>
      </c>
      <c r="J131" s="56">
        <v>0</v>
      </c>
      <c r="K131" s="56">
        <v>0</v>
      </c>
      <c r="L131" s="17">
        <v>0</v>
      </c>
      <c r="M131" s="17">
        <v>0</v>
      </c>
      <c r="N131" s="56">
        <v>0</v>
      </c>
      <c r="O131" s="17">
        <v>0</v>
      </c>
      <c r="P131" s="56">
        <v>0</v>
      </c>
      <c r="Q131" s="56">
        <v>0</v>
      </c>
      <c r="R131" s="56">
        <v>0</v>
      </c>
      <c r="S131" s="56">
        <v>0</v>
      </c>
      <c r="T131" s="56">
        <v>0</v>
      </c>
      <c r="U131" s="56">
        <v>0</v>
      </c>
      <c r="V131" s="56">
        <f t="shared" si="6"/>
        <v>50000</v>
      </c>
    </row>
    <row r="132" spans="1:22" s="50" customFormat="1" ht="14.25" customHeight="1">
      <c r="A132" s="56">
        <f t="shared" si="7"/>
        <v>23</v>
      </c>
      <c r="B132" s="56" t="s">
        <v>194</v>
      </c>
      <c r="C132" s="54">
        <v>40435</v>
      </c>
      <c r="D132" s="56" t="s">
        <v>197</v>
      </c>
      <c r="E132" s="56" t="s">
        <v>18</v>
      </c>
      <c r="F132" s="53" t="s">
        <v>298</v>
      </c>
      <c r="G132" s="92" t="s">
        <v>17</v>
      </c>
      <c r="H132" s="56">
        <v>75000</v>
      </c>
      <c r="I132" s="56">
        <v>75000</v>
      </c>
      <c r="J132" s="56">
        <v>0</v>
      </c>
      <c r="K132" s="56">
        <v>0</v>
      </c>
      <c r="L132" s="17">
        <v>0</v>
      </c>
      <c r="M132" s="17">
        <v>0</v>
      </c>
      <c r="N132" s="56">
        <v>0</v>
      </c>
      <c r="O132" s="17">
        <v>0</v>
      </c>
      <c r="P132" s="56">
        <v>0</v>
      </c>
      <c r="Q132" s="56">
        <v>0</v>
      </c>
      <c r="R132" s="56">
        <v>0</v>
      </c>
      <c r="S132" s="56">
        <v>0</v>
      </c>
      <c r="T132" s="56">
        <v>0</v>
      </c>
      <c r="U132" s="56">
        <v>0</v>
      </c>
      <c r="V132" s="56">
        <f t="shared" si="6"/>
        <v>75000</v>
      </c>
    </row>
    <row r="133" spans="1:22" s="50" customFormat="1" ht="14.25" customHeight="1">
      <c r="A133" s="56">
        <f t="shared" si="7"/>
        <v>24</v>
      </c>
      <c r="B133" s="56" t="s">
        <v>195</v>
      </c>
      <c r="C133" s="54">
        <v>40444</v>
      </c>
      <c r="D133" s="56" t="s">
        <v>198</v>
      </c>
      <c r="E133" s="56" t="s">
        <v>18</v>
      </c>
      <c r="F133" s="53" t="s">
        <v>298</v>
      </c>
      <c r="G133" s="92" t="s">
        <v>17</v>
      </c>
      <c r="H133" s="56">
        <v>100000</v>
      </c>
      <c r="I133" s="56">
        <v>100000</v>
      </c>
      <c r="J133" s="56">
        <v>0</v>
      </c>
      <c r="K133" s="56">
        <v>0</v>
      </c>
      <c r="L133" s="17">
        <v>0</v>
      </c>
      <c r="M133" s="17">
        <v>0</v>
      </c>
      <c r="N133" s="56">
        <v>0</v>
      </c>
      <c r="O133" s="17">
        <v>0</v>
      </c>
      <c r="P133" s="56">
        <v>0</v>
      </c>
      <c r="Q133" s="56">
        <v>0</v>
      </c>
      <c r="R133" s="56">
        <v>0</v>
      </c>
      <c r="S133" s="56">
        <v>0</v>
      </c>
      <c r="T133" s="56">
        <v>0</v>
      </c>
      <c r="U133" s="56">
        <v>0</v>
      </c>
      <c r="V133" s="56">
        <f t="shared" si="6"/>
        <v>100000</v>
      </c>
    </row>
    <row r="134" spans="1:22" s="50" customFormat="1" ht="14.25" customHeight="1">
      <c r="A134" s="56">
        <f t="shared" si="7"/>
        <v>25</v>
      </c>
      <c r="B134" s="56" t="s">
        <v>278</v>
      </c>
      <c r="C134" s="54">
        <v>40729</v>
      </c>
      <c r="D134" s="56" t="s">
        <v>279</v>
      </c>
      <c r="E134" s="56" t="s">
        <v>107</v>
      </c>
      <c r="F134" s="53" t="s">
        <v>298</v>
      </c>
      <c r="G134" s="92" t="s">
        <v>17</v>
      </c>
      <c r="H134" s="56">
        <v>25000</v>
      </c>
      <c r="I134" s="56">
        <v>0</v>
      </c>
      <c r="J134" s="56">
        <v>0</v>
      </c>
      <c r="K134" s="56">
        <v>0</v>
      </c>
      <c r="L134" s="17">
        <v>7281.7950000000001</v>
      </c>
      <c r="M134" s="17">
        <v>0</v>
      </c>
      <c r="N134" s="56">
        <v>10738.791509999999</v>
      </c>
      <c r="O134" s="17">
        <v>5235.9828699999998</v>
      </c>
      <c r="P134" s="56">
        <v>1743.4306200000001</v>
      </c>
      <c r="Q134" s="56">
        <v>0</v>
      </c>
      <c r="R134" s="56">
        <v>0</v>
      </c>
      <c r="S134" s="56">
        <v>0</v>
      </c>
      <c r="T134" s="56">
        <v>0</v>
      </c>
      <c r="U134" s="56">
        <v>0</v>
      </c>
      <c r="V134" s="56">
        <f t="shared" si="6"/>
        <v>25000</v>
      </c>
    </row>
    <row r="135" spans="1:22" s="50" customFormat="1" ht="14.25" customHeight="1">
      <c r="A135" s="56">
        <f t="shared" si="7"/>
        <v>26</v>
      </c>
      <c r="B135" s="56" t="s">
        <v>227</v>
      </c>
      <c r="C135" s="54">
        <v>40526</v>
      </c>
      <c r="D135" s="56" t="s">
        <v>228</v>
      </c>
      <c r="E135" s="56" t="s">
        <v>109</v>
      </c>
      <c r="F135" s="56" t="s">
        <v>27</v>
      </c>
      <c r="G135" s="92" t="s">
        <v>17</v>
      </c>
      <c r="H135" s="56">
        <v>20000</v>
      </c>
      <c r="I135" s="56">
        <v>0</v>
      </c>
      <c r="J135" s="56">
        <v>849.89846</v>
      </c>
      <c r="K135" s="56">
        <v>5511.1133899999904</v>
      </c>
      <c r="L135" s="17">
        <v>3681.1833499999998</v>
      </c>
      <c r="M135" s="17">
        <v>5393.9800599999999</v>
      </c>
      <c r="N135" s="56">
        <v>3233.5401700000002</v>
      </c>
      <c r="O135" s="17">
        <v>1330.13257</v>
      </c>
      <c r="P135" s="56">
        <v>0</v>
      </c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>
        <f t="shared" si="6"/>
        <v>19999.847999999991</v>
      </c>
    </row>
    <row r="136" spans="1:22" s="50" customFormat="1" ht="14.25" customHeight="1">
      <c r="A136" s="56">
        <f t="shared" si="7"/>
        <v>27</v>
      </c>
      <c r="B136" s="56" t="s">
        <v>196</v>
      </c>
      <c r="C136" s="54">
        <v>40526</v>
      </c>
      <c r="D136" s="56" t="s">
        <v>199</v>
      </c>
      <c r="E136" s="56" t="s">
        <v>18</v>
      </c>
      <c r="F136" s="53" t="s">
        <v>298</v>
      </c>
      <c r="G136" s="92" t="s">
        <v>17</v>
      </c>
      <c r="H136" s="56">
        <v>50000</v>
      </c>
      <c r="I136" s="56">
        <v>50000</v>
      </c>
      <c r="J136" s="56">
        <v>0</v>
      </c>
      <c r="K136" s="56">
        <v>0</v>
      </c>
      <c r="L136" s="17">
        <v>0</v>
      </c>
      <c r="M136" s="17">
        <v>0</v>
      </c>
      <c r="N136" s="56">
        <v>0</v>
      </c>
      <c r="O136" s="17">
        <v>0</v>
      </c>
      <c r="P136" s="56">
        <v>0</v>
      </c>
      <c r="Q136" s="56">
        <v>0</v>
      </c>
      <c r="R136" s="56">
        <v>0</v>
      </c>
      <c r="S136" s="56">
        <v>0</v>
      </c>
      <c r="T136" s="56">
        <v>0</v>
      </c>
      <c r="U136" s="56">
        <v>0</v>
      </c>
      <c r="V136" s="56">
        <f t="shared" si="6"/>
        <v>50000</v>
      </c>
    </row>
    <row r="137" spans="1:22" s="50" customFormat="1" ht="14.25" customHeight="1">
      <c r="A137" s="56">
        <f t="shared" si="7"/>
        <v>28</v>
      </c>
      <c r="B137" s="56" t="s">
        <v>229</v>
      </c>
      <c r="C137" s="54">
        <v>40533</v>
      </c>
      <c r="D137" s="56" t="s">
        <v>230</v>
      </c>
      <c r="E137" s="53" t="s">
        <v>125</v>
      </c>
      <c r="F137" s="53" t="s">
        <v>16</v>
      </c>
      <c r="G137" s="92" t="s">
        <v>17</v>
      </c>
      <c r="H137" s="56">
        <v>20000</v>
      </c>
      <c r="I137" s="56">
        <v>0</v>
      </c>
      <c r="J137" s="56">
        <v>1403.3305399999999</v>
      </c>
      <c r="K137" s="56">
        <v>2567.2333600000002</v>
      </c>
      <c r="L137" s="17">
        <v>3893.1420499999999</v>
      </c>
      <c r="M137" s="17">
        <v>5328.8039499999995</v>
      </c>
      <c r="N137" s="56">
        <v>5178.2198099999996</v>
      </c>
      <c r="O137" s="17">
        <v>1629.2702200000001</v>
      </c>
      <c r="P137" s="56">
        <v>-67.59657</v>
      </c>
      <c r="Q137" s="56">
        <v>0</v>
      </c>
      <c r="R137" s="56">
        <v>0</v>
      </c>
      <c r="S137" s="56">
        <v>0</v>
      </c>
      <c r="T137" s="56">
        <v>0</v>
      </c>
      <c r="U137" s="56">
        <v>0</v>
      </c>
      <c r="V137" s="56">
        <f t="shared" si="6"/>
        <v>19932.403359999997</v>
      </c>
    </row>
    <row r="138" spans="1:22" s="50" customFormat="1" ht="14.25" customHeight="1">
      <c r="A138" s="56">
        <f t="shared" si="7"/>
        <v>29</v>
      </c>
      <c r="B138" s="56" t="s">
        <v>250</v>
      </c>
      <c r="C138" s="54">
        <v>40526</v>
      </c>
      <c r="D138" s="56" t="s">
        <v>251</v>
      </c>
      <c r="E138" s="56" t="s">
        <v>44</v>
      </c>
      <c r="F138" s="56" t="s">
        <v>32</v>
      </c>
      <c r="G138" s="92" t="s">
        <v>17</v>
      </c>
      <c r="H138" s="56">
        <v>30000</v>
      </c>
      <c r="I138" s="56">
        <v>0</v>
      </c>
      <c r="J138" s="56">
        <v>0</v>
      </c>
      <c r="K138" s="56">
        <v>7178.4939899999999</v>
      </c>
      <c r="L138" s="17">
        <v>17706.147229999999</v>
      </c>
      <c r="M138" s="17">
        <v>0</v>
      </c>
      <c r="N138" s="56">
        <v>0</v>
      </c>
      <c r="O138" s="17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0</v>
      </c>
      <c r="U138" s="56">
        <v>0</v>
      </c>
      <c r="V138" s="56">
        <f t="shared" si="6"/>
        <v>24884.641219999998</v>
      </c>
    </row>
    <row r="139" spans="1:22" s="50" customFormat="1" ht="14.25" customHeight="1">
      <c r="A139" s="56">
        <f t="shared" si="7"/>
        <v>30</v>
      </c>
      <c r="B139" s="56" t="s">
        <v>258</v>
      </c>
      <c r="C139" s="54">
        <v>40746</v>
      </c>
      <c r="D139" s="56" t="s">
        <v>252</v>
      </c>
      <c r="E139" s="56" t="s">
        <v>41</v>
      </c>
      <c r="F139" s="56" t="s">
        <v>24</v>
      </c>
      <c r="G139" s="92" t="s">
        <v>17</v>
      </c>
      <c r="H139" s="56">
        <v>54500</v>
      </c>
      <c r="I139" s="56">
        <v>0</v>
      </c>
      <c r="J139" s="56">
        <v>0</v>
      </c>
      <c r="K139" s="56">
        <v>200</v>
      </c>
      <c r="L139" s="17">
        <v>14955.342680000002</v>
      </c>
      <c r="M139" s="17">
        <v>31516.529399999996</v>
      </c>
      <c r="N139" s="56">
        <v>6281.9260599999998</v>
      </c>
      <c r="O139" s="17">
        <v>0</v>
      </c>
      <c r="P139" s="56">
        <v>0</v>
      </c>
      <c r="Q139" s="56">
        <v>0</v>
      </c>
      <c r="R139" s="56">
        <v>1546.2018599999999</v>
      </c>
      <c r="S139" s="56">
        <v>0</v>
      </c>
      <c r="T139" s="56">
        <v>0</v>
      </c>
      <c r="U139" s="56">
        <v>0</v>
      </c>
      <c r="V139" s="56">
        <f t="shared" si="6"/>
        <v>54500</v>
      </c>
    </row>
    <row r="140" spans="1:22" s="50" customFormat="1" ht="14.25" customHeight="1">
      <c r="A140" s="56">
        <f t="shared" si="7"/>
        <v>31</v>
      </c>
      <c r="B140" s="56" t="s">
        <v>280</v>
      </c>
      <c r="C140" s="54">
        <v>40729</v>
      </c>
      <c r="D140" s="56" t="s">
        <v>284</v>
      </c>
      <c r="E140" s="56" t="s">
        <v>5</v>
      </c>
      <c r="F140" s="56" t="s">
        <v>447</v>
      </c>
      <c r="G140" s="92" t="s">
        <v>17</v>
      </c>
      <c r="H140" s="56">
        <v>50000</v>
      </c>
      <c r="I140" s="56">
        <v>0</v>
      </c>
      <c r="J140" s="56">
        <v>0</v>
      </c>
      <c r="K140" s="56">
        <v>0</v>
      </c>
      <c r="L140" s="17">
        <v>500</v>
      </c>
      <c r="M140" s="17">
        <v>8853.0605400000004</v>
      </c>
      <c r="N140" s="56">
        <v>17419.794900000001</v>
      </c>
      <c r="O140" s="17">
        <v>14632.415509999999</v>
      </c>
      <c r="P140" s="56">
        <v>2428.9042899999999</v>
      </c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>
        <f t="shared" si="6"/>
        <v>43834.175239999997</v>
      </c>
    </row>
    <row r="141" spans="1:22" s="50" customFormat="1" ht="14.25" customHeight="1">
      <c r="A141" s="56">
        <f t="shared" si="7"/>
        <v>32</v>
      </c>
      <c r="B141" s="56" t="s">
        <v>288</v>
      </c>
      <c r="C141" s="54">
        <v>41289</v>
      </c>
      <c r="D141" s="56" t="s">
        <v>285</v>
      </c>
      <c r="E141" s="53" t="s">
        <v>282</v>
      </c>
      <c r="F141" s="53" t="s">
        <v>276</v>
      </c>
      <c r="G141" s="92" t="s">
        <v>17</v>
      </c>
      <c r="H141" s="56">
        <v>25000</v>
      </c>
      <c r="I141" s="56">
        <v>0</v>
      </c>
      <c r="J141" s="56">
        <v>0</v>
      </c>
      <c r="K141" s="56">
        <v>0</v>
      </c>
      <c r="L141" s="17">
        <v>600</v>
      </c>
      <c r="M141" s="17">
        <v>1901.7474199999999</v>
      </c>
      <c r="N141" s="56">
        <v>2109.1625700000004</v>
      </c>
      <c r="O141" s="17">
        <v>7783.4218100000007</v>
      </c>
      <c r="P141" s="56">
        <v>10720.98911</v>
      </c>
      <c r="Q141" s="17">
        <v>1712.8252399999999</v>
      </c>
      <c r="R141" s="17">
        <v>0</v>
      </c>
      <c r="S141" s="56">
        <v>0</v>
      </c>
      <c r="T141" s="56">
        <v>0</v>
      </c>
      <c r="U141" s="56">
        <v>0</v>
      </c>
      <c r="V141" s="56">
        <f t="shared" si="6"/>
        <v>24828.14615</v>
      </c>
    </row>
    <row r="142" spans="1:22" s="50" customFormat="1" ht="14.25" customHeight="1">
      <c r="A142" s="56">
        <f t="shared" si="7"/>
        <v>33</v>
      </c>
      <c r="B142" s="56" t="s">
        <v>289</v>
      </c>
      <c r="C142" s="54">
        <v>41385</v>
      </c>
      <c r="D142" s="56" t="s">
        <v>286</v>
      </c>
      <c r="E142" s="56" t="s">
        <v>18</v>
      </c>
      <c r="F142" s="53" t="s">
        <v>298</v>
      </c>
      <c r="G142" s="92" t="s">
        <v>17</v>
      </c>
      <c r="H142" s="56">
        <v>45000</v>
      </c>
      <c r="I142" s="56">
        <v>0</v>
      </c>
      <c r="J142" s="56">
        <v>0</v>
      </c>
      <c r="K142" s="56">
        <v>0</v>
      </c>
      <c r="L142" s="17">
        <v>45000</v>
      </c>
      <c r="M142" s="17">
        <v>0</v>
      </c>
      <c r="N142" s="56">
        <v>0</v>
      </c>
      <c r="O142" s="17">
        <v>0</v>
      </c>
      <c r="P142" s="56">
        <v>0</v>
      </c>
      <c r="Q142" s="17">
        <v>0</v>
      </c>
      <c r="R142" s="17">
        <v>0</v>
      </c>
      <c r="S142" s="56">
        <v>0</v>
      </c>
      <c r="T142" s="56">
        <v>0</v>
      </c>
      <c r="U142" s="56">
        <v>0</v>
      </c>
      <c r="V142" s="56">
        <f t="shared" si="6"/>
        <v>45000</v>
      </c>
    </row>
    <row r="143" spans="1:22" s="50" customFormat="1" ht="14.25" customHeight="1">
      <c r="A143" s="56">
        <f t="shared" si="7"/>
        <v>34</v>
      </c>
      <c r="B143" s="56" t="s">
        <v>287</v>
      </c>
      <c r="C143" s="54">
        <v>41289</v>
      </c>
      <c r="D143" s="17" t="s">
        <v>281</v>
      </c>
      <c r="E143" s="56" t="s">
        <v>107</v>
      </c>
      <c r="F143" s="53" t="s">
        <v>298</v>
      </c>
      <c r="G143" s="92" t="s">
        <v>17</v>
      </c>
      <c r="H143" s="56">
        <v>10000</v>
      </c>
      <c r="I143" s="56">
        <v>0</v>
      </c>
      <c r="J143" s="56">
        <v>0</v>
      </c>
      <c r="K143" s="56">
        <v>0</v>
      </c>
      <c r="L143" s="17">
        <v>114</v>
      </c>
      <c r="M143" s="17">
        <v>645</v>
      </c>
      <c r="N143" s="56">
        <v>3278.66</v>
      </c>
      <c r="O143" s="17">
        <v>4700</v>
      </c>
      <c r="P143" s="56">
        <v>630</v>
      </c>
      <c r="Q143" s="17">
        <v>-173.72105999999999</v>
      </c>
      <c r="R143" s="17">
        <v>0</v>
      </c>
      <c r="S143" s="56">
        <v>0</v>
      </c>
      <c r="T143" s="56">
        <v>0</v>
      </c>
      <c r="U143" s="56">
        <v>0</v>
      </c>
      <c r="V143" s="56">
        <f t="shared" si="6"/>
        <v>9193.93894</v>
      </c>
    </row>
    <row r="144" spans="1:22" s="50" customFormat="1" ht="14.25" customHeight="1">
      <c r="A144" s="56">
        <f t="shared" si="7"/>
        <v>35</v>
      </c>
      <c r="B144" s="56" t="s">
        <v>326</v>
      </c>
      <c r="C144" s="54">
        <v>41456</v>
      </c>
      <c r="D144" s="56" t="s">
        <v>432</v>
      </c>
      <c r="E144" s="53" t="s">
        <v>282</v>
      </c>
      <c r="F144" s="53" t="s">
        <v>276</v>
      </c>
      <c r="G144" s="92" t="s">
        <v>17</v>
      </c>
      <c r="H144" s="56">
        <v>25000</v>
      </c>
      <c r="I144" s="56">
        <v>0</v>
      </c>
      <c r="J144" s="56">
        <v>0</v>
      </c>
      <c r="K144" s="56">
        <v>0</v>
      </c>
      <c r="L144" s="17">
        <v>0</v>
      </c>
      <c r="M144" s="17">
        <v>0</v>
      </c>
      <c r="N144" s="56">
        <v>5400</v>
      </c>
      <c r="O144" s="17">
        <v>11318.75</v>
      </c>
      <c r="P144" s="56">
        <v>4687.51</v>
      </c>
      <c r="Q144" s="17">
        <v>3593.74</v>
      </c>
      <c r="R144" s="17">
        <v>0</v>
      </c>
      <c r="S144" s="56">
        <v>0</v>
      </c>
      <c r="T144" s="56">
        <v>0</v>
      </c>
      <c r="U144" s="56">
        <v>0</v>
      </c>
      <c r="V144" s="56">
        <f t="shared" si="6"/>
        <v>25000</v>
      </c>
    </row>
    <row r="145" spans="1:22" s="50" customFormat="1" ht="14.25" customHeight="1">
      <c r="A145" s="56">
        <f t="shared" si="7"/>
        <v>36</v>
      </c>
      <c r="B145" s="56" t="s">
        <v>310</v>
      </c>
      <c r="C145" s="54">
        <v>41551</v>
      </c>
      <c r="D145" s="53" t="s">
        <v>311</v>
      </c>
      <c r="E145" s="53" t="s">
        <v>237</v>
      </c>
      <c r="F145" s="53" t="s">
        <v>16</v>
      </c>
      <c r="G145" s="92" t="s">
        <v>17</v>
      </c>
      <c r="H145" s="56">
        <v>20000</v>
      </c>
      <c r="I145" s="56">
        <v>0</v>
      </c>
      <c r="J145" s="56">
        <v>0</v>
      </c>
      <c r="K145" s="56">
        <v>0</v>
      </c>
      <c r="L145" s="17">
        <v>0</v>
      </c>
      <c r="M145" s="17">
        <v>360</v>
      </c>
      <c r="N145" s="56">
        <v>12139.71938</v>
      </c>
      <c r="O145" s="17">
        <v>7500.2806199999995</v>
      </c>
      <c r="P145" s="56">
        <v>-684.46266000000003</v>
      </c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>
        <f t="shared" si="6"/>
        <v>19315.537339999999</v>
      </c>
    </row>
    <row r="146" spans="1:22" s="50" customFormat="1" ht="14.25" customHeight="1">
      <c r="A146" s="56">
        <f t="shared" si="7"/>
        <v>37</v>
      </c>
      <c r="B146" s="56" t="s">
        <v>363</v>
      </c>
      <c r="C146" s="54">
        <v>41844</v>
      </c>
      <c r="D146" s="71" t="s">
        <v>364</v>
      </c>
      <c r="E146" s="53" t="s">
        <v>362</v>
      </c>
      <c r="F146" s="53" t="s">
        <v>351</v>
      </c>
      <c r="G146" s="92" t="s">
        <v>17</v>
      </c>
      <c r="H146" s="69">
        <v>120000</v>
      </c>
      <c r="I146" s="69">
        <v>0</v>
      </c>
      <c r="J146" s="69">
        <v>0</v>
      </c>
      <c r="K146" s="69">
        <v>0</v>
      </c>
      <c r="L146" s="22">
        <v>0</v>
      </c>
      <c r="M146" s="22">
        <v>0</v>
      </c>
      <c r="N146" s="69">
        <v>0</v>
      </c>
      <c r="O146" s="22">
        <v>1000</v>
      </c>
      <c r="P146" s="56">
        <v>2658.5334699999999</v>
      </c>
      <c r="Q146" s="56">
        <v>1116.1971699999999</v>
      </c>
      <c r="R146" s="56">
        <v>-2453.8133400000002</v>
      </c>
      <c r="S146" s="56">
        <v>0</v>
      </c>
      <c r="T146" s="56">
        <v>0</v>
      </c>
      <c r="U146" s="56">
        <v>0</v>
      </c>
      <c r="V146" s="56">
        <f t="shared" si="6"/>
        <v>2320.9172999999996</v>
      </c>
    </row>
    <row r="147" spans="1:22" s="50" customFormat="1" ht="14.25" customHeight="1">
      <c r="A147" s="56">
        <f t="shared" si="7"/>
        <v>38</v>
      </c>
      <c r="B147" s="56" t="s">
        <v>327</v>
      </c>
      <c r="C147" s="54">
        <v>41744</v>
      </c>
      <c r="D147" s="53" t="s">
        <v>359</v>
      </c>
      <c r="E147" s="53" t="s">
        <v>322</v>
      </c>
      <c r="F147" s="53" t="s">
        <v>16</v>
      </c>
      <c r="G147" s="92" t="s">
        <v>17</v>
      </c>
      <c r="H147" s="56">
        <v>40000</v>
      </c>
      <c r="I147" s="56">
        <v>0</v>
      </c>
      <c r="J147" s="56">
        <v>0</v>
      </c>
      <c r="K147" s="56">
        <v>0</v>
      </c>
      <c r="L147" s="17">
        <v>0</v>
      </c>
      <c r="M147" s="17">
        <v>0</v>
      </c>
      <c r="N147" s="56">
        <v>1304.18</v>
      </c>
      <c r="O147" s="17">
        <v>4504.0129999999999</v>
      </c>
      <c r="P147" s="56">
        <v>10613.201999999999</v>
      </c>
      <c r="Q147" s="56">
        <v>15407</v>
      </c>
      <c r="R147" s="56">
        <v>6361.6049999999996</v>
      </c>
      <c r="S147" s="56">
        <v>1000</v>
      </c>
      <c r="T147" s="56">
        <v>-269.50797</v>
      </c>
      <c r="U147" s="56">
        <v>0</v>
      </c>
      <c r="V147" s="56">
        <f t="shared" si="6"/>
        <v>38920.492030000001</v>
      </c>
    </row>
    <row r="148" spans="1:22" s="50" customFormat="1" ht="14.25" customHeight="1">
      <c r="A148" s="56">
        <f t="shared" si="7"/>
        <v>39</v>
      </c>
      <c r="B148" s="56" t="s">
        <v>360</v>
      </c>
      <c r="C148" s="54">
        <v>41844</v>
      </c>
      <c r="D148" s="53" t="s">
        <v>361</v>
      </c>
      <c r="E148" s="53" t="s">
        <v>362</v>
      </c>
      <c r="F148" s="53" t="s">
        <v>19</v>
      </c>
      <c r="G148" s="92" t="s">
        <v>17</v>
      </c>
      <c r="H148" s="56">
        <v>120000</v>
      </c>
      <c r="I148" s="56">
        <v>0</v>
      </c>
      <c r="J148" s="56">
        <v>0</v>
      </c>
      <c r="K148" s="56">
        <v>0</v>
      </c>
      <c r="L148" s="17">
        <v>0</v>
      </c>
      <c r="M148" s="17">
        <v>0</v>
      </c>
      <c r="N148" s="56">
        <v>0</v>
      </c>
      <c r="O148" s="17">
        <v>1400</v>
      </c>
      <c r="P148" s="56">
        <v>1600</v>
      </c>
      <c r="Q148" s="56">
        <v>0</v>
      </c>
      <c r="R148" s="56">
        <v>0</v>
      </c>
      <c r="S148" s="56">
        <v>2631</v>
      </c>
      <c r="T148" s="56">
        <v>21700</v>
      </c>
      <c r="U148" s="56">
        <f>14500+14800</f>
        <v>29300</v>
      </c>
      <c r="V148" s="56">
        <f t="shared" si="6"/>
        <v>56631</v>
      </c>
    </row>
    <row r="149" spans="1:22" s="50" customFormat="1" ht="14.25" customHeight="1">
      <c r="A149" s="56">
        <f t="shared" si="7"/>
        <v>40</v>
      </c>
      <c r="B149" s="56" t="s">
        <v>357</v>
      </c>
      <c r="C149" s="54">
        <v>42333</v>
      </c>
      <c r="D149" s="53" t="s">
        <v>358</v>
      </c>
      <c r="E149" s="53" t="s">
        <v>41</v>
      </c>
      <c r="F149" s="53" t="s">
        <v>24</v>
      </c>
      <c r="G149" s="92" t="s">
        <v>17</v>
      </c>
      <c r="H149" s="56">
        <v>55000</v>
      </c>
      <c r="I149" s="56">
        <v>0</v>
      </c>
      <c r="J149" s="56">
        <v>0</v>
      </c>
      <c r="K149" s="56">
        <v>0</v>
      </c>
      <c r="L149" s="17">
        <v>0</v>
      </c>
      <c r="M149" s="17">
        <v>0</v>
      </c>
      <c r="N149" s="56">
        <v>0</v>
      </c>
      <c r="O149" s="17">
        <v>200</v>
      </c>
      <c r="P149" s="56">
        <v>10193.6</v>
      </c>
      <c r="Q149" s="56">
        <v>13989</v>
      </c>
      <c r="R149" s="56">
        <v>21730.654000000002</v>
      </c>
      <c r="S149" s="56">
        <v>0</v>
      </c>
      <c r="T149" s="56">
        <v>-1813.3916099999999</v>
      </c>
      <c r="U149" s="56">
        <v>0</v>
      </c>
      <c r="V149" s="56">
        <f t="shared" si="6"/>
        <v>44299.862390000002</v>
      </c>
    </row>
    <row r="150" spans="1:22" s="117" customFormat="1" ht="14.25" customHeight="1">
      <c r="A150" s="56">
        <f t="shared" si="7"/>
        <v>41</v>
      </c>
      <c r="B150" s="111" t="s">
        <v>365</v>
      </c>
      <c r="C150" s="114">
        <v>42472</v>
      </c>
      <c r="D150" s="113" t="s">
        <v>356</v>
      </c>
      <c r="E150" s="115" t="s">
        <v>186</v>
      </c>
      <c r="F150" s="115" t="s">
        <v>19</v>
      </c>
      <c r="G150" s="116" t="s">
        <v>17</v>
      </c>
      <c r="H150" s="111">
        <v>300000</v>
      </c>
      <c r="I150" s="111">
        <v>0</v>
      </c>
      <c r="J150" s="111">
        <v>0</v>
      </c>
      <c r="K150" s="111">
        <v>0</v>
      </c>
      <c r="L150" s="110">
        <v>0</v>
      </c>
      <c r="M150" s="110">
        <v>0</v>
      </c>
      <c r="N150" s="111">
        <v>0</v>
      </c>
      <c r="O150" s="110">
        <v>40000</v>
      </c>
      <c r="P150" s="111">
        <v>30000</v>
      </c>
      <c r="Q150" s="111">
        <v>0</v>
      </c>
      <c r="R150" s="111">
        <v>0</v>
      </c>
      <c r="S150" s="111">
        <v>0</v>
      </c>
      <c r="T150" s="111">
        <v>0</v>
      </c>
      <c r="U150" s="111">
        <v>0</v>
      </c>
      <c r="V150" s="56">
        <f t="shared" si="6"/>
        <v>70000</v>
      </c>
    </row>
    <row r="151" spans="1:22" s="117" customFormat="1" ht="14.25" customHeight="1">
      <c r="A151" s="56">
        <f t="shared" si="7"/>
        <v>42</v>
      </c>
      <c r="B151" s="111" t="s">
        <v>382</v>
      </c>
      <c r="C151" s="114">
        <v>42472</v>
      </c>
      <c r="D151" s="113" t="s">
        <v>375</v>
      </c>
      <c r="E151" s="115" t="s">
        <v>88</v>
      </c>
      <c r="F151" s="115" t="s">
        <v>19</v>
      </c>
      <c r="G151" s="116" t="s">
        <v>17</v>
      </c>
      <c r="H151" s="111">
        <v>50000</v>
      </c>
      <c r="I151" s="111">
        <v>0</v>
      </c>
      <c r="J151" s="111">
        <v>0</v>
      </c>
      <c r="K151" s="111">
        <v>0</v>
      </c>
      <c r="L151" s="110">
        <v>0</v>
      </c>
      <c r="M151" s="110">
        <v>0</v>
      </c>
      <c r="N151" s="111">
        <v>0</v>
      </c>
      <c r="O151" s="110">
        <v>0</v>
      </c>
      <c r="P151" s="111">
        <v>743.46400000000006</v>
      </c>
      <c r="Q151" s="111">
        <v>3000</v>
      </c>
      <c r="R151" s="111">
        <v>7850</v>
      </c>
      <c r="S151" s="111">
        <v>5300</v>
      </c>
      <c r="T151" s="111">
        <v>8360</v>
      </c>
      <c r="U151" s="111">
        <f>3196+3021.305</f>
        <v>6217.3050000000003</v>
      </c>
      <c r="V151" s="56">
        <f t="shared" si="6"/>
        <v>31470.769</v>
      </c>
    </row>
    <row r="152" spans="1:22" s="117" customFormat="1" ht="14.25" customHeight="1">
      <c r="A152" s="56">
        <f t="shared" si="7"/>
        <v>43</v>
      </c>
      <c r="B152" s="111" t="s">
        <v>383</v>
      </c>
      <c r="C152" s="114">
        <v>42774</v>
      </c>
      <c r="D152" s="113" t="s">
        <v>384</v>
      </c>
      <c r="E152" s="115" t="s">
        <v>385</v>
      </c>
      <c r="F152" s="115" t="s">
        <v>277</v>
      </c>
      <c r="G152" s="116" t="s">
        <v>17</v>
      </c>
      <c r="H152" s="111">
        <v>40000</v>
      </c>
      <c r="I152" s="111">
        <v>0</v>
      </c>
      <c r="J152" s="111">
        <v>0</v>
      </c>
      <c r="K152" s="111">
        <v>0</v>
      </c>
      <c r="L152" s="110">
        <v>0</v>
      </c>
      <c r="M152" s="110">
        <v>0</v>
      </c>
      <c r="N152" s="111">
        <v>0</v>
      </c>
      <c r="O152" s="110">
        <v>0</v>
      </c>
      <c r="P152" s="111">
        <v>51</v>
      </c>
      <c r="Q152" s="111">
        <v>538</v>
      </c>
      <c r="R152" s="111">
        <v>1958.4948099999999</v>
      </c>
      <c r="S152" s="111">
        <v>1691</v>
      </c>
      <c r="T152" s="111">
        <v>1614.806</v>
      </c>
      <c r="U152" s="111">
        <f>1764.67597</f>
        <v>1764.67597</v>
      </c>
      <c r="V152" s="56">
        <f t="shared" si="6"/>
        <v>7617.9767800000009</v>
      </c>
    </row>
    <row r="153" spans="1:22" s="112" customFormat="1" ht="14.25" customHeight="1">
      <c r="A153" s="56">
        <f t="shared" si="7"/>
        <v>44</v>
      </c>
      <c r="B153" s="110" t="s">
        <v>402</v>
      </c>
      <c r="C153" s="108">
        <v>42775</v>
      </c>
      <c r="D153" s="107" t="s">
        <v>403</v>
      </c>
      <c r="E153" s="118" t="s">
        <v>38</v>
      </c>
      <c r="F153" s="118" t="s">
        <v>38</v>
      </c>
      <c r="G153" s="109" t="s">
        <v>17</v>
      </c>
      <c r="H153" s="110">
        <v>45000</v>
      </c>
      <c r="I153" s="110">
        <v>0</v>
      </c>
      <c r="J153" s="110">
        <v>0</v>
      </c>
      <c r="K153" s="110">
        <v>0</v>
      </c>
      <c r="L153" s="110">
        <v>0</v>
      </c>
      <c r="M153" s="110">
        <v>0</v>
      </c>
      <c r="N153" s="110">
        <v>0</v>
      </c>
      <c r="O153" s="110">
        <v>0</v>
      </c>
      <c r="P153" s="110">
        <v>0</v>
      </c>
      <c r="Q153" s="110">
        <v>15000</v>
      </c>
      <c r="R153" s="110">
        <v>20200</v>
      </c>
      <c r="S153" s="111">
        <v>2800</v>
      </c>
      <c r="T153" s="111">
        <v>6237.1220000000003</v>
      </c>
      <c r="U153" s="111">
        <v>-2327.48162</v>
      </c>
      <c r="V153" s="56">
        <f t="shared" si="6"/>
        <v>41909.640380000004</v>
      </c>
    </row>
    <row r="154" spans="1:22" s="112" customFormat="1" ht="14.25" customHeight="1">
      <c r="A154" s="56">
        <f t="shared" si="7"/>
        <v>45</v>
      </c>
      <c r="B154" s="110" t="s">
        <v>399</v>
      </c>
      <c r="C154" s="108">
        <v>42775</v>
      </c>
      <c r="D154" s="107" t="s">
        <v>400</v>
      </c>
      <c r="E154" s="118" t="s">
        <v>401</v>
      </c>
      <c r="F154" s="118" t="s">
        <v>381</v>
      </c>
      <c r="G154" s="109" t="s">
        <v>17</v>
      </c>
      <c r="H154" s="110">
        <v>40000</v>
      </c>
      <c r="I154" s="110">
        <v>0</v>
      </c>
      <c r="J154" s="110">
        <v>0</v>
      </c>
      <c r="K154" s="110">
        <v>0</v>
      </c>
      <c r="L154" s="110">
        <v>0</v>
      </c>
      <c r="M154" s="110">
        <v>0</v>
      </c>
      <c r="N154" s="110">
        <v>0</v>
      </c>
      <c r="O154" s="110">
        <v>0</v>
      </c>
      <c r="P154" s="110">
        <v>0</v>
      </c>
      <c r="Q154" s="110">
        <v>7922</v>
      </c>
      <c r="R154" s="110">
        <v>13492</v>
      </c>
      <c r="S154" s="111">
        <v>10690</v>
      </c>
      <c r="T154" s="111">
        <v>7896</v>
      </c>
      <c r="U154" s="111">
        <v>0</v>
      </c>
      <c r="V154" s="56">
        <f t="shared" si="6"/>
        <v>40000</v>
      </c>
    </row>
    <row r="155" spans="1:22" s="112" customFormat="1" ht="14.25" customHeight="1">
      <c r="A155" s="56">
        <f t="shared" si="7"/>
        <v>46</v>
      </c>
      <c r="B155" s="110" t="s">
        <v>397</v>
      </c>
      <c r="C155" s="108">
        <v>42776</v>
      </c>
      <c r="D155" s="107" t="s">
        <v>398</v>
      </c>
      <c r="E155" s="118" t="s">
        <v>158</v>
      </c>
      <c r="F155" s="118" t="s">
        <v>16</v>
      </c>
      <c r="G155" s="109" t="s">
        <v>17</v>
      </c>
      <c r="H155" s="110">
        <v>40000</v>
      </c>
      <c r="I155" s="110">
        <v>0</v>
      </c>
      <c r="J155" s="110">
        <v>0</v>
      </c>
      <c r="K155" s="110">
        <v>0</v>
      </c>
      <c r="L155" s="110">
        <v>0</v>
      </c>
      <c r="M155" s="110">
        <v>0</v>
      </c>
      <c r="N155" s="110">
        <v>0</v>
      </c>
      <c r="O155" s="110">
        <v>0</v>
      </c>
      <c r="P155" s="110">
        <v>0</v>
      </c>
      <c r="Q155" s="110">
        <v>1000</v>
      </c>
      <c r="R155" s="110">
        <v>4011.7988400000004</v>
      </c>
      <c r="S155" s="111">
        <v>10965</v>
      </c>
      <c r="T155" s="111">
        <v>8838.3260300000002</v>
      </c>
      <c r="U155" s="111">
        <v>9335</v>
      </c>
      <c r="V155" s="56">
        <f t="shared" si="6"/>
        <v>34150.12487</v>
      </c>
    </row>
    <row r="156" spans="1:22" s="112" customFormat="1" ht="14.25" customHeight="1">
      <c r="A156" s="56">
        <f t="shared" si="7"/>
        <v>47</v>
      </c>
      <c r="B156" s="107" t="s">
        <v>462</v>
      </c>
      <c r="C156" s="108">
        <v>42083</v>
      </c>
      <c r="D156" s="107" t="s">
        <v>410</v>
      </c>
      <c r="E156" s="118" t="s">
        <v>18</v>
      </c>
      <c r="F156" s="113" t="s">
        <v>298</v>
      </c>
      <c r="G156" s="119" t="s">
        <v>17</v>
      </c>
      <c r="H156" s="110">
        <v>400000</v>
      </c>
      <c r="I156" s="110">
        <v>0</v>
      </c>
      <c r="J156" s="110">
        <v>0</v>
      </c>
      <c r="K156" s="110">
        <v>0</v>
      </c>
      <c r="L156" s="110">
        <v>0</v>
      </c>
      <c r="M156" s="110">
        <v>0</v>
      </c>
      <c r="N156" s="110">
        <v>0</v>
      </c>
      <c r="O156" s="110">
        <v>0</v>
      </c>
      <c r="P156" s="110">
        <v>0</v>
      </c>
      <c r="Q156" s="110">
        <v>70000</v>
      </c>
      <c r="R156" s="110">
        <v>0</v>
      </c>
      <c r="S156" s="111">
        <v>0</v>
      </c>
      <c r="T156" s="111">
        <v>0</v>
      </c>
      <c r="U156" s="111">
        <v>0</v>
      </c>
      <c r="V156" s="56">
        <f t="shared" si="6"/>
        <v>70000</v>
      </c>
    </row>
    <row r="157" spans="1:22" s="112" customFormat="1" ht="14.25" customHeight="1">
      <c r="A157" s="56">
        <f t="shared" si="7"/>
        <v>48</v>
      </c>
      <c r="B157" s="107" t="s">
        <v>463</v>
      </c>
      <c r="C157" s="108">
        <v>42425</v>
      </c>
      <c r="D157" s="107" t="s">
        <v>411</v>
      </c>
      <c r="E157" s="118" t="s">
        <v>18</v>
      </c>
      <c r="F157" s="113" t="s">
        <v>298</v>
      </c>
      <c r="G157" s="119" t="s">
        <v>17</v>
      </c>
      <c r="H157" s="110">
        <v>1250000</v>
      </c>
      <c r="I157" s="110">
        <v>0</v>
      </c>
      <c r="J157" s="110">
        <v>0</v>
      </c>
      <c r="K157" s="110">
        <v>0</v>
      </c>
      <c r="L157" s="110">
        <v>0</v>
      </c>
      <c r="M157" s="110">
        <v>0</v>
      </c>
      <c r="N157" s="110">
        <v>0</v>
      </c>
      <c r="O157" s="110">
        <v>0</v>
      </c>
      <c r="P157" s="110">
        <v>0</v>
      </c>
      <c r="Q157" s="110">
        <v>245680.24299999999</v>
      </c>
      <c r="R157" s="110">
        <v>420000</v>
      </c>
      <c r="S157" s="111">
        <v>0</v>
      </c>
      <c r="T157" s="111">
        <v>0</v>
      </c>
      <c r="U157" s="111">
        <v>0</v>
      </c>
      <c r="V157" s="56">
        <f t="shared" si="6"/>
        <v>665680.24300000002</v>
      </c>
    </row>
    <row r="158" spans="1:22" s="112" customFormat="1" ht="14.25" customHeight="1">
      <c r="A158" s="56">
        <f t="shared" si="7"/>
        <v>49</v>
      </c>
      <c r="B158" s="107" t="s">
        <v>551</v>
      </c>
      <c r="C158" s="108">
        <v>43510</v>
      </c>
      <c r="D158" s="107" t="s">
        <v>552</v>
      </c>
      <c r="E158" s="118" t="s">
        <v>508</v>
      </c>
      <c r="F158" s="113" t="s">
        <v>277</v>
      </c>
      <c r="G158" s="119" t="s">
        <v>17</v>
      </c>
      <c r="H158" s="110">
        <v>6400</v>
      </c>
      <c r="I158" s="110">
        <v>0</v>
      </c>
      <c r="J158" s="110">
        <v>0</v>
      </c>
      <c r="K158" s="110">
        <v>0</v>
      </c>
      <c r="L158" s="110">
        <v>0</v>
      </c>
      <c r="M158" s="110">
        <v>0</v>
      </c>
      <c r="N158" s="110">
        <v>0</v>
      </c>
      <c r="O158" s="110">
        <v>0</v>
      </c>
      <c r="P158" s="110">
        <v>0</v>
      </c>
      <c r="Q158" s="110">
        <v>0</v>
      </c>
      <c r="R158" s="110">
        <v>0</v>
      </c>
      <c r="S158" s="111">
        <v>0</v>
      </c>
      <c r="T158" s="111">
        <v>0</v>
      </c>
      <c r="U158" s="111">
        <v>339.42518999999999</v>
      </c>
      <c r="V158" s="56">
        <f t="shared" si="6"/>
        <v>339.42518999999999</v>
      </c>
    </row>
    <row r="159" spans="1:22" s="112" customFormat="1" ht="14.25" customHeight="1">
      <c r="A159" s="56">
        <f t="shared" si="7"/>
        <v>50</v>
      </c>
      <c r="B159" s="107" t="s">
        <v>464</v>
      </c>
      <c r="C159" s="108">
        <v>43493</v>
      </c>
      <c r="D159" s="107" t="s">
        <v>465</v>
      </c>
      <c r="E159" s="118" t="s">
        <v>467</v>
      </c>
      <c r="F159" s="111" t="s">
        <v>24</v>
      </c>
      <c r="G159" s="119" t="s">
        <v>17</v>
      </c>
      <c r="H159" s="110">
        <v>53033.379000000001</v>
      </c>
      <c r="I159" s="110">
        <v>0</v>
      </c>
      <c r="J159" s="110">
        <v>0</v>
      </c>
      <c r="K159" s="110">
        <v>0</v>
      </c>
      <c r="L159" s="110">
        <v>0</v>
      </c>
      <c r="M159" s="110">
        <v>0</v>
      </c>
      <c r="N159" s="110">
        <v>0</v>
      </c>
      <c r="O159" s="110">
        <v>0</v>
      </c>
      <c r="P159" s="110">
        <v>0</v>
      </c>
      <c r="Q159" s="110">
        <v>0</v>
      </c>
      <c r="R159" s="110">
        <v>0</v>
      </c>
      <c r="S159" s="111">
        <v>471</v>
      </c>
      <c r="T159" s="111">
        <v>499.51139999999998</v>
      </c>
      <c r="U159" s="111">
        <f>134.18976+1115.83489</f>
        <v>1250.0246500000001</v>
      </c>
      <c r="V159" s="56">
        <f t="shared" si="6"/>
        <v>2220.5360500000002</v>
      </c>
    </row>
    <row r="160" spans="1:22" s="112" customFormat="1" ht="14.25" customHeight="1">
      <c r="A160" s="56">
        <f t="shared" si="7"/>
        <v>51</v>
      </c>
      <c r="B160" s="107" t="s">
        <v>464</v>
      </c>
      <c r="C160" s="108">
        <v>43493</v>
      </c>
      <c r="D160" s="107" t="s">
        <v>466</v>
      </c>
      <c r="E160" s="118" t="s">
        <v>468</v>
      </c>
      <c r="F160" s="111" t="s">
        <v>24</v>
      </c>
      <c r="G160" s="119" t="s">
        <v>17</v>
      </c>
      <c r="H160" s="110">
        <v>16966.620999999999</v>
      </c>
      <c r="I160" s="110">
        <v>0</v>
      </c>
      <c r="J160" s="110">
        <v>0</v>
      </c>
      <c r="K160" s="110">
        <v>0</v>
      </c>
      <c r="L160" s="110">
        <v>0</v>
      </c>
      <c r="M160" s="110">
        <v>0</v>
      </c>
      <c r="N160" s="110">
        <v>0</v>
      </c>
      <c r="O160" s="110">
        <v>0</v>
      </c>
      <c r="P160" s="110">
        <v>0</v>
      </c>
      <c r="Q160" s="110">
        <v>0</v>
      </c>
      <c r="R160" s="110">
        <v>80.965999999999994</v>
      </c>
      <c r="S160" s="111">
        <v>231</v>
      </c>
      <c r="T160" s="111">
        <v>5884.8630000000003</v>
      </c>
      <c r="U160" s="111">
        <v>3090.3519999999999</v>
      </c>
      <c r="V160" s="56">
        <f t="shared" si="6"/>
        <v>9287.1810000000005</v>
      </c>
    </row>
    <row r="161" spans="1:22" s="112" customFormat="1" ht="14.25" customHeight="1">
      <c r="A161" s="56">
        <f t="shared" si="7"/>
        <v>52</v>
      </c>
      <c r="B161" s="107" t="s">
        <v>499</v>
      </c>
      <c r="C161" s="108">
        <v>43537</v>
      </c>
      <c r="D161" s="107" t="s">
        <v>500</v>
      </c>
      <c r="E161" s="118" t="s">
        <v>489</v>
      </c>
      <c r="F161" s="111" t="s">
        <v>20</v>
      </c>
      <c r="G161" s="119" t="s">
        <v>17</v>
      </c>
      <c r="H161" s="110">
        <v>125000</v>
      </c>
      <c r="I161" s="110">
        <v>0</v>
      </c>
      <c r="J161" s="110">
        <v>0</v>
      </c>
      <c r="K161" s="110">
        <v>0</v>
      </c>
      <c r="L161" s="110">
        <v>0</v>
      </c>
      <c r="M161" s="110">
        <v>0</v>
      </c>
      <c r="N161" s="110">
        <v>0</v>
      </c>
      <c r="O161" s="110">
        <v>0</v>
      </c>
      <c r="P161" s="110">
        <v>0</v>
      </c>
      <c r="Q161" s="110">
        <v>0</v>
      </c>
      <c r="R161" s="110">
        <v>0</v>
      </c>
      <c r="S161" s="111">
        <v>1046</v>
      </c>
      <c r="T161" s="111">
        <v>0</v>
      </c>
      <c r="U161" s="111">
        <v>3006.6950000000002</v>
      </c>
      <c r="V161" s="56">
        <f t="shared" si="6"/>
        <v>4052.6950000000002</v>
      </c>
    </row>
    <row r="162" spans="1:22" s="112" customFormat="1" ht="14.25" customHeight="1">
      <c r="A162" s="56">
        <f t="shared" si="7"/>
        <v>53</v>
      </c>
      <c r="B162" s="107" t="s">
        <v>492</v>
      </c>
      <c r="C162" s="108">
        <v>43796</v>
      </c>
      <c r="D162" s="107" t="s">
        <v>494</v>
      </c>
      <c r="E162" s="118" t="s">
        <v>496</v>
      </c>
      <c r="F162" s="111" t="s">
        <v>27</v>
      </c>
      <c r="G162" s="119" t="s">
        <v>17</v>
      </c>
      <c r="H162" s="110">
        <v>22250</v>
      </c>
      <c r="I162" s="110">
        <v>0</v>
      </c>
      <c r="J162" s="110">
        <v>0</v>
      </c>
      <c r="K162" s="110">
        <v>0</v>
      </c>
      <c r="L162" s="110">
        <v>0</v>
      </c>
      <c r="M162" s="110">
        <v>0</v>
      </c>
      <c r="N162" s="110">
        <v>0</v>
      </c>
      <c r="O162" s="110">
        <v>0</v>
      </c>
      <c r="P162" s="110">
        <v>0</v>
      </c>
      <c r="Q162" s="110">
        <v>0</v>
      </c>
      <c r="R162" s="110">
        <v>0</v>
      </c>
      <c r="S162" s="111">
        <v>36</v>
      </c>
      <c r="T162" s="111">
        <v>4680.9091099999996</v>
      </c>
      <c r="U162" s="111">
        <f>1075.891+795.643</f>
        <v>1871.5340000000001</v>
      </c>
      <c r="V162" s="56">
        <f t="shared" si="6"/>
        <v>6588.4431100000002</v>
      </c>
    </row>
    <row r="163" spans="1:22" s="112" customFormat="1" ht="14.25" customHeight="1">
      <c r="A163" s="56">
        <f t="shared" si="7"/>
        <v>54</v>
      </c>
      <c r="B163" s="107" t="s">
        <v>492</v>
      </c>
      <c r="C163" s="108">
        <v>43796</v>
      </c>
      <c r="D163" s="107" t="s">
        <v>494</v>
      </c>
      <c r="E163" s="118" t="s">
        <v>497</v>
      </c>
      <c r="F163" s="111" t="s">
        <v>27</v>
      </c>
      <c r="G163" s="119" t="s">
        <v>17</v>
      </c>
      <c r="H163" s="110">
        <v>62750</v>
      </c>
      <c r="I163" s="110">
        <v>0</v>
      </c>
      <c r="J163" s="110">
        <v>0</v>
      </c>
      <c r="K163" s="110">
        <v>0</v>
      </c>
      <c r="L163" s="110">
        <v>0</v>
      </c>
      <c r="M163" s="110">
        <v>0</v>
      </c>
      <c r="N163" s="110">
        <v>0</v>
      </c>
      <c r="O163" s="110">
        <v>0</v>
      </c>
      <c r="P163" s="110">
        <v>0</v>
      </c>
      <c r="Q163" s="110">
        <v>0</v>
      </c>
      <c r="R163" s="110">
        <v>0</v>
      </c>
      <c r="S163" s="111">
        <v>177</v>
      </c>
      <c r="T163" s="111">
        <v>631.02300000000002</v>
      </c>
      <c r="U163" s="111">
        <v>3230</v>
      </c>
      <c r="V163" s="56">
        <f t="shared" si="6"/>
        <v>4038.0230000000001</v>
      </c>
    </row>
    <row r="164" spans="1:22" s="112" customFormat="1" ht="14.25" customHeight="1">
      <c r="A164" s="56">
        <f t="shared" si="7"/>
        <v>55</v>
      </c>
      <c r="B164" s="107" t="s">
        <v>531</v>
      </c>
      <c r="C164" s="108">
        <v>43973</v>
      </c>
      <c r="D164" s="107" t="s">
        <v>546</v>
      </c>
      <c r="E164" s="118" t="s">
        <v>136</v>
      </c>
      <c r="F164" s="111" t="s">
        <v>24</v>
      </c>
      <c r="G164" s="119" t="s">
        <v>17</v>
      </c>
      <c r="H164" s="110">
        <v>50000</v>
      </c>
      <c r="I164" s="110">
        <v>0</v>
      </c>
      <c r="J164" s="110">
        <v>0</v>
      </c>
      <c r="K164" s="110">
        <v>0</v>
      </c>
      <c r="L164" s="110">
        <v>0</v>
      </c>
      <c r="M164" s="110">
        <v>0</v>
      </c>
      <c r="N164" s="110">
        <v>0</v>
      </c>
      <c r="O164" s="110">
        <v>0</v>
      </c>
      <c r="P164" s="110">
        <v>0</v>
      </c>
      <c r="Q164" s="110">
        <v>0</v>
      </c>
      <c r="R164" s="110">
        <v>0</v>
      </c>
      <c r="S164" s="111">
        <v>0</v>
      </c>
      <c r="T164" s="111">
        <v>0</v>
      </c>
      <c r="U164" s="111">
        <f>569.70582+329.21436</f>
        <v>898.92018000000007</v>
      </c>
      <c r="V164" s="56">
        <f t="shared" si="6"/>
        <v>898.92018000000007</v>
      </c>
    </row>
    <row r="165" spans="1:22" s="112" customFormat="1" ht="14.25" customHeight="1">
      <c r="A165" s="56">
        <f t="shared" si="7"/>
        <v>56</v>
      </c>
      <c r="B165" s="107" t="s">
        <v>516</v>
      </c>
      <c r="C165" s="108">
        <v>44028</v>
      </c>
      <c r="D165" s="107" t="s">
        <v>545</v>
      </c>
      <c r="E165" s="118" t="s">
        <v>517</v>
      </c>
      <c r="F165" s="111" t="s">
        <v>19</v>
      </c>
      <c r="G165" s="119" t="s">
        <v>17</v>
      </c>
      <c r="H165" s="110">
        <v>36324</v>
      </c>
      <c r="I165" s="110">
        <v>0</v>
      </c>
      <c r="J165" s="110">
        <v>0</v>
      </c>
      <c r="K165" s="110">
        <v>0</v>
      </c>
      <c r="L165" s="110">
        <v>0</v>
      </c>
      <c r="M165" s="110">
        <v>0</v>
      </c>
      <c r="N165" s="110">
        <v>0</v>
      </c>
      <c r="O165" s="110">
        <v>0</v>
      </c>
      <c r="P165" s="110">
        <v>0</v>
      </c>
      <c r="Q165" s="110">
        <v>0</v>
      </c>
      <c r="R165" s="110">
        <v>0</v>
      </c>
      <c r="S165" s="111">
        <v>0</v>
      </c>
      <c r="T165" s="111">
        <v>232.48400000000001</v>
      </c>
      <c r="U165" s="111">
        <v>80.534999999999997</v>
      </c>
      <c r="V165" s="56">
        <f t="shared" si="6"/>
        <v>313.01900000000001</v>
      </c>
    </row>
    <row r="166" spans="1:22" s="112" customFormat="1" ht="14.25" customHeight="1">
      <c r="A166" s="56">
        <f t="shared" si="7"/>
        <v>57</v>
      </c>
      <c r="B166" s="107" t="s">
        <v>493</v>
      </c>
      <c r="C166" s="108">
        <v>43983</v>
      </c>
      <c r="D166" s="107" t="s">
        <v>495</v>
      </c>
      <c r="E166" s="118" t="s">
        <v>498</v>
      </c>
      <c r="F166" s="111" t="s">
        <v>19</v>
      </c>
      <c r="G166" s="119" t="s">
        <v>17</v>
      </c>
      <c r="H166" s="110">
        <v>93000</v>
      </c>
      <c r="I166" s="110">
        <v>0</v>
      </c>
      <c r="J166" s="110">
        <v>0</v>
      </c>
      <c r="K166" s="110">
        <v>0</v>
      </c>
      <c r="L166" s="110">
        <v>0</v>
      </c>
      <c r="M166" s="110">
        <v>0</v>
      </c>
      <c r="N166" s="110">
        <v>0</v>
      </c>
      <c r="O166" s="110">
        <v>0</v>
      </c>
      <c r="P166" s="110">
        <v>0</v>
      </c>
      <c r="Q166" s="110">
        <v>0</v>
      </c>
      <c r="R166" s="110">
        <v>0</v>
      </c>
      <c r="S166" s="111">
        <v>10698</v>
      </c>
      <c r="T166" s="111">
        <v>40159.68477</v>
      </c>
      <c r="U166" s="111">
        <v>36019.557000000001</v>
      </c>
      <c r="V166" s="56">
        <f t="shared" si="6"/>
        <v>86877.241769999993</v>
      </c>
    </row>
    <row r="167" spans="1:22" s="112" customFormat="1" ht="14.25" customHeight="1">
      <c r="A167" s="56">
        <f t="shared" si="7"/>
        <v>58</v>
      </c>
      <c r="B167" s="107" t="s">
        <v>518</v>
      </c>
      <c r="C167" s="108">
        <v>44175</v>
      </c>
      <c r="D167" s="107" t="s">
        <v>548</v>
      </c>
      <c r="E167" s="118" t="s">
        <v>18</v>
      </c>
      <c r="F167" s="111" t="s">
        <v>298</v>
      </c>
      <c r="G167" s="119" t="s">
        <v>17</v>
      </c>
      <c r="H167" s="110">
        <v>50000</v>
      </c>
      <c r="I167" s="110">
        <v>0</v>
      </c>
      <c r="J167" s="110">
        <v>0</v>
      </c>
      <c r="K167" s="110">
        <v>0</v>
      </c>
      <c r="L167" s="110">
        <v>0</v>
      </c>
      <c r="M167" s="110">
        <v>0</v>
      </c>
      <c r="N167" s="110">
        <v>0</v>
      </c>
      <c r="O167" s="110">
        <v>0</v>
      </c>
      <c r="P167" s="110">
        <v>0</v>
      </c>
      <c r="Q167" s="110">
        <v>0</v>
      </c>
      <c r="R167" s="110">
        <v>0</v>
      </c>
      <c r="S167" s="111">
        <v>0</v>
      </c>
      <c r="T167" s="111">
        <v>50000</v>
      </c>
      <c r="U167" s="111">
        <v>0</v>
      </c>
      <c r="V167" s="56">
        <f t="shared" si="6"/>
        <v>50000</v>
      </c>
    </row>
    <row r="168" spans="1:22" s="112" customFormat="1" ht="14.25" customHeight="1">
      <c r="A168" s="56">
        <f t="shared" si="7"/>
        <v>59</v>
      </c>
      <c r="B168" s="107" t="s">
        <v>519</v>
      </c>
      <c r="C168" s="108">
        <v>44355</v>
      </c>
      <c r="D168" s="107" t="s">
        <v>549</v>
      </c>
      <c r="E168" s="118" t="s">
        <v>18</v>
      </c>
      <c r="F168" s="111" t="s">
        <v>298</v>
      </c>
      <c r="G168" s="119" t="s">
        <v>17</v>
      </c>
      <c r="H168" s="110">
        <v>750000</v>
      </c>
      <c r="I168" s="110">
        <v>0</v>
      </c>
      <c r="J168" s="110">
        <v>0</v>
      </c>
      <c r="K168" s="110">
        <v>0</v>
      </c>
      <c r="L168" s="110">
        <v>0</v>
      </c>
      <c r="M168" s="110">
        <v>0</v>
      </c>
      <c r="N168" s="110">
        <v>0</v>
      </c>
      <c r="O168" s="110">
        <v>0</v>
      </c>
      <c r="P168" s="110">
        <v>0</v>
      </c>
      <c r="Q168" s="110">
        <v>0</v>
      </c>
      <c r="R168" s="110">
        <v>0</v>
      </c>
      <c r="S168" s="111">
        <v>0</v>
      </c>
      <c r="T168" s="111">
        <v>750000</v>
      </c>
      <c r="U168" s="111">
        <v>0</v>
      </c>
      <c r="V168" s="56">
        <f t="shared" si="6"/>
        <v>750000</v>
      </c>
    </row>
    <row r="169" spans="1:22" s="112" customFormat="1" ht="14.25" customHeight="1">
      <c r="A169" s="56">
        <f t="shared" si="7"/>
        <v>60</v>
      </c>
      <c r="B169" s="107" t="s">
        <v>520</v>
      </c>
      <c r="C169" s="108">
        <v>44377</v>
      </c>
      <c r="D169" s="107" t="s">
        <v>550</v>
      </c>
      <c r="E169" s="118" t="s">
        <v>18</v>
      </c>
      <c r="F169" s="111" t="s">
        <v>298</v>
      </c>
      <c r="G169" s="119" t="s">
        <v>17</v>
      </c>
      <c r="H169" s="110">
        <v>350000</v>
      </c>
      <c r="I169" s="110">
        <v>0</v>
      </c>
      <c r="J169" s="110">
        <v>0</v>
      </c>
      <c r="K169" s="110">
        <v>0</v>
      </c>
      <c r="L169" s="110">
        <v>0</v>
      </c>
      <c r="M169" s="110">
        <v>0</v>
      </c>
      <c r="N169" s="110">
        <v>0</v>
      </c>
      <c r="O169" s="110">
        <v>0</v>
      </c>
      <c r="P169" s="110">
        <v>0</v>
      </c>
      <c r="Q169" s="110">
        <v>0</v>
      </c>
      <c r="R169" s="110">
        <v>0</v>
      </c>
      <c r="S169" s="111">
        <v>0</v>
      </c>
      <c r="T169" s="111">
        <v>350000</v>
      </c>
      <c r="U169" s="111">
        <v>0</v>
      </c>
      <c r="V169" s="56">
        <f t="shared" si="6"/>
        <v>350000</v>
      </c>
    </row>
    <row r="170" spans="1:22" s="112" customFormat="1" ht="14.25" customHeight="1">
      <c r="A170" s="56">
        <f t="shared" si="7"/>
        <v>61</v>
      </c>
      <c r="B170" s="107" t="s">
        <v>532</v>
      </c>
      <c r="C170" s="108">
        <v>44813</v>
      </c>
      <c r="D170" s="107" t="s">
        <v>547</v>
      </c>
      <c r="E170" s="118" t="s">
        <v>18</v>
      </c>
      <c r="F170" s="111" t="s">
        <v>298</v>
      </c>
      <c r="G170" s="119" t="s">
        <v>17</v>
      </c>
      <c r="H170" s="110">
        <v>500000</v>
      </c>
      <c r="I170" s="110">
        <v>0</v>
      </c>
      <c r="J170" s="110">
        <v>0</v>
      </c>
      <c r="K170" s="110">
        <v>0</v>
      </c>
      <c r="L170" s="110">
        <v>0</v>
      </c>
      <c r="M170" s="110">
        <v>0</v>
      </c>
      <c r="N170" s="110">
        <v>0</v>
      </c>
      <c r="O170" s="110">
        <v>0</v>
      </c>
      <c r="P170" s="110">
        <v>0</v>
      </c>
      <c r="Q170" s="110">
        <v>0</v>
      </c>
      <c r="R170" s="110">
        <v>0</v>
      </c>
      <c r="S170" s="111">
        <v>0</v>
      </c>
      <c r="T170" s="111">
        <v>0</v>
      </c>
      <c r="U170" s="111">
        <v>500000</v>
      </c>
      <c r="V170" s="56">
        <f t="shared" si="6"/>
        <v>500000</v>
      </c>
    </row>
    <row r="171" spans="1:22" s="112" customFormat="1" ht="14.25" customHeight="1">
      <c r="A171" s="128"/>
      <c r="B171" s="124"/>
      <c r="C171" s="125"/>
      <c r="D171" s="124"/>
      <c r="E171" s="136"/>
      <c r="F171" s="137"/>
      <c r="G171" s="13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37"/>
      <c r="T171" s="137"/>
      <c r="U171" s="137"/>
      <c r="V171" s="129"/>
    </row>
    <row r="172" spans="1:22" s="51" customFormat="1">
      <c r="A172" s="59"/>
      <c r="B172" s="59"/>
      <c r="C172" s="59"/>
      <c r="D172" s="59"/>
      <c r="E172" s="59"/>
      <c r="F172" s="59"/>
      <c r="G172" s="94"/>
      <c r="H172" s="59"/>
      <c r="I172" s="81"/>
      <c r="J172" s="81"/>
      <c r="K172" s="81"/>
      <c r="L172" s="82"/>
      <c r="M172" s="82"/>
      <c r="N172" s="81"/>
      <c r="O172" s="82"/>
      <c r="P172" s="82"/>
      <c r="Q172" s="82"/>
      <c r="R172" s="82"/>
      <c r="S172" s="82"/>
      <c r="T172" s="82"/>
      <c r="U172" s="82"/>
      <c r="V172" s="81"/>
    </row>
    <row r="173" spans="1:22" s="51" customFormat="1">
      <c r="A173" s="45" t="s">
        <v>45</v>
      </c>
      <c r="B173" s="46" t="s">
        <v>46</v>
      </c>
      <c r="C173" s="57"/>
      <c r="D173" s="47"/>
      <c r="E173" s="47"/>
      <c r="F173" s="47"/>
      <c r="G173" s="91"/>
      <c r="H173" s="60"/>
      <c r="I173" s="49">
        <f>SUM(I174:I192)</f>
        <v>308564.60021</v>
      </c>
      <c r="J173" s="49">
        <f t="shared" ref="J173:U173" si="8">SUM(J174:J192)</f>
        <v>390334.02</v>
      </c>
      <c r="K173" s="49">
        <f t="shared" si="8"/>
        <v>155941.63449999999</v>
      </c>
      <c r="L173" s="49">
        <f t="shared" si="8"/>
        <v>51798.397000000004</v>
      </c>
      <c r="M173" s="49">
        <f t="shared" si="8"/>
        <v>12106.007</v>
      </c>
      <c r="N173" s="49">
        <f t="shared" si="8"/>
        <v>129641.48493000001</v>
      </c>
      <c r="O173" s="49">
        <f t="shared" si="8"/>
        <v>218361.69224999999</v>
      </c>
      <c r="P173" s="49">
        <f t="shared" si="8"/>
        <v>89683.969590000008</v>
      </c>
      <c r="Q173" s="49">
        <f t="shared" si="8"/>
        <v>12232.928680000001</v>
      </c>
      <c r="R173" s="49">
        <f t="shared" si="8"/>
        <v>252026.37361000001</v>
      </c>
      <c r="S173" s="49">
        <f t="shared" si="8"/>
        <v>0</v>
      </c>
      <c r="T173" s="49">
        <f t="shared" si="8"/>
        <v>350000</v>
      </c>
      <c r="U173" s="49">
        <f t="shared" si="8"/>
        <v>117174.36</v>
      </c>
      <c r="V173" s="49">
        <f>SUM(V174:V191)</f>
        <v>2086948.76777</v>
      </c>
    </row>
    <row r="174" spans="1:22" s="50" customFormat="1" ht="14.25" customHeight="1">
      <c r="A174" s="52">
        <v>1</v>
      </c>
      <c r="B174" s="53" t="s">
        <v>2</v>
      </c>
      <c r="C174" s="54">
        <v>38491</v>
      </c>
      <c r="D174" s="53" t="s">
        <v>3</v>
      </c>
      <c r="E174" s="53" t="s">
        <v>336</v>
      </c>
      <c r="F174" s="53" t="s">
        <v>16</v>
      </c>
      <c r="G174" s="55" t="s">
        <v>17</v>
      </c>
      <c r="H174" s="56">
        <v>77000</v>
      </c>
      <c r="I174" s="56">
        <v>2000</v>
      </c>
      <c r="J174" s="56">
        <v>0</v>
      </c>
      <c r="K174" s="56">
        <v>0</v>
      </c>
      <c r="L174" s="17">
        <v>0</v>
      </c>
      <c r="M174" s="17">
        <v>0</v>
      </c>
      <c r="N174" s="56">
        <v>0</v>
      </c>
      <c r="O174" s="17">
        <v>0</v>
      </c>
      <c r="P174" s="56">
        <v>0</v>
      </c>
      <c r="Q174" s="56">
        <v>0</v>
      </c>
      <c r="R174" s="56">
        <v>0</v>
      </c>
      <c r="S174" s="56">
        <v>0</v>
      </c>
      <c r="T174" s="56">
        <v>0</v>
      </c>
      <c r="U174" s="56"/>
      <c r="V174" s="56">
        <f>SUM(I174:U174)</f>
        <v>2000</v>
      </c>
    </row>
    <row r="175" spans="1:22" s="50" customFormat="1" ht="14.25" customHeight="1">
      <c r="A175" s="52">
        <f>A174+1</f>
        <v>2</v>
      </c>
      <c r="B175" s="53" t="s">
        <v>141</v>
      </c>
      <c r="C175" s="54">
        <v>39017</v>
      </c>
      <c r="D175" s="53" t="s">
        <v>189</v>
      </c>
      <c r="E175" s="53" t="s">
        <v>142</v>
      </c>
      <c r="F175" s="53" t="s">
        <v>19</v>
      </c>
      <c r="G175" s="55" t="s">
        <v>17</v>
      </c>
      <c r="H175" s="56">
        <v>14890</v>
      </c>
      <c r="I175" s="56">
        <v>470.30891000000003</v>
      </c>
      <c r="J175" s="56">
        <v>0</v>
      </c>
      <c r="K175" s="56">
        <v>0</v>
      </c>
      <c r="L175" s="17">
        <v>0</v>
      </c>
      <c r="M175" s="17">
        <v>0</v>
      </c>
      <c r="N175" s="56">
        <v>0</v>
      </c>
      <c r="O175" s="17">
        <v>0</v>
      </c>
      <c r="P175" s="56">
        <v>0</v>
      </c>
      <c r="Q175" s="56">
        <v>0</v>
      </c>
      <c r="R175" s="56">
        <v>0</v>
      </c>
      <c r="S175" s="56">
        <v>0</v>
      </c>
      <c r="T175" s="56">
        <v>0</v>
      </c>
      <c r="U175" s="56"/>
      <c r="V175" s="56">
        <f t="shared" ref="V175:V192" si="9">SUM(I175:U175)</f>
        <v>470.30891000000003</v>
      </c>
    </row>
    <row r="176" spans="1:22" s="50" customFormat="1" ht="14.25" customHeight="1">
      <c r="A176" s="52">
        <f t="shared" ref="A176:A192" si="10">A175+1</f>
        <v>3</v>
      </c>
      <c r="B176" s="53" t="s">
        <v>83</v>
      </c>
      <c r="C176" s="54">
        <v>39150</v>
      </c>
      <c r="D176" s="53" t="s">
        <v>69</v>
      </c>
      <c r="E176" s="61" t="s">
        <v>88</v>
      </c>
      <c r="F176" s="61" t="s">
        <v>19</v>
      </c>
      <c r="G176" s="55" t="s">
        <v>17</v>
      </c>
      <c r="H176" s="56">
        <v>2692</v>
      </c>
      <c r="I176" s="56">
        <v>-128.8382</v>
      </c>
      <c r="J176" s="56">
        <v>0</v>
      </c>
      <c r="K176" s="56">
        <v>0</v>
      </c>
      <c r="L176" s="17">
        <v>0</v>
      </c>
      <c r="M176" s="17">
        <v>0</v>
      </c>
      <c r="N176" s="56">
        <v>0</v>
      </c>
      <c r="O176" s="17">
        <v>0</v>
      </c>
      <c r="P176" s="56">
        <v>0</v>
      </c>
      <c r="Q176" s="56">
        <v>0</v>
      </c>
      <c r="R176" s="56">
        <v>0</v>
      </c>
      <c r="S176" s="56">
        <v>0</v>
      </c>
      <c r="T176" s="56">
        <v>0</v>
      </c>
      <c r="U176" s="56"/>
      <c r="V176" s="56">
        <f t="shared" si="9"/>
        <v>-128.8382</v>
      </c>
    </row>
    <row r="177" spans="1:22" s="50" customFormat="1" ht="14.25" customHeight="1">
      <c r="A177" s="52">
        <f t="shared" si="10"/>
        <v>4</v>
      </c>
      <c r="B177" s="53" t="s">
        <v>84</v>
      </c>
      <c r="C177" s="54">
        <v>39822</v>
      </c>
      <c r="D177" s="53" t="s">
        <v>70</v>
      </c>
      <c r="E177" s="61" t="s">
        <v>89</v>
      </c>
      <c r="F177" s="61" t="s">
        <v>19</v>
      </c>
      <c r="G177" s="55" t="s">
        <v>17</v>
      </c>
      <c r="H177" s="56">
        <v>300000</v>
      </c>
      <c r="I177" s="56">
        <v>37510</v>
      </c>
      <c r="J177" s="56">
        <v>370</v>
      </c>
      <c r="K177" s="56">
        <v>1968.039</v>
      </c>
      <c r="L177" s="17">
        <v>0</v>
      </c>
      <c r="M177" s="17">
        <v>0</v>
      </c>
      <c r="N177" s="56">
        <v>0</v>
      </c>
      <c r="O177" s="17">
        <v>0</v>
      </c>
      <c r="P177" s="56">
        <v>0</v>
      </c>
      <c r="Q177" s="56">
        <v>0</v>
      </c>
      <c r="R177" s="56">
        <v>0</v>
      </c>
      <c r="S177" s="56">
        <v>0</v>
      </c>
      <c r="T177" s="56">
        <v>0</v>
      </c>
      <c r="U177" s="56"/>
      <c r="V177" s="56">
        <f t="shared" si="9"/>
        <v>39848.038999999997</v>
      </c>
    </row>
    <row r="178" spans="1:22" s="50" customFormat="1" ht="14.25" customHeight="1">
      <c r="A178" s="52">
        <f t="shared" si="10"/>
        <v>5</v>
      </c>
      <c r="B178" s="53" t="s">
        <v>185</v>
      </c>
      <c r="C178" s="54">
        <v>40261</v>
      </c>
      <c r="D178" s="53" t="s">
        <v>433</v>
      </c>
      <c r="E178" s="61" t="s">
        <v>186</v>
      </c>
      <c r="F178" s="61" t="s">
        <v>19</v>
      </c>
      <c r="G178" s="55" t="s">
        <v>17</v>
      </c>
      <c r="H178" s="56">
        <v>300000</v>
      </c>
      <c r="I178" s="56">
        <v>215852.345</v>
      </c>
      <c r="J178" s="56">
        <v>81000</v>
      </c>
      <c r="K178" s="56">
        <v>0</v>
      </c>
      <c r="L178" s="17">
        <v>2919.4569999999999</v>
      </c>
      <c r="M178" s="17">
        <v>0</v>
      </c>
      <c r="N178" s="56">
        <v>0</v>
      </c>
      <c r="O178" s="17">
        <v>0</v>
      </c>
      <c r="P178" s="56">
        <v>0</v>
      </c>
      <c r="Q178" s="56">
        <v>0</v>
      </c>
      <c r="R178" s="56">
        <v>0</v>
      </c>
      <c r="S178" s="56">
        <v>0</v>
      </c>
      <c r="T178" s="56">
        <v>0</v>
      </c>
      <c r="U178" s="56"/>
      <c r="V178" s="56">
        <f t="shared" si="9"/>
        <v>299771.80199999997</v>
      </c>
    </row>
    <row r="179" spans="1:22" s="50" customFormat="1" ht="14.25" customHeight="1">
      <c r="A179" s="52">
        <f t="shared" si="10"/>
        <v>6</v>
      </c>
      <c r="B179" s="53" t="s">
        <v>187</v>
      </c>
      <c r="C179" s="54">
        <v>40396</v>
      </c>
      <c r="D179" s="53" t="s">
        <v>188</v>
      </c>
      <c r="E179" s="61" t="s">
        <v>41</v>
      </c>
      <c r="F179" s="61" t="s">
        <v>24</v>
      </c>
      <c r="G179" s="55" t="s">
        <v>17</v>
      </c>
      <c r="H179" s="56">
        <v>77000</v>
      </c>
      <c r="I179" s="56">
        <v>52860.784500000002</v>
      </c>
      <c r="J179" s="56">
        <v>16211.01</v>
      </c>
      <c r="K179" s="56">
        <v>7928.2055</v>
      </c>
      <c r="L179" s="17">
        <v>0</v>
      </c>
      <c r="M179" s="17">
        <v>0</v>
      </c>
      <c r="N179" s="56">
        <v>0</v>
      </c>
      <c r="O179" s="17">
        <v>0</v>
      </c>
      <c r="P179" s="56">
        <v>0</v>
      </c>
      <c r="Q179" s="56">
        <v>0</v>
      </c>
      <c r="R179" s="56">
        <v>0</v>
      </c>
      <c r="S179" s="56">
        <v>0</v>
      </c>
      <c r="T179" s="56">
        <v>0</v>
      </c>
      <c r="U179" s="56"/>
      <c r="V179" s="56">
        <f t="shared" si="9"/>
        <v>77000</v>
      </c>
    </row>
    <row r="180" spans="1:22" s="50" customFormat="1" ht="14.25" customHeight="1">
      <c r="A180" s="52">
        <f t="shared" si="10"/>
        <v>7</v>
      </c>
      <c r="B180" s="53" t="s">
        <v>231</v>
      </c>
      <c r="C180" s="54">
        <v>40513</v>
      </c>
      <c r="D180" s="53" t="s">
        <v>233</v>
      </c>
      <c r="E180" s="61" t="s">
        <v>89</v>
      </c>
      <c r="F180" s="61" t="s">
        <v>19</v>
      </c>
      <c r="G180" s="55" t="s">
        <v>17</v>
      </c>
      <c r="H180" s="56">
        <v>200000</v>
      </c>
      <c r="I180" s="56">
        <v>0</v>
      </c>
      <c r="J180" s="56">
        <v>183836.61</v>
      </c>
      <c r="K180" s="56">
        <v>16163.39</v>
      </c>
      <c r="L180" s="17">
        <v>0</v>
      </c>
      <c r="M180" s="17">
        <v>0</v>
      </c>
      <c r="N180" s="56">
        <v>0</v>
      </c>
      <c r="O180" s="17">
        <v>0</v>
      </c>
      <c r="P180" s="56">
        <v>0</v>
      </c>
      <c r="Q180" s="56">
        <v>0</v>
      </c>
      <c r="R180" s="56">
        <v>0</v>
      </c>
      <c r="S180" s="56">
        <v>0</v>
      </c>
      <c r="T180" s="56">
        <v>0</v>
      </c>
      <c r="U180" s="56"/>
      <c r="V180" s="56">
        <f t="shared" si="9"/>
        <v>200000</v>
      </c>
    </row>
    <row r="181" spans="1:22" s="50" customFormat="1" ht="14.25" customHeight="1">
      <c r="A181" s="52">
        <f t="shared" si="10"/>
        <v>8</v>
      </c>
      <c r="B181" s="53" t="s">
        <v>232</v>
      </c>
      <c r="C181" s="54">
        <v>40730</v>
      </c>
      <c r="D181" s="53" t="s">
        <v>234</v>
      </c>
      <c r="E181" s="61" t="s">
        <v>186</v>
      </c>
      <c r="F181" s="61" t="s">
        <v>19</v>
      </c>
      <c r="G181" s="55" t="s">
        <v>17</v>
      </c>
      <c r="H181" s="56">
        <v>300000</v>
      </c>
      <c r="I181" s="56">
        <v>0</v>
      </c>
      <c r="J181" s="56">
        <v>108916.4</v>
      </c>
      <c r="K181" s="56">
        <v>129882</v>
      </c>
      <c r="L181" s="17">
        <v>48878.94</v>
      </c>
      <c r="M181" s="17">
        <v>12106.007</v>
      </c>
      <c r="N181" s="56">
        <v>216.65299999999999</v>
      </c>
      <c r="O181" s="17">
        <v>0</v>
      </c>
      <c r="P181" s="56">
        <v>0</v>
      </c>
      <c r="Q181" s="56">
        <v>0</v>
      </c>
      <c r="R181" s="56">
        <v>0</v>
      </c>
      <c r="S181" s="56">
        <v>0</v>
      </c>
      <c r="T181" s="56">
        <v>0</v>
      </c>
      <c r="U181" s="56"/>
      <c r="V181" s="56">
        <f t="shared" si="9"/>
        <v>299999.99999999994</v>
      </c>
    </row>
    <row r="182" spans="1:22" s="50" customFormat="1" ht="14.25" customHeight="1">
      <c r="A182" s="52">
        <f t="shared" si="10"/>
        <v>9</v>
      </c>
      <c r="B182" s="53" t="s">
        <v>334</v>
      </c>
      <c r="C182" s="54">
        <v>40582</v>
      </c>
      <c r="D182" s="53" t="s">
        <v>409</v>
      </c>
      <c r="E182" s="53" t="s">
        <v>335</v>
      </c>
      <c r="F182" s="53" t="s">
        <v>16</v>
      </c>
      <c r="G182" s="55" t="s">
        <v>17</v>
      </c>
      <c r="H182" s="56">
        <v>150000</v>
      </c>
      <c r="I182" s="56">
        <v>0</v>
      </c>
      <c r="J182" s="56">
        <v>0</v>
      </c>
      <c r="K182" s="56">
        <v>0</v>
      </c>
      <c r="L182" s="17">
        <v>0</v>
      </c>
      <c r="M182" s="17">
        <v>0</v>
      </c>
      <c r="N182" s="56">
        <v>29162.61145</v>
      </c>
      <c r="O182" s="17">
        <v>0</v>
      </c>
      <c r="P182" s="56">
        <v>22842.74829</v>
      </c>
      <c r="Q182" s="56">
        <v>0</v>
      </c>
      <c r="R182" s="56">
        <v>0</v>
      </c>
      <c r="S182" s="56">
        <v>0</v>
      </c>
      <c r="T182" s="56">
        <v>0</v>
      </c>
      <c r="U182" s="56"/>
      <c r="V182" s="56">
        <f t="shared" si="9"/>
        <v>52005.35974</v>
      </c>
    </row>
    <row r="183" spans="1:22" s="50" customFormat="1" ht="14.25" customHeight="1">
      <c r="A183" s="52">
        <f t="shared" si="10"/>
        <v>10</v>
      </c>
      <c r="B183" s="53" t="s">
        <v>337</v>
      </c>
      <c r="C183" s="54">
        <v>41551</v>
      </c>
      <c r="D183" s="53" t="s">
        <v>338</v>
      </c>
      <c r="E183" s="53" t="s">
        <v>25</v>
      </c>
      <c r="F183" s="53" t="s">
        <v>16</v>
      </c>
      <c r="G183" s="55" t="s">
        <v>17</v>
      </c>
      <c r="H183" s="56">
        <v>20000</v>
      </c>
      <c r="I183" s="56">
        <v>0</v>
      </c>
      <c r="J183" s="56">
        <v>0</v>
      </c>
      <c r="K183" s="56">
        <v>0</v>
      </c>
      <c r="L183" s="17">
        <v>0</v>
      </c>
      <c r="M183" s="17">
        <v>0</v>
      </c>
      <c r="N183" s="56">
        <v>2795.42769</v>
      </c>
      <c r="O183" s="17">
        <v>0</v>
      </c>
      <c r="P183" s="56">
        <v>6255.99</v>
      </c>
      <c r="Q183" s="56">
        <v>7922.2087000000001</v>
      </c>
      <c r="R183" s="56">
        <v>2026.3736100000001</v>
      </c>
      <c r="S183" s="56">
        <v>0</v>
      </c>
      <c r="T183" s="56">
        <v>0</v>
      </c>
      <c r="U183" s="56"/>
      <c r="V183" s="56">
        <f t="shared" si="9"/>
        <v>19000</v>
      </c>
    </row>
    <row r="184" spans="1:22" s="50" customFormat="1" ht="14.25" customHeight="1">
      <c r="A184" s="52">
        <f t="shared" si="10"/>
        <v>11</v>
      </c>
      <c r="B184" s="53" t="s">
        <v>339</v>
      </c>
      <c r="C184" s="54">
        <v>41611</v>
      </c>
      <c r="D184" s="53" t="s">
        <v>434</v>
      </c>
      <c r="E184" s="53" t="s">
        <v>283</v>
      </c>
      <c r="F184" s="53" t="s">
        <v>277</v>
      </c>
      <c r="G184" s="55" t="s">
        <v>17</v>
      </c>
      <c r="H184" s="56">
        <v>16000</v>
      </c>
      <c r="I184" s="56">
        <v>0</v>
      </c>
      <c r="J184" s="56">
        <v>0</v>
      </c>
      <c r="K184" s="56">
        <v>0</v>
      </c>
      <c r="L184" s="17">
        <v>0</v>
      </c>
      <c r="M184" s="17">
        <v>0</v>
      </c>
      <c r="N184" s="56">
        <v>190</v>
      </c>
      <c r="O184" s="17">
        <v>4542.98992</v>
      </c>
      <c r="P184" s="56">
        <v>7745.7010799999998</v>
      </c>
      <c r="Q184" s="56">
        <v>3521.3089799999998</v>
      </c>
      <c r="R184" s="56">
        <v>0</v>
      </c>
      <c r="S184" s="56">
        <v>0</v>
      </c>
      <c r="T184" s="56">
        <v>0</v>
      </c>
      <c r="U184" s="56"/>
      <c r="V184" s="56">
        <f t="shared" si="9"/>
        <v>15999.999979999999</v>
      </c>
    </row>
    <row r="185" spans="1:22" s="50" customFormat="1" ht="14.25" customHeight="1">
      <c r="A185" s="52">
        <f t="shared" si="10"/>
        <v>12</v>
      </c>
      <c r="B185" s="53" t="s">
        <v>340</v>
      </c>
      <c r="C185" s="54">
        <v>41738</v>
      </c>
      <c r="D185" s="53" t="s">
        <v>341</v>
      </c>
      <c r="E185" s="53" t="s">
        <v>342</v>
      </c>
      <c r="F185" s="53" t="s">
        <v>16</v>
      </c>
      <c r="G185" s="55" t="s">
        <v>17</v>
      </c>
      <c r="H185" s="56">
        <v>150000</v>
      </c>
      <c r="I185" s="56">
        <v>0</v>
      </c>
      <c r="J185" s="56">
        <v>0</v>
      </c>
      <c r="K185" s="56">
        <v>0</v>
      </c>
      <c r="L185" s="17">
        <v>0</v>
      </c>
      <c r="M185" s="17">
        <v>0</v>
      </c>
      <c r="N185" s="56">
        <v>97276.792790000007</v>
      </c>
      <c r="O185" s="17">
        <v>52723.20721</v>
      </c>
      <c r="P185" s="56">
        <v>0</v>
      </c>
      <c r="Q185" s="56">
        <v>0</v>
      </c>
      <c r="R185" s="56">
        <v>0</v>
      </c>
      <c r="S185" s="56">
        <v>0</v>
      </c>
      <c r="T185" s="56">
        <v>0</v>
      </c>
      <c r="U185" s="56"/>
      <c r="V185" s="56">
        <f t="shared" si="9"/>
        <v>150000</v>
      </c>
    </row>
    <row r="186" spans="1:22" s="50" customFormat="1" ht="14.25" customHeight="1">
      <c r="A186" s="52">
        <f t="shared" si="10"/>
        <v>13</v>
      </c>
      <c r="B186" s="53" t="s">
        <v>366</v>
      </c>
      <c r="C186" s="54">
        <v>42208</v>
      </c>
      <c r="D186" s="53" t="s">
        <v>356</v>
      </c>
      <c r="E186" s="61" t="s">
        <v>186</v>
      </c>
      <c r="F186" s="61" t="s">
        <v>19</v>
      </c>
      <c r="G186" s="55" t="s">
        <v>17</v>
      </c>
      <c r="H186" s="56">
        <v>150000</v>
      </c>
      <c r="I186" s="56">
        <v>0</v>
      </c>
      <c r="J186" s="56">
        <v>0</v>
      </c>
      <c r="K186" s="56">
        <v>0</v>
      </c>
      <c r="L186" s="17">
        <v>0</v>
      </c>
      <c r="M186" s="17">
        <v>0</v>
      </c>
      <c r="N186" s="56">
        <v>0</v>
      </c>
      <c r="O186" s="17">
        <v>122142.273</v>
      </c>
      <c r="P186" s="56">
        <v>15000</v>
      </c>
      <c r="Q186" s="56">
        <v>0</v>
      </c>
      <c r="R186" s="56">
        <v>0</v>
      </c>
      <c r="S186" s="56">
        <v>0</v>
      </c>
      <c r="T186" s="56">
        <v>0</v>
      </c>
      <c r="U186" s="56"/>
      <c r="V186" s="56">
        <f t="shared" si="9"/>
        <v>137142.27299999999</v>
      </c>
    </row>
    <row r="187" spans="1:22" s="50" customFormat="1" ht="14.25" customHeight="1">
      <c r="A187" s="52">
        <f t="shared" si="10"/>
        <v>14</v>
      </c>
      <c r="B187" s="53" t="s">
        <v>367</v>
      </c>
      <c r="C187" s="54">
        <v>42572</v>
      </c>
      <c r="D187" s="53" t="s">
        <v>341</v>
      </c>
      <c r="E187" s="53" t="s">
        <v>342</v>
      </c>
      <c r="F187" s="53" t="s">
        <v>16</v>
      </c>
      <c r="G187" s="55" t="s">
        <v>17</v>
      </c>
      <c r="H187" s="56">
        <v>153813.11199999999</v>
      </c>
      <c r="I187" s="56">
        <v>0</v>
      </c>
      <c r="J187" s="56">
        <v>0</v>
      </c>
      <c r="K187" s="56">
        <v>0</v>
      </c>
      <c r="L187" s="17">
        <v>0</v>
      </c>
      <c r="M187" s="17">
        <v>0</v>
      </c>
      <c r="N187" s="56">
        <v>0</v>
      </c>
      <c r="O187" s="17">
        <v>38953.222119999999</v>
      </c>
      <c r="P187" s="56">
        <v>6457.44445</v>
      </c>
      <c r="Q187" s="56">
        <v>789.41099999999994</v>
      </c>
      <c r="R187" s="56">
        <v>0</v>
      </c>
      <c r="S187" s="56">
        <v>0</v>
      </c>
      <c r="T187" s="56">
        <v>0</v>
      </c>
      <c r="U187" s="56"/>
      <c r="V187" s="56">
        <f t="shared" si="9"/>
        <v>46200.077570000001</v>
      </c>
    </row>
    <row r="188" spans="1:22" s="50" customFormat="1" ht="14.25" customHeight="1">
      <c r="A188" s="52">
        <f t="shared" si="10"/>
        <v>15</v>
      </c>
      <c r="B188" s="53" t="s">
        <v>386</v>
      </c>
      <c r="C188" s="54">
        <v>42734</v>
      </c>
      <c r="D188" s="53" t="s">
        <v>387</v>
      </c>
      <c r="E188" s="53" t="s">
        <v>388</v>
      </c>
      <c r="F188" s="53" t="s">
        <v>16</v>
      </c>
      <c r="G188" s="55" t="s">
        <v>17</v>
      </c>
      <c r="H188" s="56">
        <v>80804.249960000001</v>
      </c>
      <c r="I188" s="56">
        <v>0</v>
      </c>
      <c r="J188" s="56">
        <v>0</v>
      </c>
      <c r="K188" s="56">
        <v>0</v>
      </c>
      <c r="L188" s="17">
        <v>0</v>
      </c>
      <c r="M188" s="17">
        <v>0</v>
      </c>
      <c r="N188" s="56">
        <v>0</v>
      </c>
      <c r="O188" s="17">
        <v>0</v>
      </c>
      <c r="P188" s="56">
        <v>31382.085770000002</v>
      </c>
      <c r="Q188" s="56">
        <v>0</v>
      </c>
      <c r="R188" s="56">
        <v>0</v>
      </c>
      <c r="S188" s="56">
        <v>0</v>
      </c>
      <c r="T188" s="56">
        <v>0</v>
      </c>
      <c r="U188" s="56">
        <v>49422.163999999997</v>
      </c>
      <c r="V188" s="56">
        <f t="shared" si="9"/>
        <v>80804.249769999995</v>
      </c>
    </row>
    <row r="189" spans="1:22" s="50" customFormat="1" ht="14.25" customHeight="1">
      <c r="A189" s="52">
        <f t="shared" si="10"/>
        <v>16</v>
      </c>
      <c r="B189" s="53" t="s">
        <v>470</v>
      </c>
      <c r="C189" s="54">
        <v>43490</v>
      </c>
      <c r="D189" s="53" t="s">
        <v>472</v>
      </c>
      <c r="E189" s="42" t="s">
        <v>18</v>
      </c>
      <c r="F189" s="53" t="s">
        <v>298</v>
      </c>
      <c r="G189" s="55" t="s">
        <v>17</v>
      </c>
      <c r="H189" s="56">
        <v>250000</v>
      </c>
      <c r="I189" s="56">
        <v>0</v>
      </c>
      <c r="J189" s="56">
        <v>0</v>
      </c>
      <c r="K189" s="56">
        <v>0</v>
      </c>
      <c r="L189" s="17">
        <v>0</v>
      </c>
      <c r="M189" s="17">
        <v>0</v>
      </c>
      <c r="N189" s="56">
        <v>0</v>
      </c>
      <c r="O189" s="17">
        <v>0</v>
      </c>
      <c r="P189" s="56">
        <v>0</v>
      </c>
      <c r="Q189" s="56">
        <v>0</v>
      </c>
      <c r="R189" s="56">
        <v>250000</v>
      </c>
      <c r="S189" s="56">
        <v>0</v>
      </c>
      <c r="T189" s="56">
        <v>0</v>
      </c>
      <c r="U189" s="56"/>
      <c r="V189" s="56">
        <f t="shared" si="9"/>
        <v>250000</v>
      </c>
    </row>
    <row r="190" spans="1:22" s="50" customFormat="1" ht="14.25" customHeight="1">
      <c r="A190" s="52">
        <f t="shared" si="10"/>
        <v>17</v>
      </c>
      <c r="B190" s="53" t="s">
        <v>529</v>
      </c>
      <c r="C190" s="54">
        <v>44334</v>
      </c>
      <c r="D190" s="53" t="s">
        <v>553</v>
      </c>
      <c r="E190" s="42" t="s">
        <v>525</v>
      </c>
      <c r="F190" s="53" t="s">
        <v>19</v>
      </c>
      <c r="G190" s="55" t="s">
        <v>17</v>
      </c>
      <c r="H190" s="56">
        <v>233315.826</v>
      </c>
      <c r="I190" s="56">
        <v>0</v>
      </c>
      <c r="J190" s="56">
        <v>0</v>
      </c>
      <c r="K190" s="56">
        <v>0</v>
      </c>
      <c r="L190" s="17">
        <v>0</v>
      </c>
      <c r="M190" s="17">
        <v>0</v>
      </c>
      <c r="N190" s="56">
        <v>0</v>
      </c>
      <c r="O190" s="17">
        <v>0</v>
      </c>
      <c r="P190" s="56">
        <v>0</v>
      </c>
      <c r="Q190" s="56">
        <v>0</v>
      </c>
      <c r="R190" s="56">
        <v>0</v>
      </c>
      <c r="S190" s="56">
        <v>0</v>
      </c>
      <c r="T190" s="56">
        <v>0</v>
      </c>
      <c r="U190" s="56">
        <v>66835.495999999999</v>
      </c>
      <c r="V190" s="56">
        <f t="shared" si="9"/>
        <v>66835.495999999999</v>
      </c>
    </row>
    <row r="191" spans="1:22" s="50" customFormat="1" ht="14.25" customHeight="1">
      <c r="A191" s="52">
        <f t="shared" si="10"/>
        <v>18</v>
      </c>
      <c r="B191" s="53" t="s">
        <v>515</v>
      </c>
      <c r="C191" s="54">
        <v>44350</v>
      </c>
      <c r="D191" s="53" t="s">
        <v>555</v>
      </c>
      <c r="E191" s="42" t="s">
        <v>18</v>
      </c>
      <c r="F191" s="53" t="s">
        <v>298</v>
      </c>
      <c r="G191" s="55" t="s">
        <v>17</v>
      </c>
      <c r="H191" s="56">
        <v>350000</v>
      </c>
      <c r="I191" s="56">
        <v>0</v>
      </c>
      <c r="J191" s="56">
        <v>0</v>
      </c>
      <c r="K191" s="56">
        <v>0</v>
      </c>
      <c r="L191" s="17">
        <v>0</v>
      </c>
      <c r="M191" s="17">
        <v>0</v>
      </c>
      <c r="N191" s="56">
        <v>0</v>
      </c>
      <c r="O191" s="17">
        <v>0</v>
      </c>
      <c r="P191" s="56">
        <v>0</v>
      </c>
      <c r="Q191" s="56">
        <v>0</v>
      </c>
      <c r="R191" s="56">
        <v>0</v>
      </c>
      <c r="S191" s="56">
        <v>0</v>
      </c>
      <c r="T191" s="56">
        <v>350000</v>
      </c>
      <c r="U191" s="56"/>
      <c r="V191" s="56">
        <f t="shared" si="9"/>
        <v>350000</v>
      </c>
    </row>
    <row r="192" spans="1:22" s="50" customFormat="1" ht="14.25" customHeight="1">
      <c r="A192" s="52">
        <f t="shared" si="10"/>
        <v>19</v>
      </c>
      <c r="B192" s="53" t="s">
        <v>530</v>
      </c>
      <c r="C192" s="54">
        <v>44649</v>
      </c>
      <c r="D192" s="53" t="s">
        <v>554</v>
      </c>
      <c r="E192" s="42" t="s">
        <v>41</v>
      </c>
      <c r="F192" s="53" t="s">
        <v>24</v>
      </c>
      <c r="G192" s="55" t="s">
        <v>17</v>
      </c>
      <c r="H192" s="56">
        <v>51500</v>
      </c>
      <c r="I192" s="56">
        <v>0</v>
      </c>
      <c r="J192" s="56">
        <v>0</v>
      </c>
      <c r="K192" s="56">
        <v>0</v>
      </c>
      <c r="L192" s="17">
        <v>0</v>
      </c>
      <c r="M192" s="17">
        <v>0</v>
      </c>
      <c r="N192" s="56">
        <v>0</v>
      </c>
      <c r="O192" s="17">
        <v>0</v>
      </c>
      <c r="P192" s="56">
        <v>0</v>
      </c>
      <c r="Q192" s="56">
        <v>0</v>
      </c>
      <c r="R192" s="56">
        <v>0</v>
      </c>
      <c r="S192" s="56">
        <v>0</v>
      </c>
      <c r="T192" s="56">
        <v>0</v>
      </c>
      <c r="U192" s="56">
        <v>916.7</v>
      </c>
      <c r="V192" s="56">
        <f t="shared" si="9"/>
        <v>916.7</v>
      </c>
    </row>
    <row r="193" spans="1:22" s="50" customFormat="1" ht="14.25" customHeight="1">
      <c r="A193" s="130"/>
      <c r="B193" s="131"/>
      <c r="C193" s="132"/>
      <c r="D193" s="131"/>
      <c r="E193" s="133"/>
      <c r="F193" s="131"/>
      <c r="G193" s="134"/>
      <c r="H193" s="129"/>
      <c r="I193" s="129"/>
      <c r="J193" s="129"/>
      <c r="K193" s="129"/>
      <c r="L193" s="135"/>
      <c r="M193" s="135"/>
      <c r="N193" s="129"/>
      <c r="O193" s="135"/>
      <c r="P193" s="129"/>
      <c r="Q193" s="129"/>
      <c r="R193" s="129"/>
      <c r="S193" s="129"/>
      <c r="T193" s="129"/>
      <c r="U193" s="129"/>
      <c r="V193" s="129"/>
    </row>
    <row r="194" spans="1:22" s="51" customFormat="1">
      <c r="A194" s="59"/>
      <c r="B194" s="59"/>
      <c r="C194" s="59"/>
      <c r="D194" s="59"/>
      <c r="E194" s="59"/>
      <c r="F194" s="59"/>
      <c r="G194" s="94"/>
      <c r="H194" s="59"/>
      <c r="I194" s="81"/>
      <c r="J194" s="81"/>
      <c r="K194" s="81"/>
      <c r="L194" s="82"/>
      <c r="M194" s="82"/>
      <c r="N194" s="81"/>
      <c r="O194" s="82"/>
      <c r="P194" s="82"/>
      <c r="Q194" s="82"/>
      <c r="R194" s="82"/>
      <c r="S194" s="82"/>
      <c r="T194" s="82"/>
      <c r="U194" s="82"/>
      <c r="V194" s="81"/>
    </row>
    <row r="195" spans="1:22" s="51" customFormat="1" ht="12" customHeight="1">
      <c r="A195" s="45" t="s">
        <v>47</v>
      </c>
      <c r="B195" s="46" t="s">
        <v>48</v>
      </c>
      <c r="C195" s="57"/>
      <c r="D195" s="47"/>
      <c r="E195" s="47"/>
      <c r="F195" s="47"/>
      <c r="G195" s="91"/>
      <c r="H195" s="60"/>
      <c r="I195" s="49">
        <f>SUM(I196:I201)</f>
        <v>4167.2604700000002</v>
      </c>
      <c r="J195" s="49">
        <f t="shared" ref="J195:U195" si="11">SUM(J196:J201)</f>
        <v>3958.4849400000003</v>
      </c>
      <c r="K195" s="49">
        <f t="shared" si="11"/>
        <v>6158.6797999999999</v>
      </c>
      <c r="L195" s="49">
        <f t="shared" si="11"/>
        <v>4107.6647400000002</v>
      </c>
      <c r="M195" s="49">
        <f t="shared" si="11"/>
        <v>3623.5475800000004</v>
      </c>
      <c r="N195" s="49">
        <f t="shared" si="11"/>
        <v>8965.3668099999995</v>
      </c>
      <c r="O195" s="49">
        <f t="shared" si="11"/>
        <v>5895.0258400000002</v>
      </c>
      <c r="P195" s="49">
        <f t="shared" si="11"/>
        <v>3502.3188399999999</v>
      </c>
      <c r="Q195" s="49">
        <f t="shared" si="11"/>
        <v>8024.6952700000002</v>
      </c>
      <c r="R195" s="49">
        <f t="shared" si="11"/>
        <v>9516.0227300000006</v>
      </c>
      <c r="S195" s="49">
        <f t="shared" si="11"/>
        <v>7867</v>
      </c>
      <c r="T195" s="49">
        <f t="shared" si="11"/>
        <v>4666.7334099999998</v>
      </c>
      <c r="U195" s="49">
        <f t="shared" si="11"/>
        <v>2756.2855800000002</v>
      </c>
      <c r="V195" s="49">
        <f>SUM(V196:V201)</f>
        <v>73209.086009999999</v>
      </c>
    </row>
    <row r="196" spans="1:22" s="50" customFormat="1" ht="14.25" customHeight="1">
      <c r="A196" s="52">
        <v>1</v>
      </c>
      <c r="B196" s="53" t="s">
        <v>116</v>
      </c>
      <c r="C196" s="54">
        <v>38271</v>
      </c>
      <c r="D196" s="53" t="s">
        <v>417</v>
      </c>
      <c r="E196" s="53" t="s">
        <v>21</v>
      </c>
      <c r="F196" s="53" t="s">
        <v>22</v>
      </c>
      <c r="G196" s="55" t="s">
        <v>49</v>
      </c>
      <c r="H196" s="56">
        <v>12100</v>
      </c>
      <c r="I196" s="56">
        <v>2673.7911899999999</v>
      </c>
      <c r="J196" s="56">
        <v>1272.0377900000001</v>
      </c>
      <c r="K196" s="56">
        <v>-28.09159</v>
      </c>
      <c r="L196" s="17">
        <v>0</v>
      </c>
      <c r="M196" s="17">
        <v>0</v>
      </c>
      <c r="N196" s="56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/>
      <c r="U196" s="17"/>
      <c r="V196" s="56">
        <f>SUM(I196:U196)</f>
        <v>3917.7373900000002</v>
      </c>
    </row>
    <row r="197" spans="1:22" s="50" customFormat="1" ht="14.25" customHeight="1">
      <c r="A197" s="52">
        <f>+A196+1</f>
        <v>2</v>
      </c>
      <c r="B197" s="53" t="s">
        <v>85</v>
      </c>
      <c r="C197" s="54">
        <v>39867</v>
      </c>
      <c r="D197" s="53" t="s">
        <v>418</v>
      </c>
      <c r="E197" s="53" t="s">
        <v>98</v>
      </c>
      <c r="F197" s="53" t="s">
        <v>16</v>
      </c>
      <c r="G197" s="55" t="s">
        <v>49</v>
      </c>
      <c r="H197" s="56">
        <v>9300</v>
      </c>
      <c r="I197" s="56">
        <v>1493.46928</v>
      </c>
      <c r="J197" s="56">
        <v>1886.44715</v>
      </c>
      <c r="K197" s="56">
        <v>3094.3130100000003</v>
      </c>
      <c r="L197" s="17">
        <v>1608.14228</v>
      </c>
      <c r="M197" s="17">
        <v>1822.1454600000002</v>
      </c>
      <c r="N197" s="56">
        <v>1902.7102599999998</v>
      </c>
      <c r="O197" s="17">
        <v>-15.77764</v>
      </c>
      <c r="P197" s="17">
        <v>0</v>
      </c>
      <c r="Q197" s="17">
        <v>0</v>
      </c>
      <c r="R197" s="17">
        <v>0</v>
      </c>
      <c r="S197" s="17">
        <v>0</v>
      </c>
      <c r="T197" s="17"/>
      <c r="U197" s="17"/>
      <c r="V197" s="56">
        <f t="shared" ref="V197:V201" si="12">SUM(I197:U197)</f>
        <v>11791.4498</v>
      </c>
    </row>
    <row r="198" spans="1:22" s="50" customFormat="1" ht="14.25" customHeight="1">
      <c r="A198" s="52">
        <f>+A197+1</f>
        <v>3</v>
      </c>
      <c r="B198" s="53" t="s">
        <v>235</v>
      </c>
      <c r="C198" s="54">
        <v>40427</v>
      </c>
      <c r="D198" s="53" t="s">
        <v>236</v>
      </c>
      <c r="E198" s="53" t="s">
        <v>237</v>
      </c>
      <c r="F198" s="53" t="s">
        <v>16</v>
      </c>
      <c r="G198" s="55" t="s">
        <v>49</v>
      </c>
      <c r="H198" s="56">
        <v>5200</v>
      </c>
      <c r="I198" s="56">
        <v>0</v>
      </c>
      <c r="J198" s="56">
        <v>800</v>
      </c>
      <c r="K198" s="56">
        <v>3092.45838</v>
      </c>
      <c r="L198" s="17">
        <v>2499.5224599999997</v>
      </c>
      <c r="M198" s="17">
        <v>1001.40212</v>
      </c>
      <c r="N198" s="56">
        <v>505.99351999999999</v>
      </c>
      <c r="O198" s="17">
        <v>-14.013960000000001</v>
      </c>
      <c r="P198" s="17">
        <v>0</v>
      </c>
      <c r="Q198" s="17">
        <v>0</v>
      </c>
      <c r="R198" s="17">
        <v>0</v>
      </c>
      <c r="S198" s="17">
        <v>0</v>
      </c>
      <c r="T198" s="17"/>
      <c r="U198" s="17"/>
      <c r="V198" s="56">
        <f t="shared" si="12"/>
        <v>7885.3625199999997</v>
      </c>
    </row>
    <row r="199" spans="1:22" s="50" customFormat="1" ht="14.25" customHeight="1">
      <c r="A199" s="52">
        <f t="shared" ref="A199:A201" si="13">+A198+1</f>
        <v>4</v>
      </c>
      <c r="B199" s="53" t="s">
        <v>313</v>
      </c>
      <c r="C199" s="54">
        <v>41325</v>
      </c>
      <c r="D199" s="53" t="s">
        <v>314</v>
      </c>
      <c r="E199" s="53" t="s">
        <v>237</v>
      </c>
      <c r="F199" s="53" t="s">
        <v>16</v>
      </c>
      <c r="G199" s="55" t="s">
        <v>49</v>
      </c>
      <c r="H199" s="56">
        <v>12900</v>
      </c>
      <c r="I199" s="56">
        <v>0</v>
      </c>
      <c r="J199" s="56">
        <v>0</v>
      </c>
      <c r="K199" s="56">
        <v>0</v>
      </c>
      <c r="L199" s="17">
        <v>0</v>
      </c>
      <c r="M199" s="17">
        <v>800</v>
      </c>
      <c r="N199" s="56">
        <v>6556.6630299999997</v>
      </c>
      <c r="O199" s="17">
        <v>5924.8174399999998</v>
      </c>
      <c r="P199" s="17">
        <v>2502.3188399999999</v>
      </c>
      <c r="Q199" s="17">
        <v>1210.65678</v>
      </c>
      <c r="R199" s="17">
        <v>981.5223400000001</v>
      </c>
      <c r="S199" s="17">
        <v>0</v>
      </c>
      <c r="T199" s="17"/>
      <c r="U199" s="17"/>
      <c r="V199" s="56">
        <f t="shared" si="12"/>
        <v>17975.978429999999</v>
      </c>
    </row>
    <row r="200" spans="1:22" s="117" customFormat="1" ht="14.25" customHeight="1">
      <c r="A200" s="120">
        <f t="shared" si="13"/>
        <v>5</v>
      </c>
      <c r="B200" s="113" t="s">
        <v>389</v>
      </c>
      <c r="C200" s="114">
        <v>42664</v>
      </c>
      <c r="D200" s="113" t="s">
        <v>390</v>
      </c>
      <c r="E200" s="113" t="s">
        <v>237</v>
      </c>
      <c r="F200" s="113" t="s">
        <v>16</v>
      </c>
      <c r="G200" s="121" t="s">
        <v>49</v>
      </c>
      <c r="H200" s="111">
        <v>20650</v>
      </c>
      <c r="I200" s="111">
        <v>0</v>
      </c>
      <c r="J200" s="111">
        <v>0</v>
      </c>
      <c r="K200" s="111">
        <v>0</v>
      </c>
      <c r="L200" s="110">
        <v>0</v>
      </c>
      <c r="M200" s="110">
        <v>0</v>
      </c>
      <c r="N200" s="111">
        <v>0</v>
      </c>
      <c r="O200" s="110">
        <v>0</v>
      </c>
      <c r="P200" s="110">
        <v>1000</v>
      </c>
      <c r="Q200" s="110">
        <v>6814.0384899999999</v>
      </c>
      <c r="R200" s="110">
        <v>8534.5003900000011</v>
      </c>
      <c r="S200" s="110">
        <v>6667</v>
      </c>
      <c r="T200" s="110">
        <v>2355.6094499999999</v>
      </c>
      <c r="U200" s="110">
        <v>557.35046</v>
      </c>
      <c r="V200" s="56">
        <f t="shared" si="12"/>
        <v>25928.498790000001</v>
      </c>
    </row>
    <row r="201" spans="1:22" s="117" customFormat="1" ht="14.25" customHeight="1">
      <c r="A201" s="120">
        <f t="shared" si="13"/>
        <v>6</v>
      </c>
      <c r="B201" s="113" t="s">
        <v>501</v>
      </c>
      <c r="C201" s="114">
        <v>44013</v>
      </c>
      <c r="D201" s="113" t="s">
        <v>502</v>
      </c>
      <c r="E201" s="113" t="s">
        <v>237</v>
      </c>
      <c r="F201" s="113" t="s">
        <v>16</v>
      </c>
      <c r="G201" s="121" t="s">
        <v>17</v>
      </c>
      <c r="H201" s="111">
        <v>24000</v>
      </c>
      <c r="I201" s="111">
        <v>0</v>
      </c>
      <c r="J201" s="111">
        <v>0</v>
      </c>
      <c r="K201" s="111">
        <v>0</v>
      </c>
      <c r="L201" s="110">
        <v>0</v>
      </c>
      <c r="M201" s="110">
        <v>0</v>
      </c>
      <c r="N201" s="111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1200</v>
      </c>
      <c r="T201" s="110">
        <v>2311.1239599999999</v>
      </c>
      <c r="U201" s="110">
        <f>1002.9823+1195.95282</f>
        <v>2198.9351200000001</v>
      </c>
      <c r="V201" s="56">
        <f t="shared" si="12"/>
        <v>5710.05908</v>
      </c>
    </row>
    <row r="202" spans="1:22" s="51" customFormat="1">
      <c r="A202" s="47"/>
      <c r="B202" s="47"/>
      <c r="C202" s="57"/>
      <c r="D202" s="47"/>
      <c r="E202" s="47"/>
      <c r="F202" s="47"/>
      <c r="G202" s="91"/>
      <c r="H202" s="62"/>
      <c r="I202" s="62"/>
      <c r="J202" s="62"/>
      <c r="K202" s="62"/>
      <c r="L202" s="83"/>
      <c r="M202" s="83"/>
      <c r="N202" s="62"/>
      <c r="O202" s="83"/>
      <c r="P202" s="83"/>
      <c r="Q202" s="83"/>
      <c r="R202" s="83"/>
      <c r="S202" s="83"/>
      <c r="T202" s="83"/>
      <c r="U202" s="83"/>
      <c r="V202" s="62"/>
    </row>
    <row r="203" spans="1:22" s="51" customFormat="1" ht="16.5">
      <c r="A203" s="63" t="s">
        <v>51</v>
      </c>
      <c r="B203" s="64" t="s">
        <v>52</v>
      </c>
      <c r="C203" s="57"/>
      <c r="D203" s="47"/>
      <c r="E203" s="47"/>
      <c r="F203" s="47"/>
      <c r="G203" s="91"/>
      <c r="H203" s="62"/>
      <c r="I203" s="65">
        <f>+I205+I242</f>
        <v>253481.57481999998</v>
      </c>
      <c r="J203" s="65">
        <f t="shared" ref="J203:V203" si="14">+J205+J242</f>
        <v>328764.51621999999</v>
      </c>
      <c r="K203" s="65">
        <f t="shared" si="14"/>
        <v>85491.940189999994</v>
      </c>
      <c r="L203" s="65">
        <f>+L205+L242</f>
        <v>63687.688900000001</v>
      </c>
      <c r="M203" s="65">
        <f t="shared" si="14"/>
        <v>93236.724919999979</v>
      </c>
      <c r="N203" s="65">
        <f t="shared" si="14"/>
        <v>102510.87507000001</v>
      </c>
      <c r="O203" s="65">
        <f t="shared" si="14"/>
        <v>47362.90204999999</v>
      </c>
      <c r="P203" s="65">
        <f t="shared" si="14"/>
        <v>129651.03649</v>
      </c>
      <c r="Q203" s="65">
        <f>+Q205+Q242</f>
        <v>104950.15080999999</v>
      </c>
      <c r="R203" s="65">
        <f>+R205+R242</f>
        <v>164148.16950999998</v>
      </c>
      <c r="S203" s="65">
        <f>+S205+S242</f>
        <v>27850</v>
      </c>
      <c r="T203" s="65">
        <f t="shared" ref="T203:U203" si="15">+T205+T242</f>
        <v>4091.8601900000003</v>
      </c>
      <c r="U203" s="65">
        <f t="shared" si="15"/>
        <v>440386.75972999999</v>
      </c>
      <c r="V203" s="65">
        <f t="shared" si="14"/>
        <v>1407404.0150699997</v>
      </c>
    </row>
    <row r="204" spans="1:22" s="51" customFormat="1">
      <c r="A204" s="47"/>
      <c r="B204" s="66"/>
      <c r="C204" s="57"/>
      <c r="D204" s="47"/>
      <c r="E204" s="47"/>
      <c r="F204" s="47"/>
      <c r="G204" s="91"/>
      <c r="H204" s="62"/>
      <c r="I204" s="62"/>
      <c r="J204" s="62"/>
      <c r="K204" s="62"/>
      <c r="L204" s="83"/>
      <c r="M204" s="83"/>
      <c r="N204" s="62"/>
      <c r="O204" s="83"/>
      <c r="P204" s="83"/>
      <c r="Q204" s="83"/>
      <c r="R204" s="83"/>
      <c r="S204" s="83"/>
      <c r="T204" s="83"/>
      <c r="U204" s="83"/>
      <c r="V204" s="62"/>
    </row>
    <row r="205" spans="1:22" s="51" customFormat="1">
      <c r="A205" s="45" t="s">
        <v>14</v>
      </c>
      <c r="B205" s="46" t="s">
        <v>53</v>
      </c>
      <c r="C205" s="67"/>
      <c r="D205" s="68"/>
      <c r="E205" s="68"/>
      <c r="F205" s="68"/>
      <c r="G205" s="73"/>
      <c r="H205" s="69"/>
      <c r="I205" s="49">
        <f>SUM(I206:I240)</f>
        <v>25620.041689999998</v>
      </c>
      <c r="J205" s="49">
        <f t="shared" ref="J205:U205" si="16">SUM(J206:J240)</f>
        <v>193012.92851999999</v>
      </c>
      <c r="K205" s="49">
        <f t="shared" si="16"/>
        <v>10338.835249999998</v>
      </c>
      <c r="L205" s="49">
        <f t="shared" si="16"/>
        <v>11236.027260000003</v>
      </c>
      <c r="M205" s="49">
        <f t="shared" si="16"/>
        <v>41110.809909999996</v>
      </c>
      <c r="N205" s="49">
        <f t="shared" si="16"/>
        <v>60492.612760000004</v>
      </c>
      <c r="O205" s="49">
        <f t="shared" si="16"/>
        <v>21552.715609999999</v>
      </c>
      <c r="P205" s="49">
        <f t="shared" si="16"/>
        <v>102206.79291</v>
      </c>
      <c r="Q205" s="49">
        <f t="shared" si="16"/>
        <v>53615.744999999995</v>
      </c>
      <c r="R205" s="49">
        <f t="shared" si="16"/>
        <v>140965.11473999999</v>
      </c>
      <c r="S205" s="49">
        <f t="shared" si="16"/>
        <v>23863</v>
      </c>
      <c r="T205" s="49">
        <f t="shared" si="16"/>
        <v>2640.7774800000002</v>
      </c>
      <c r="U205" s="49">
        <f t="shared" si="16"/>
        <v>440431.65664</v>
      </c>
      <c r="V205" s="49">
        <f>SUM(V206:V238)</f>
        <v>688876.87393999984</v>
      </c>
    </row>
    <row r="206" spans="1:22" s="50" customFormat="1" ht="14.25" customHeight="1">
      <c r="A206" s="52">
        <v>1</v>
      </c>
      <c r="B206" s="53" t="s">
        <v>54</v>
      </c>
      <c r="C206" s="54">
        <v>34481</v>
      </c>
      <c r="D206" s="53" t="s">
        <v>57</v>
      </c>
      <c r="E206" s="53" t="s">
        <v>56</v>
      </c>
      <c r="F206" s="53" t="s">
        <v>24</v>
      </c>
      <c r="G206" s="55" t="s">
        <v>55</v>
      </c>
      <c r="H206" s="56">
        <f>10000+9500</f>
        <v>19500</v>
      </c>
      <c r="I206" s="56">
        <v>152.81460000000001</v>
      </c>
      <c r="J206" s="56">
        <v>0</v>
      </c>
      <c r="K206" s="56">
        <v>0</v>
      </c>
      <c r="L206" s="17">
        <v>0</v>
      </c>
      <c r="M206" s="17">
        <v>0</v>
      </c>
      <c r="N206" s="56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56">
        <f>SUM(I206:U206)</f>
        <v>152.81460000000001</v>
      </c>
    </row>
    <row r="207" spans="1:22" s="50" customFormat="1" ht="14.25" customHeight="1">
      <c r="A207" s="52">
        <f>A206+1</f>
        <v>2</v>
      </c>
      <c r="B207" s="53" t="s">
        <v>54</v>
      </c>
      <c r="C207" s="54">
        <v>35474</v>
      </c>
      <c r="D207" s="53" t="s">
        <v>290</v>
      </c>
      <c r="E207" s="53" t="s">
        <v>320</v>
      </c>
      <c r="F207" s="53" t="s">
        <v>24</v>
      </c>
      <c r="G207" s="55" t="s">
        <v>55</v>
      </c>
      <c r="H207" s="56">
        <v>13500</v>
      </c>
      <c r="I207" s="56">
        <v>0</v>
      </c>
      <c r="J207" s="56">
        <v>0</v>
      </c>
      <c r="K207" s="56">
        <v>0</v>
      </c>
      <c r="L207" s="17">
        <v>64.966669999999993</v>
      </c>
      <c r="M207" s="17">
        <v>0</v>
      </c>
      <c r="N207" s="56">
        <v>1011.8506</v>
      </c>
      <c r="O207" s="17">
        <v>495.84647000000001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56">
        <f t="shared" ref="V207:V240" si="17">SUM(I207:U207)</f>
        <v>1572.66374</v>
      </c>
    </row>
    <row r="208" spans="1:22" s="50" customFormat="1" ht="14.25" customHeight="1">
      <c r="A208" s="52">
        <f t="shared" ref="A208:A240" si="18">A207+1</f>
        <v>3</v>
      </c>
      <c r="B208" s="53" t="s">
        <v>54</v>
      </c>
      <c r="C208" s="54">
        <v>36361</v>
      </c>
      <c r="D208" s="53" t="s">
        <v>435</v>
      </c>
      <c r="E208" s="53" t="s">
        <v>241</v>
      </c>
      <c r="F208" s="53" t="s">
        <v>24</v>
      </c>
      <c r="G208" s="55" t="s">
        <v>55</v>
      </c>
      <c r="H208" s="56">
        <v>20000</v>
      </c>
      <c r="I208" s="56">
        <v>0</v>
      </c>
      <c r="J208" s="56">
        <v>0</v>
      </c>
      <c r="K208" s="56">
        <v>117.23351</v>
      </c>
      <c r="L208" s="17">
        <v>69.154600000000002</v>
      </c>
      <c r="M208" s="17">
        <v>38.502189999999999</v>
      </c>
      <c r="N208" s="56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56">
        <f t="shared" si="17"/>
        <v>224.89029999999997</v>
      </c>
    </row>
    <row r="209" spans="1:22" s="50" customFormat="1" ht="14.25" customHeight="1">
      <c r="A209" s="52">
        <f t="shared" si="18"/>
        <v>4</v>
      </c>
      <c r="B209" s="53" t="s">
        <v>54</v>
      </c>
      <c r="C209" s="54">
        <v>36488</v>
      </c>
      <c r="D209" s="53" t="s">
        <v>253</v>
      </c>
      <c r="E209" s="53" t="s">
        <v>254</v>
      </c>
      <c r="F209" s="53" t="s">
        <v>16</v>
      </c>
      <c r="G209" s="55" t="s">
        <v>55</v>
      </c>
      <c r="H209" s="56">
        <v>18000</v>
      </c>
      <c r="I209" s="56">
        <v>0</v>
      </c>
      <c r="J209" s="56">
        <v>0</v>
      </c>
      <c r="K209" s="56">
        <v>-7.6292099999999996</v>
      </c>
      <c r="L209" s="17">
        <v>0</v>
      </c>
      <c r="M209" s="17">
        <v>0</v>
      </c>
      <c r="N209" s="56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56">
        <f t="shared" si="17"/>
        <v>-7.6292099999999996</v>
      </c>
    </row>
    <row r="210" spans="1:22" s="50" customFormat="1" ht="14.25" customHeight="1">
      <c r="A210" s="52">
        <f t="shared" si="18"/>
        <v>5</v>
      </c>
      <c r="B210" s="53" t="s">
        <v>54</v>
      </c>
      <c r="C210" s="54">
        <v>36824</v>
      </c>
      <c r="D210" s="53" t="s">
        <v>58</v>
      </c>
      <c r="E210" s="53" t="s">
        <v>121</v>
      </c>
      <c r="F210" s="53" t="s">
        <v>24</v>
      </c>
      <c r="G210" s="55" t="s">
        <v>55</v>
      </c>
      <c r="H210" s="56">
        <v>11500</v>
      </c>
      <c r="I210" s="56">
        <v>478.28417000000002</v>
      </c>
      <c r="J210" s="56">
        <v>494.42295999999999</v>
      </c>
      <c r="K210" s="56">
        <v>0</v>
      </c>
      <c r="L210" s="17">
        <v>0</v>
      </c>
      <c r="M210" s="17">
        <v>0</v>
      </c>
      <c r="N210" s="56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56">
        <f t="shared" si="17"/>
        <v>972.70713000000001</v>
      </c>
    </row>
    <row r="211" spans="1:22" s="50" customFormat="1" ht="14.25" customHeight="1">
      <c r="A211" s="52">
        <f t="shared" si="18"/>
        <v>6</v>
      </c>
      <c r="B211" s="53" t="s">
        <v>54</v>
      </c>
      <c r="C211" s="54">
        <v>37392</v>
      </c>
      <c r="D211" s="53" t="s">
        <v>60</v>
      </c>
      <c r="E211" s="53" t="s">
        <v>126</v>
      </c>
      <c r="F211" s="53" t="s">
        <v>24</v>
      </c>
      <c r="G211" s="55" t="s">
        <v>59</v>
      </c>
      <c r="H211" s="56">
        <v>5113</v>
      </c>
      <c r="I211" s="56">
        <v>36.034619999999997</v>
      </c>
      <c r="J211" s="56">
        <v>65.650189999999995</v>
      </c>
      <c r="K211" s="56">
        <v>0</v>
      </c>
      <c r="L211" s="17">
        <v>0</v>
      </c>
      <c r="M211" s="17">
        <v>0</v>
      </c>
      <c r="N211" s="56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56">
        <f t="shared" si="17"/>
        <v>101.68481</v>
      </c>
    </row>
    <row r="212" spans="1:22" s="50" customFormat="1" ht="14.25" customHeight="1">
      <c r="A212" s="52">
        <f t="shared" si="18"/>
        <v>7</v>
      </c>
      <c r="B212" s="53" t="s">
        <v>54</v>
      </c>
      <c r="C212" s="54">
        <v>38367</v>
      </c>
      <c r="D212" s="53" t="s">
        <v>436</v>
      </c>
      <c r="E212" s="53" t="s">
        <v>241</v>
      </c>
      <c r="F212" s="53" t="s">
        <v>24</v>
      </c>
      <c r="G212" s="55" t="s">
        <v>59</v>
      </c>
      <c r="H212" s="56">
        <v>2000</v>
      </c>
      <c r="I212" s="56">
        <v>0</v>
      </c>
      <c r="J212" s="56">
        <v>0</v>
      </c>
      <c r="K212" s="56">
        <v>0</v>
      </c>
      <c r="L212" s="17">
        <v>0</v>
      </c>
      <c r="M212" s="17">
        <v>0</v>
      </c>
      <c r="N212" s="56">
        <v>0</v>
      </c>
      <c r="O212" s="17">
        <v>0</v>
      </c>
      <c r="P212" s="17">
        <v>0</v>
      </c>
      <c r="Q212" s="17">
        <v>0</v>
      </c>
      <c r="R212" s="17">
        <v>0</v>
      </c>
      <c r="S212" s="17">
        <v>0</v>
      </c>
      <c r="T212" s="17">
        <v>0</v>
      </c>
      <c r="U212" s="17">
        <v>0</v>
      </c>
      <c r="V212" s="56">
        <f t="shared" si="17"/>
        <v>0</v>
      </c>
    </row>
    <row r="213" spans="1:22" s="50" customFormat="1" ht="14.25" customHeight="1">
      <c r="A213" s="52">
        <f t="shared" si="18"/>
        <v>8</v>
      </c>
      <c r="B213" s="53" t="s">
        <v>54</v>
      </c>
      <c r="C213" s="54">
        <v>38338</v>
      </c>
      <c r="D213" s="53" t="s">
        <v>122</v>
      </c>
      <c r="E213" s="53" t="s">
        <v>123</v>
      </c>
      <c r="F213" s="53" t="s">
        <v>24</v>
      </c>
      <c r="G213" s="55" t="s">
        <v>59</v>
      </c>
      <c r="H213" s="56">
        <v>8099.6649500000003</v>
      </c>
      <c r="I213" s="56">
        <v>292.12096000000003</v>
      </c>
      <c r="J213" s="56">
        <v>198.93816000000001</v>
      </c>
      <c r="K213" s="56">
        <v>646.25441999999998</v>
      </c>
      <c r="L213" s="17">
        <v>540.36239999999998</v>
      </c>
      <c r="M213" s="17">
        <v>101.63679999999999</v>
      </c>
      <c r="N213" s="56">
        <v>141.72290000000001</v>
      </c>
      <c r="O213" s="17">
        <v>313.59168999999997</v>
      </c>
      <c r="P213" s="17">
        <v>228.23217</v>
      </c>
      <c r="Q213" s="17">
        <v>341.48500000000001</v>
      </c>
      <c r="R213" s="17">
        <v>0</v>
      </c>
      <c r="S213" s="17">
        <v>0</v>
      </c>
      <c r="T213" s="17">
        <v>0</v>
      </c>
      <c r="U213" s="17">
        <v>0</v>
      </c>
      <c r="V213" s="56">
        <f t="shared" si="17"/>
        <v>2804.3445000000006</v>
      </c>
    </row>
    <row r="214" spans="1:22" s="50" customFormat="1" ht="14.25" customHeight="1">
      <c r="A214" s="52">
        <f t="shared" si="18"/>
        <v>9</v>
      </c>
      <c r="B214" s="53" t="s">
        <v>54</v>
      </c>
      <c r="C214" s="54">
        <v>39024</v>
      </c>
      <c r="D214" s="53" t="s">
        <v>206</v>
      </c>
      <c r="E214" s="53" t="s">
        <v>21</v>
      </c>
      <c r="F214" s="53" t="s">
        <v>22</v>
      </c>
      <c r="G214" s="55" t="s">
        <v>59</v>
      </c>
      <c r="H214" s="56">
        <v>11759.71327</v>
      </c>
      <c r="I214" s="56">
        <v>516.16895</v>
      </c>
      <c r="J214" s="56">
        <v>2058.23164</v>
      </c>
      <c r="K214" s="56">
        <v>2442.4958499999998</v>
      </c>
      <c r="L214" s="17">
        <v>3558.8861400000001</v>
      </c>
      <c r="M214" s="17">
        <v>5246.7481399999997</v>
      </c>
      <c r="N214" s="56">
        <v>0</v>
      </c>
      <c r="O214" s="17">
        <v>0</v>
      </c>
      <c r="P214" s="17">
        <v>-14.943989999999999</v>
      </c>
      <c r="Q214" s="17">
        <v>0</v>
      </c>
      <c r="R214" s="17">
        <v>0</v>
      </c>
      <c r="S214" s="17">
        <v>0</v>
      </c>
      <c r="T214" s="17">
        <v>0</v>
      </c>
      <c r="U214" s="17">
        <v>0</v>
      </c>
      <c r="V214" s="56">
        <f t="shared" si="17"/>
        <v>13807.586730000001</v>
      </c>
    </row>
    <row r="215" spans="1:22" s="50" customFormat="1" ht="14.25" customHeight="1">
      <c r="A215" s="52">
        <f t="shared" si="18"/>
        <v>10</v>
      </c>
      <c r="B215" s="53" t="s">
        <v>54</v>
      </c>
      <c r="C215" s="54">
        <v>39024</v>
      </c>
      <c r="D215" s="53" t="s">
        <v>207</v>
      </c>
      <c r="E215" s="53" t="s">
        <v>143</v>
      </c>
      <c r="F215" s="53" t="s">
        <v>16</v>
      </c>
      <c r="G215" s="55" t="s">
        <v>59</v>
      </c>
      <c r="H215" s="56">
        <v>6000</v>
      </c>
      <c r="I215" s="56">
        <v>0</v>
      </c>
      <c r="J215" s="56">
        <v>202.66499999999999</v>
      </c>
      <c r="K215" s="56">
        <v>546.04806000000008</v>
      </c>
      <c r="L215" s="17">
        <v>2480.2483999999999</v>
      </c>
      <c r="M215" s="17">
        <v>3217.9034099999999</v>
      </c>
      <c r="N215" s="56">
        <v>103.41086</v>
      </c>
      <c r="O215" s="17">
        <v>592.48771999999997</v>
      </c>
      <c r="P215" s="17">
        <v>0</v>
      </c>
      <c r="Q215" s="17">
        <v>-4.7060000000000004</v>
      </c>
      <c r="R215" s="17">
        <v>0</v>
      </c>
      <c r="S215" s="17">
        <v>0</v>
      </c>
      <c r="T215" s="17">
        <v>0</v>
      </c>
      <c r="U215" s="17">
        <v>0</v>
      </c>
      <c r="V215" s="56">
        <f t="shared" si="17"/>
        <v>7138.0574499999993</v>
      </c>
    </row>
    <row r="216" spans="1:22" s="50" customFormat="1" ht="14.25" customHeight="1">
      <c r="A216" s="52">
        <f t="shared" si="18"/>
        <v>11</v>
      </c>
      <c r="B216" s="53" t="s">
        <v>54</v>
      </c>
      <c r="C216" s="54">
        <v>39066</v>
      </c>
      <c r="D216" s="53" t="s">
        <v>208</v>
      </c>
      <c r="E216" s="53" t="s">
        <v>136</v>
      </c>
      <c r="F216" s="53" t="s">
        <v>24</v>
      </c>
      <c r="G216" s="55" t="s">
        <v>59</v>
      </c>
      <c r="H216" s="56">
        <v>12035.50258</v>
      </c>
      <c r="I216" s="56">
        <v>1813.8379299999999</v>
      </c>
      <c r="J216" s="56">
        <f>-184.72715-172.73011-46.3522-519.4173-33.26452-21.67647-486.97076</f>
        <v>-1465.13851</v>
      </c>
      <c r="K216" s="56">
        <f>101.07748+531.1314+527.8438+675.31419+455.09398+7.3532+90.43435+127.18988</f>
        <v>2515.4382799999998</v>
      </c>
      <c r="L216" s="17">
        <f>1346.77762+83.49036</f>
        <v>1430.2679800000001</v>
      </c>
      <c r="M216" s="17">
        <v>0</v>
      </c>
      <c r="N216" s="56">
        <v>0</v>
      </c>
      <c r="O216" s="17">
        <v>-219.58223000000001</v>
      </c>
      <c r="P216" s="17">
        <v>0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56">
        <f t="shared" si="17"/>
        <v>4074.8234499999999</v>
      </c>
    </row>
    <row r="217" spans="1:22" s="50" customFormat="1" ht="14.25" customHeight="1">
      <c r="A217" s="52">
        <f t="shared" si="18"/>
        <v>12</v>
      </c>
      <c r="B217" s="53" t="s">
        <v>54</v>
      </c>
      <c r="C217" s="54">
        <v>39322</v>
      </c>
      <c r="D217" s="53" t="s">
        <v>71</v>
      </c>
      <c r="E217" s="53" t="s">
        <v>72</v>
      </c>
      <c r="F217" s="53" t="s">
        <v>381</v>
      </c>
      <c r="G217" s="55" t="s">
        <v>59</v>
      </c>
      <c r="H217" s="56">
        <v>2000</v>
      </c>
      <c r="I217" s="56">
        <v>2330.7804599999999</v>
      </c>
      <c r="J217" s="56">
        <v>406.25907999999998</v>
      </c>
      <c r="K217" s="56">
        <v>0</v>
      </c>
      <c r="L217" s="17">
        <v>0</v>
      </c>
      <c r="M217" s="17">
        <v>0</v>
      </c>
      <c r="N217" s="56">
        <v>0</v>
      </c>
      <c r="O217" s="17">
        <v>0</v>
      </c>
      <c r="P217" s="17">
        <v>0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56">
        <f t="shared" si="17"/>
        <v>2737.0395399999998</v>
      </c>
    </row>
    <row r="218" spans="1:22" s="50" customFormat="1" ht="14.25" customHeight="1">
      <c r="A218" s="52">
        <f t="shared" si="18"/>
        <v>13</v>
      </c>
      <c r="B218" s="53" t="s">
        <v>54</v>
      </c>
      <c r="C218" s="54">
        <v>40268</v>
      </c>
      <c r="D218" s="53" t="s">
        <v>209</v>
      </c>
      <c r="E218" s="53" t="s">
        <v>41</v>
      </c>
      <c r="F218" s="53" t="s">
        <v>24</v>
      </c>
      <c r="G218" s="55" t="s">
        <v>17</v>
      </c>
      <c r="H218" s="56">
        <v>50000</v>
      </c>
      <c r="I218" s="56">
        <v>20000</v>
      </c>
      <c r="J218" s="56">
        <v>30000</v>
      </c>
      <c r="K218" s="56">
        <v>0</v>
      </c>
      <c r="L218" s="17">
        <v>0</v>
      </c>
      <c r="M218" s="17">
        <v>0</v>
      </c>
      <c r="N218" s="56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56">
        <f t="shared" si="17"/>
        <v>50000</v>
      </c>
    </row>
    <row r="219" spans="1:22" s="50" customFormat="1" ht="14.25" customHeight="1">
      <c r="A219" s="52">
        <f t="shared" si="18"/>
        <v>14</v>
      </c>
      <c r="B219" s="53" t="s">
        <v>54</v>
      </c>
      <c r="C219" s="54">
        <v>40399</v>
      </c>
      <c r="D219" s="53" t="s">
        <v>255</v>
      </c>
      <c r="E219" s="53" t="s">
        <v>256</v>
      </c>
      <c r="F219" s="53" t="s">
        <v>16</v>
      </c>
      <c r="G219" s="55" t="s">
        <v>59</v>
      </c>
      <c r="H219" s="56">
        <v>5000</v>
      </c>
      <c r="I219" s="56">
        <v>0</v>
      </c>
      <c r="J219" s="56">
        <v>0</v>
      </c>
      <c r="K219" s="56">
        <v>949.35316</v>
      </c>
      <c r="L219" s="17">
        <v>413.93567000000002</v>
      </c>
      <c r="M219" s="17">
        <v>0</v>
      </c>
      <c r="N219" s="56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56">
        <f t="shared" si="17"/>
        <v>1363.28883</v>
      </c>
    </row>
    <row r="220" spans="1:22" s="50" customFormat="1" ht="14.25" customHeight="1">
      <c r="A220" s="52">
        <f t="shared" si="18"/>
        <v>15</v>
      </c>
      <c r="B220" s="53" t="s">
        <v>54</v>
      </c>
      <c r="C220" s="54">
        <v>40521</v>
      </c>
      <c r="D220" s="53" t="s">
        <v>238</v>
      </c>
      <c r="E220" s="53" t="s">
        <v>18</v>
      </c>
      <c r="F220" s="53" t="s">
        <v>298</v>
      </c>
      <c r="G220" s="55" t="s">
        <v>59</v>
      </c>
      <c r="H220" s="56">
        <v>45000</v>
      </c>
      <c r="I220" s="56">
        <v>0</v>
      </c>
      <c r="J220" s="56">
        <v>62563.5</v>
      </c>
      <c r="K220" s="56">
        <v>0</v>
      </c>
      <c r="L220" s="17">
        <v>0</v>
      </c>
      <c r="M220" s="17">
        <v>0</v>
      </c>
      <c r="N220" s="56">
        <v>0</v>
      </c>
      <c r="O220" s="17">
        <v>0</v>
      </c>
      <c r="P220" s="17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56">
        <f t="shared" si="17"/>
        <v>62563.5</v>
      </c>
    </row>
    <row r="221" spans="1:22" s="50" customFormat="1" ht="14.25" customHeight="1">
      <c r="A221" s="52">
        <f t="shared" si="18"/>
        <v>16</v>
      </c>
      <c r="B221" s="53" t="s">
        <v>54</v>
      </c>
      <c r="C221" s="54">
        <v>40543</v>
      </c>
      <c r="D221" s="53" t="s">
        <v>437</v>
      </c>
      <c r="E221" s="53" t="s">
        <v>257</v>
      </c>
      <c r="F221" s="53" t="s">
        <v>16</v>
      </c>
      <c r="G221" s="55" t="s">
        <v>59</v>
      </c>
      <c r="H221" s="56">
        <v>5300</v>
      </c>
      <c r="I221" s="56">
        <v>0</v>
      </c>
      <c r="J221" s="56">
        <v>0</v>
      </c>
      <c r="K221" s="56">
        <v>3129.6411799999996</v>
      </c>
      <c r="L221" s="17">
        <v>2678.2054000000003</v>
      </c>
      <c r="M221" s="17">
        <v>794.53515000000004</v>
      </c>
      <c r="N221" s="56">
        <v>244.00838999999999</v>
      </c>
      <c r="O221" s="17">
        <v>0</v>
      </c>
      <c r="P221" s="17">
        <v>0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56">
        <f t="shared" si="17"/>
        <v>6846.3901199999991</v>
      </c>
    </row>
    <row r="222" spans="1:22" s="50" customFormat="1" ht="14.25" customHeight="1">
      <c r="A222" s="52">
        <f t="shared" si="18"/>
        <v>17</v>
      </c>
      <c r="B222" s="53" t="s">
        <v>54</v>
      </c>
      <c r="C222" s="54">
        <v>40892</v>
      </c>
      <c r="D222" s="53" t="s">
        <v>239</v>
      </c>
      <c r="E222" s="53" t="s">
        <v>18</v>
      </c>
      <c r="F222" s="53" t="s">
        <v>298</v>
      </c>
      <c r="G222" s="55" t="s">
        <v>59</v>
      </c>
      <c r="H222" s="56">
        <v>35000</v>
      </c>
      <c r="I222" s="56">
        <v>0</v>
      </c>
      <c r="J222" s="56">
        <v>45356.5</v>
      </c>
      <c r="K222" s="56">
        <v>0</v>
      </c>
      <c r="L222" s="17">
        <v>0</v>
      </c>
      <c r="M222" s="17">
        <v>0</v>
      </c>
      <c r="N222" s="56">
        <v>0</v>
      </c>
      <c r="O222" s="17">
        <v>0</v>
      </c>
      <c r="P222" s="17">
        <v>0</v>
      </c>
      <c r="Q222" s="17">
        <v>0</v>
      </c>
      <c r="R222" s="17">
        <v>0</v>
      </c>
      <c r="S222" s="17">
        <v>0</v>
      </c>
      <c r="T222" s="17">
        <v>0</v>
      </c>
      <c r="U222" s="17">
        <v>0</v>
      </c>
      <c r="V222" s="56">
        <f t="shared" si="17"/>
        <v>45356.5</v>
      </c>
    </row>
    <row r="223" spans="1:22" s="50" customFormat="1" ht="14.25" customHeight="1">
      <c r="A223" s="52">
        <f t="shared" si="18"/>
        <v>18</v>
      </c>
      <c r="B223" s="53" t="s">
        <v>54</v>
      </c>
      <c r="C223" s="54">
        <v>40892</v>
      </c>
      <c r="D223" s="53" t="s">
        <v>240</v>
      </c>
      <c r="E223" s="53" t="s">
        <v>18</v>
      </c>
      <c r="F223" s="53" t="s">
        <v>298</v>
      </c>
      <c r="G223" s="55" t="s">
        <v>59</v>
      </c>
      <c r="H223" s="56">
        <v>20000</v>
      </c>
      <c r="I223" s="56">
        <v>0</v>
      </c>
      <c r="J223" s="56">
        <v>25918</v>
      </c>
      <c r="K223" s="56">
        <v>0</v>
      </c>
      <c r="L223" s="17">
        <v>0</v>
      </c>
      <c r="M223" s="17">
        <v>0</v>
      </c>
      <c r="N223" s="56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  <c r="V223" s="56">
        <f t="shared" si="17"/>
        <v>25918</v>
      </c>
    </row>
    <row r="224" spans="1:22" s="50" customFormat="1" ht="14.25" customHeight="1">
      <c r="A224" s="52">
        <f t="shared" si="18"/>
        <v>19</v>
      </c>
      <c r="B224" s="53" t="s">
        <v>54</v>
      </c>
      <c r="C224" s="54">
        <v>40892</v>
      </c>
      <c r="D224" s="53" t="s">
        <v>438</v>
      </c>
      <c r="E224" s="53" t="s">
        <v>18</v>
      </c>
      <c r="F224" s="53" t="s">
        <v>298</v>
      </c>
      <c r="G224" s="55" t="s">
        <v>59</v>
      </c>
      <c r="H224" s="56">
        <v>21000</v>
      </c>
      <c r="I224" s="56">
        <v>0</v>
      </c>
      <c r="J224" s="56">
        <v>27213.9</v>
      </c>
      <c r="K224" s="56">
        <v>0</v>
      </c>
      <c r="L224" s="17">
        <v>0</v>
      </c>
      <c r="M224" s="17"/>
      <c r="N224" s="56">
        <v>0</v>
      </c>
      <c r="O224" s="17">
        <v>0</v>
      </c>
      <c r="P224" s="17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56">
        <f t="shared" si="17"/>
        <v>27213.9</v>
      </c>
    </row>
    <row r="225" spans="1:22" s="50" customFormat="1" ht="14.25" customHeight="1">
      <c r="A225" s="52">
        <f t="shared" si="18"/>
        <v>20</v>
      </c>
      <c r="B225" s="53" t="s">
        <v>54</v>
      </c>
      <c r="C225" s="54">
        <v>41260</v>
      </c>
      <c r="D225" s="53" t="s">
        <v>315</v>
      </c>
      <c r="E225" s="53" t="s">
        <v>282</v>
      </c>
      <c r="F225" s="53" t="s">
        <v>276</v>
      </c>
      <c r="G225" s="55" t="s">
        <v>59</v>
      </c>
      <c r="H225" s="56">
        <v>6000</v>
      </c>
      <c r="I225" s="56">
        <v>0</v>
      </c>
      <c r="J225" s="56">
        <v>0</v>
      </c>
      <c r="K225" s="56">
        <v>0</v>
      </c>
      <c r="L225" s="17">
        <v>0</v>
      </c>
      <c r="M225" s="17">
        <v>1445.7669000000001</v>
      </c>
      <c r="N225" s="56">
        <v>2360.4922500000002</v>
      </c>
      <c r="O225" s="17">
        <v>2797.8290299999999</v>
      </c>
      <c r="P225" s="17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56">
        <f t="shared" si="17"/>
        <v>6604.0881800000006</v>
      </c>
    </row>
    <row r="226" spans="1:22" s="50" customFormat="1" ht="14.25" customHeight="1">
      <c r="A226" s="52">
        <f t="shared" si="18"/>
        <v>21</v>
      </c>
      <c r="B226" s="53" t="s">
        <v>54</v>
      </c>
      <c r="C226" s="54">
        <v>41270</v>
      </c>
      <c r="D226" s="53" t="s">
        <v>369</v>
      </c>
      <c r="E226" s="53" t="s">
        <v>297</v>
      </c>
      <c r="F226" s="53" t="s">
        <v>298</v>
      </c>
      <c r="G226" s="55" t="s">
        <v>59</v>
      </c>
      <c r="H226" s="56">
        <v>12500</v>
      </c>
      <c r="I226" s="56">
        <v>0</v>
      </c>
      <c r="J226" s="56">
        <v>0</v>
      </c>
      <c r="K226" s="56">
        <v>0</v>
      </c>
      <c r="L226" s="17">
        <v>0</v>
      </c>
      <c r="M226" s="17">
        <v>0</v>
      </c>
      <c r="N226" s="56">
        <v>0</v>
      </c>
      <c r="O226" s="17">
        <v>943.48982999999998</v>
      </c>
      <c r="P226" s="17">
        <v>1009.93988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56">
        <f t="shared" si="17"/>
        <v>1953.4297099999999</v>
      </c>
    </row>
    <row r="227" spans="1:22" s="50" customFormat="1" ht="14.25" customHeight="1">
      <c r="A227" s="52">
        <f t="shared" si="18"/>
        <v>22</v>
      </c>
      <c r="B227" s="53" t="s">
        <v>54</v>
      </c>
      <c r="C227" s="54">
        <v>41263</v>
      </c>
      <c r="D227" s="53" t="s">
        <v>368</v>
      </c>
      <c r="E227" s="53" t="s">
        <v>136</v>
      </c>
      <c r="F227" s="53" t="s">
        <v>24</v>
      </c>
      <c r="G227" s="55" t="s">
        <v>59</v>
      </c>
      <c r="H227" s="56">
        <v>7449.7661900000003</v>
      </c>
      <c r="I227" s="69">
        <v>0</v>
      </c>
      <c r="J227" s="69">
        <v>0</v>
      </c>
      <c r="K227" s="69">
        <v>0</v>
      </c>
      <c r="L227" s="22">
        <v>0</v>
      </c>
      <c r="M227" s="22">
        <v>0</v>
      </c>
      <c r="N227" s="69">
        <v>0</v>
      </c>
      <c r="O227" s="22">
        <v>287.07323000000002</v>
      </c>
      <c r="P227" s="17">
        <v>335.75601999999998</v>
      </c>
      <c r="Q227" s="17">
        <v>152.613</v>
      </c>
      <c r="R227" s="17">
        <v>19.228069999999999</v>
      </c>
      <c r="S227" s="17">
        <v>0</v>
      </c>
      <c r="T227" s="17">
        <f>2328.30468+131.39208</f>
        <v>2459.6967600000003</v>
      </c>
      <c r="U227" s="17">
        <v>1216.94911</v>
      </c>
      <c r="V227" s="56">
        <f t="shared" si="17"/>
        <v>4471.3161900000005</v>
      </c>
    </row>
    <row r="228" spans="1:22" s="50" customFormat="1" ht="14.25" customHeight="1">
      <c r="A228" s="52">
        <f t="shared" si="18"/>
        <v>23</v>
      </c>
      <c r="B228" s="53" t="s">
        <v>54</v>
      </c>
      <c r="C228" s="54">
        <v>41313</v>
      </c>
      <c r="D228" s="53" t="s">
        <v>316</v>
      </c>
      <c r="E228" s="53" t="s">
        <v>297</v>
      </c>
      <c r="F228" s="53" t="s">
        <v>298</v>
      </c>
      <c r="G228" s="55" t="s">
        <v>17</v>
      </c>
      <c r="H228" s="56">
        <v>32837.5</v>
      </c>
      <c r="I228" s="56">
        <v>0</v>
      </c>
      <c r="J228" s="56">
        <v>0</v>
      </c>
      <c r="K228" s="56">
        <v>0</v>
      </c>
      <c r="L228" s="17">
        <v>0</v>
      </c>
      <c r="M228" s="17">
        <v>11087.72818</v>
      </c>
      <c r="N228" s="56">
        <v>21749.771820000002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56">
        <f t="shared" si="17"/>
        <v>32837.5</v>
      </c>
    </row>
    <row r="229" spans="1:22" s="50" customFormat="1" ht="14.25" customHeight="1">
      <c r="A229" s="52">
        <f t="shared" si="18"/>
        <v>24</v>
      </c>
      <c r="B229" s="53" t="s">
        <v>54</v>
      </c>
      <c r="C229" s="54">
        <v>41950</v>
      </c>
      <c r="D229" s="53" t="s">
        <v>317</v>
      </c>
      <c r="E229" s="53" t="s">
        <v>18</v>
      </c>
      <c r="F229" s="53" t="s">
        <v>298</v>
      </c>
      <c r="G229" s="55" t="s">
        <v>59</v>
      </c>
      <c r="H229" s="56">
        <v>15000</v>
      </c>
      <c r="I229" s="56">
        <v>0</v>
      </c>
      <c r="J229" s="56">
        <v>0</v>
      </c>
      <c r="K229" s="56">
        <v>0</v>
      </c>
      <c r="L229" s="17">
        <v>0</v>
      </c>
      <c r="M229" s="17">
        <v>19177.989140000001</v>
      </c>
      <c r="N229" s="56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56">
        <f t="shared" si="17"/>
        <v>19177.989140000001</v>
      </c>
    </row>
    <row r="230" spans="1:22" s="50" customFormat="1" ht="14.25" customHeight="1">
      <c r="A230" s="52">
        <f t="shared" si="18"/>
        <v>25</v>
      </c>
      <c r="B230" s="53" t="s">
        <v>54</v>
      </c>
      <c r="C230" s="54">
        <v>42150</v>
      </c>
      <c r="D230" s="53" t="s">
        <v>343</v>
      </c>
      <c r="E230" s="53" t="s">
        <v>18</v>
      </c>
      <c r="F230" s="53" t="s">
        <v>298</v>
      </c>
      <c r="G230" s="55" t="s">
        <v>59</v>
      </c>
      <c r="H230" s="56">
        <v>15000</v>
      </c>
      <c r="I230" s="56">
        <v>0</v>
      </c>
      <c r="J230" s="56">
        <v>0</v>
      </c>
      <c r="K230" s="56">
        <v>0</v>
      </c>
      <c r="L230" s="17">
        <v>0</v>
      </c>
      <c r="M230" s="17">
        <v>0</v>
      </c>
      <c r="N230" s="56">
        <v>17440.677970000001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56">
        <f t="shared" si="17"/>
        <v>17440.677970000001</v>
      </c>
    </row>
    <row r="231" spans="1:22" s="50" customFormat="1" ht="14.25" customHeight="1">
      <c r="A231" s="52">
        <f t="shared" si="18"/>
        <v>26</v>
      </c>
      <c r="B231" s="53" t="s">
        <v>54</v>
      </c>
      <c r="C231" s="54">
        <v>42150</v>
      </c>
      <c r="D231" s="53" t="s">
        <v>344</v>
      </c>
      <c r="E231" s="53" t="s">
        <v>18</v>
      </c>
      <c r="F231" s="53" t="s">
        <v>298</v>
      </c>
      <c r="G231" s="55" t="s">
        <v>59</v>
      </c>
      <c r="H231" s="56">
        <v>15000</v>
      </c>
      <c r="I231" s="56">
        <v>0</v>
      </c>
      <c r="J231" s="56">
        <v>0</v>
      </c>
      <c r="K231" s="56">
        <v>0</v>
      </c>
      <c r="L231" s="17">
        <v>0</v>
      </c>
      <c r="M231" s="17">
        <v>0</v>
      </c>
      <c r="N231" s="56">
        <v>17440.677970000001</v>
      </c>
      <c r="O231" s="17">
        <v>0</v>
      </c>
      <c r="P231" s="17">
        <v>0</v>
      </c>
      <c r="Q231" s="17">
        <v>17980.857</v>
      </c>
      <c r="R231" s="17">
        <v>0</v>
      </c>
      <c r="S231" s="17">
        <v>0</v>
      </c>
      <c r="T231" s="17">
        <v>0</v>
      </c>
      <c r="U231" s="17">
        <v>0</v>
      </c>
      <c r="V231" s="56">
        <f t="shared" si="17"/>
        <v>35421.534970000001</v>
      </c>
    </row>
    <row r="232" spans="1:22" s="50" customFormat="1" ht="14.25" customHeight="1">
      <c r="A232" s="52">
        <f t="shared" si="18"/>
        <v>27</v>
      </c>
      <c r="B232" s="53" t="s">
        <v>54</v>
      </c>
      <c r="C232" s="54">
        <v>42404</v>
      </c>
      <c r="D232" s="53" t="s">
        <v>370</v>
      </c>
      <c r="E232" s="53" t="s">
        <v>297</v>
      </c>
      <c r="F232" s="53" t="s">
        <v>298</v>
      </c>
      <c r="G232" s="55" t="s">
        <v>17</v>
      </c>
      <c r="H232" s="56">
        <v>44300</v>
      </c>
      <c r="I232" s="56">
        <v>0</v>
      </c>
      <c r="J232" s="56">
        <v>0</v>
      </c>
      <c r="K232" s="56">
        <v>0</v>
      </c>
      <c r="L232" s="17">
        <v>0</v>
      </c>
      <c r="M232" s="17">
        <v>0</v>
      </c>
      <c r="N232" s="56">
        <v>0</v>
      </c>
      <c r="O232" s="17">
        <v>16341.979869999999</v>
      </c>
      <c r="P232" s="17">
        <v>0</v>
      </c>
      <c r="Q232" s="17">
        <v>27645.495999999999</v>
      </c>
      <c r="R232" s="17">
        <v>0</v>
      </c>
      <c r="S232" s="17">
        <v>0</v>
      </c>
      <c r="T232" s="17">
        <v>0</v>
      </c>
      <c r="U232" s="17">
        <v>0</v>
      </c>
      <c r="V232" s="56">
        <f t="shared" si="17"/>
        <v>43987.475869999995</v>
      </c>
    </row>
    <row r="233" spans="1:22" s="50" customFormat="1" ht="14.25" customHeight="1">
      <c r="A233" s="52">
        <f t="shared" si="18"/>
        <v>28</v>
      </c>
      <c r="B233" s="53" t="s">
        <v>54</v>
      </c>
      <c r="C233" s="54">
        <v>41683</v>
      </c>
      <c r="D233" s="53" t="s">
        <v>391</v>
      </c>
      <c r="E233" s="53" t="s">
        <v>41</v>
      </c>
      <c r="F233" s="53" t="s">
        <v>24</v>
      </c>
      <c r="G233" s="55" t="s">
        <v>17</v>
      </c>
      <c r="H233" s="56">
        <v>48660</v>
      </c>
      <c r="I233" s="56">
        <v>0</v>
      </c>
      <c r="J233" s="56">
        <v>0</v>
      </c>
      <c r="K233" s="56">
        <v>0</v>
      </c>
      <c r="L233" s="17">
        <v>0</v>
      </c>
      <c r="M233" s="17">
        <v>0</v>
      </c>
      <c r="N233" s="56">
        <v>0</v>
      </c>
      <c r="O233" s="17">
        <v>0</v>
      </c>
      <c r="P233" s="17">
        <v>2396.3688299999999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56">
        <f t="shared" si="17"/>
        <v>2396.3688299999999</v>
      </c>
    </row>
    <row r="234" spans="1:22" s="117" customFormat="1" ht="14.25" customHeight="1">
      <c r="A234" s="52">
        <f t="shared" si="18"/>
        <v>29</v>
      </c>
      <c r="B234" s="113" t="s">
        <v>54</v>
      </c>
      <c r="C234" s="114">
        <v>42404</v>
      </c>
      <c r="D234" s="113" t="s">
        <v>392</v>
      </c>
      <c r="E234" s="113" t="s">
        <v>41</v>
      </c>
      <c r="F234" s="113" t="s">
        <v>24</v>
      </c>
      <c r="G234" s="121" t="s">
        <v>17</v>
      </c>
      <c r="H234" s="111">
        <v>24000</v>
      </c>
      <c r="I234" s="111">
        <v>0</v>
      </c>
      <c r="J234" s="111">
        <v>0</v>
      </c>
      <c r="K234" s="111">
        <v>0</v>
      </c>
      <c r="L234" s="110">
        <v>0</v>
      </c>
      <c r="M234" s="110">
        <v>0</v>
      </c>
      <c r="N234" s="111">
        <v>0</v>
      </c>
      <c r="O234" s="110">
        <v>0</v>
      </c>
      <c r="P234" s="110">
        <v>7500</v>
      </c>
      <c r="Q234" s="110">
        <v>7500</v>
      </c>
      <c r="R234" s="110">
        <v>9000</v>
      </c>
      <c r="S234" s="110">
        <v>0</v>
      </c>
      <c r="T234" s="110">
        <v>0</v>
      </c>
      <c r="U234" s="110">
        <v>0</v>
      </c>
      <c r="V234" s="56">
        <f t="shared" si="17"/>
        <v>24000</v>
      </c>
    </row>
    <row r="235" spans="1:22" s="117" customFormat="1" ht="14.25" customHeight="1">
      <c r="A235" s="52">
        <f t="shared" si="18"/>
        <v>30</v>
      </c>
      <c r="B235" s="113" t="s">
        <v>54</v>
      </c>
      <c r="C235" s="114">
        <v>42726</v>
      </c>
      <c r="D235" s="113" t="s">
        <v>394</v>
      </c>
      <c r="E235" s="113" t="s">
        <v>393</v>
      </c>
      <c r="F235" s="113" t="s">
        <v>19</v>
      </c>
      <c r="G235" s="121" t="s">
        <v>59</v>
      </c>
      <c r="H235" s="111">
        <v>192270</v>
      </c>
      <c r="I235" s="111">
        <v>0</v>
      </c>
      <c r="J235" s="111">
        <v>0</v>
      </c>
      <c r="K235" s="111">
        <v>0</v>
      </c>
      <c r="L235" s="110">
        <v>0</v>
      </c>
      <c r="M235" s="110">
        <v>0</v>
      </c>
      <c r="N235" s="111">
        <v>0</v>
      </c>
      <c r="O235" s="110">
        <v>0</v>
      </c>
      <c r="P235" s="110">
        <v>90751.44</v>
      </c>
      <c r="Q235" s="110">
        <v>0</v>
      </c>
      <c r="R235" s="110">
        <v>109450.38399999999</v>
      </c>
      <c r="S235" s="110">
        <v>-202</v>
      </c>
      <c r="T235" s="110">
        <v>0</v>
      </c>
      <c r="U235" s="110">
        <v>0</v>
      </c>
      <c r="V235" s="56">
        <f t="shared" si="17"/>
        <v>199999.82399999999</v>
      </c>
    </row>
    <row r="236" spans="1:22" s="117" customFormat="1" ht="14.25" customHeight="1">
      <c r="A236" s="52">
        <f t="shared" si="18"/>
        <v>31</v>
      </c>
      <c r="B236" s="113" t="s">
        <v>54</v>
      </c>
      <c r="C236" s="114">
        <v>43451</v>
      </c>
      <c r="D236" s="113" t="s">
        <v>473</v>
      </c>
      <c r="E236" s="113" t="s">
        <v>18</v>
      </c>
      <c r="F236" s="113" t="s">
        <v>298</v>
      </c>
      <c r="G236" s="121" t="s">
        <v>59</v>
      </c>
      <c r="H236" s="111">
        <v>19270</v>
      </c>
      <c r="I236" s="111">
        <v>0</v>
      </c>
      <c r="J236" s="111">
        <v>0</v>
      </c>
      <c r="K236" s="111">
        <v>0</v>
      </c>
      <c r="L236" s="110">
        <v>0</v>
      </c>
      <c r="M236" s="110">
        <v>0</v>
      </c>
      <c r="N236" s="111">
        <v>0</v>
      </c>
      <c r="O236" s="110">
        <v>0</v>
      </c>
      <c r="P236" s="110">
        <v>0</v>
      </c>
      <c r="Q236" s="110">
        <v>0</v>
      </c>
      <c r="R236" s="110">
        <v>22495.502670000002</v>
      </c>
      <c r="S236" s="110">
        <v>0</v>
      </c>
      <c r="T236" s="110">
        <v>0</v>
      </c>
      <c r="U236" s="110">
        <v>0</v>
      </c>
      <c r="V236" s="56">
        <f t="shared" si="17"/>
        <v>22495.502670000002</v>
      </c>
    </row>
    <row r="237" spans="1:22" s="117" customFormat="1" ht="14.25" customHeight="1">
      <c r="A237" s="52">
        <f t="shared" si="18"/>
        <v>32</v>
      </c>
      <c r="B237" s="113" t="s">
        <v>54</v>
      </c>
      <c r="C237" s="114">
        <v>43451</v>
      </c>
      <c r="D237" s="113" t="s">
        <v>503</v>
      </c>
      <c r="E237" s="113" t="s">
        <v>136</v>
      </c>
      <c r="F237" s="113" t="s">
        <v>24</v>
      </c>
      <c r="G237" s="121" t="s">
        <v>59</v>
      </c>
      <c r="H237" s="111">
        <v>60000</v>
      </c>
      <c r="I237" s="111">
        <v>0</v>
      </c>
      <c r="J237" s="111">
        <v>0</v>
      </c>
      <c r="K237" s="111">
        <v>0</v>
      </c>
      <c r="L237" s="110">
        <v>0</v>
      </c>
      <c r="M237" s="110">
        <v>0</v>
      </c>
      <c r="N237" s="111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374</v>
      </c>
      <c r="T237" s="110">
        <v>181.08072000000001</v>
      </c>
      <c r="U237" s="110">
        <v>1004.5237</v>
      </c>
      <c r="V237" s="56">
        <f t="shared" si="17"/>
        <v>1559.6044200000001</v>
      </c>
    </row>
    <row r="238" spans="1:22" s="117" customFormat="1" ht="14.25" customHeight="1">
      <c r="A238" s="52">
        <f t="shared" si="18"/>
        <v>33</v>
      </c>
      <c r="B238" s="113" t="s">
        <v>54</v>
      </c>
      <c r="C238" s="114">
        <v>43829</v>
      </c>
      <c r="D238" s="113" t="s">
        <v>504</v>
      </c>
      <c r="E238" s="113" t="s">
        <v>18</v>
      </c>
      <c r="F238" s="113" t="s">
        <v>298</v>
      </c>
      <c r="G238" s="121" t="s">
        <v>59</v>
      </c>
      <c r="H238" s="111">
        <v>20000</v>
      </c>
      <c r="I238" s="111">
        <v>0</v>
      </c>
      <c r="J238" s="111">
        <v>0</v>
      </c>
      <c r="K238" s="111">
        <v>0</v>
      </c>
      <c r="L238" s="110">
        <v>0</v>
      </c>
      <c r="M238" s="110">
        <v>0</v>
      </c>
      <c r="N238" s="111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23691</v>
      </c>
      <c r="T238" s="110">
        <v>0</v>
      </c>
      <c r="U238" s="110">
        <v>0</v>
      </c>
      <c r="V238" s="56">
        <f t="shared" si="17"/>
        <v>23691</v>
      </c>
    </row>
    <row r="239" spans="1:22" s="117" customFormat="1" ht="14.25" customHeight="1">
      <c r="A239" s="52">
        <f t="shared" si="18"/>
        <v>34</v>
      </c>
      <c r="B239" s="113" t="s">
        <v>533</v>
      </c>
      <c r="C239" s="114"/>
      <c r="D239" s="113"/>
      <c r="E239" s="113" t="s">
        <v>18</v>
      </c>
      <c r="F239" s="113" t="s">
        <v>298</v>
      </c>
      <c r="G239" s="121" t="s">
        <v>59</v>
      </c>
      <c r="H239" s="111">
        <v>40000</v>
      </c>
      <c r="I239" s="111">
        <v>0</v>
      </c>
      <c r="J239" s="111">
        <v>0</v>
      </c>
      <c r="K239" s="111">
        <v>0</v>
      </c>
      <c r="L239" s="110">
        <v>0</v>
      </c>
      <c r="M239" s="110">
        <v>0</v>
      </c>
      <c r="N239" s="111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10">
        <v>43655.183830000002</v>
      </c>
      <c r="V239" s="56">
        <f t="shared" si="17"/>
        <v>43655.183830000002</v>
      </c>
    </row>
    <row r="240" spans="1:22" s="117" customFormat="1" ht="14.25" customHeight="1">
      <c r="A240" s="52">
        <f t="shared" si="18"/>
        <v>35</v>
      </c>
      <c r="B240" s="113" t="s">
        <v>534</v>
      </c>
      <c r="C240" s="114"/>
      <c r="D240" s="113"/>
      <c r="E240" s="113" t="s">
        <v>18</v>
      </c>
      <c r="F240" s="113" t="s">
        <v>298</v>
      </c>
      <c r="G240" s="121" t="s">
        <v>59</v>
      </c>
      <c r="H240" s="111">
        <v>394555</v>
      </c>
      <c r="I240" s="111">
        <v>0</v>
      </c>
      <c r="J240" s="111">
        <v>0</v>
      </c>
      <c r="K240" s="111">
        <v>0</v>
      </c>
      <c r="L240" s="110">
        <v>0</v>
      </c>
      <c r="M240" s="110">
        <v>0</v>
      </c>
      <c r="N240" s="111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10">
        <v>394555</v>
      </c>
      <c r="V240" s="56">
        <f t="shared" si="17"/>
        <v>394555</v>
      </c>
    </row>
    <row r="241" spans="1:22" s="51" customFormat="1">
      <c r="A241" s="59"/>
      <c r="B241" s="59"/>
      <c r="C241" s="59"/>
      <c r="D241" s="59"/>
      <c r="E241" s="59"/>
      <c r="F241" s="59"/>
      <c r="G241" s="94"/>
      <c r="H241" s="59"/>
      <c r="I241" s="81"/>
      <c r="J241" s="81"/>
      <c r="K241" s="81"/>
      <c r="L241" s="82"/>
      <c r="M241" s="82"/>
      <c r="N241" s="81"/>
      <c r="O241" s="82"/>
      <c r="P241" s="82"/>
      <c r="Q241" s="82"/>
      <c r="R241" s="82"/>
      <c r="S241" s="82"/>
      <c r="T241" s="82"/>
      <c r="U241" s="82"/>
      <c r="V241" s="81"/>
    </row>
    <row r="242" spans="1:22" s="51" customFormat="1">
      <c r="A242" s="45" t="s">
        <v>50</v>
      </c>
      <c r="B242" s="46" t="s">
        <v>61</v>
      </c>
      <c r="C242" s="57"/>
      <c r="D242" s="47"/>
      <c r="E242" s="47"/>
      <c r="F242" s="47"/>
      <c r="G242" s="91"/>
      <c r="H242" s="62"/>
      <c r="I242" s="49">
        <f>SUM(I243:I260)</f>
        <v>227861.53313</v>
      </c>
      <c r="J242" s="49">
        <f t="shared" ref="J242:U242" si="19">SUM(J243:J260)</f>
        <v>135751.5877</v>
      </c>
      <c r="K242" s="49">
        <f t="shared" si="19"/>
        <v>75153.10493999999</v>
      </c>
      <c r="L242" s="49">
        <f t="shared" si="19"/>
        <v>52451.661639999998</v>
      </c>
      <c r="M242" s="49">
        <f t="shared" si="19"/>
        <v>52125.91500999999</v>
      </c>
      <c r="N242" s="49">
        <f t="shared" si="19"/>
        <v>42018.262310000006</v>
      </c>
      <c r="O242" s="49">
        <f t="shared" si="19"/>
        <v>25810.186439999994</v>
      </c>
      <c r="P242" s="49">
        <f t="shared" si="19"/>
        <v>27444.243579999998</v>
      </c>
      <c r="Q242" s="49">
        <f t="shared" si="19"/>
        <v>51334.405810000004</v>
      </c>
      <c r="R242" s="49">
        <f t="shared" si="19"/>
        <v>23183.054770000002</v>
      </c>
      <c r="S242" s="49">
        <f t="shared" si="19"/>
        <v>3987</v>
      </c>
      <c r="T242" s="49">
        <f t="shared" si="19"/>
        <v>1451.0827099999999</v>
      </c>
      <c r="U242" s="49">
        <f t="shared" si="19"/>
        <v>-44.896909999999934</v>
      </c>
      <c r="V242" s="49">
        <f>SUM(V243:V260)</f>
        <v>718527.14112999989</v>
      </c>
    </row>
    <row r="243" spans="1:22" s="50" customFormat="1" ht="14.25" customHeight="1">
      <c r="A243" s="52">
        <v>1</v>
      </c>
      <c r="B243" s="53" t="s">
        <v>200</v>
      </c>
      <c r="C243" s="54">
        <v>36259</v>
      </c>
      <c r="D243" s="53" t="s">
        <v>66</v>
      </c>
      <c r="E243" s="53" t="s">
        <v>23</v>
      </c>
      <c r="F243" s="53" t="s">
        <v>24</v>
      </c>
      <c r="G243" s="55" t="s">
        <v>62</v>
      </c>
      <c r="H243" s="56">
        <v>13901000</v>
      </c>
      <c r="I243" s="56">
        <v>14800.45549</v>
      </c>
      <c r="J243" s="56">
        <v>16361.027980000001</v>
      </c>
      <c r="K243" s="56">
        <v>0</v>
      </c>
      <c r="L243" s="17">
        <v>0</v>
      </c>
      <c r="M243" s="17">
        <v>0</v>
      </c>
      <c r="N243" s="56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56">
        <f>SUM(I243:U243)</f>
        <v>31161.483469999999</v>
      </c>
    </row>
    <row r="244" spans="1:22" s="50" customFormat="1" ht="14.25" customHeight="1">
      <c r="A244" s="52">
        <f>+A243+1</f>
        <v>2</v>
      </c>
      <c r="B244" s="53" t="s">
        <v>201</v>
      </c>
      <c r="C244" s="54">
        <v>36773</v>
      </c>
      <c r="D244" s="53" t="s">
        <v>67</v>
      </c>
      <c r="E244" s="53" t="s">
        <v>23</v>
      </c>
      <c r="F244" s="53" t="s">
        <v>24</v>
      </c>
      <c r="G244" s="55" t="s">
        <v>62</v>
      </c>
      <c r="H244" s="56">
        <v>7636000</v>
      </c>
      <c r="I244" s="56">
        <v>6942.9721399999999</v>
      </c>
      <c r="J244" s="56">
        <v>9651.4675599999991</v>
      </c>
      <c r="K244" s="56">
        <v>20272.23949</v>
      </c>
      <c r="L244" s="17">
        <v>0</v>
      </c>
      <c r="M244" s="17">
        <v>0</v>
      </c>
      <c r="N244" s="56">
        <v>0</v>
      </c>
      <c r="O244" s="17">
        <v>0</v>
      </c>
      <c r="P244" s="17">
        <v>0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56">
        <f t="shared" ref="V244:V260" si="20">SUM(I244:U244)</f>
        <v>36866.679189999995</v>
      </c>
    </row>
    <row r="245" spans="1:22" s="50" customFormat="1" ht="14.25" customHeight="1">
      <c r="A245" s="52">
        <f t="shared" ref="A245:A260" si="21">+A244+1</f>
        <v>3</v>
      </c>
      <c r="B245" s="53" t="s">
        <v>202</v>
      </c>
      <c r="C245" s="54">
        <v>36773</v>
      </c>
      <c r="D245" s="53" t="s">
        <v>68</v>
      </c>
      <c r="E245" s="53" t="s">
        <v>23</v>
      </c>
      <c r="F245" s="53" t="s">
        <v>24</v>
      </c>
      <c r="G245" s="55" t="s">
        <v>62</v>
      </c>
      <c r="H245" s="56">
        <v>24854000</v>
      </c>
      <c r="I245" s="56">
        <v>19003.247329999998</v>
      </c>
      <c r="J245" s="56">
        <v>14076.23056</v>
      </c>
      <c r="K245" s="56">
        <v>0</v>
      </c>
      <c r="L245" s="17">
        <v>0</v>
      </c>
      <c r="M245" s="17">
        <v>0</v>
      </c>
      <c r="N245" s="56">
        <v>0</v>
      </c>
      <c r="O245" s="17">
        <v>0</v>
      </c>
      <c r="P245" s="17">
        <v>0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56">
        <f t="shared" si="20"/>
        <v>33079.477889999995</v>
      </c>
    </row>
    <row r="246" spans="1:22" s="50" customFormat="1" ht="14.25" customHeight="1">
      <c r="A246" s="52">
        <f t="shared" si="21"/>
        <v>4</v>
      </c>
      <c r="B246" s="53" t="s">
        <v>203</v>
      </c>
      <c r="C246" s="54">
        <v>39055</v>
      </c>
      <c r="D246" s="53" t="s">
        <v>162</v>
      </c>
      <c r="E246" s="53" t="s">
        <v>125</v>
      </c>
      <c r="F246" s="53" t="s">
        <v>16</v>
      </c>
      <c r="G246" s="55" t="s">
        <v>62</v>
      </c>
      <c r="H246" s="56">
        <v>5972000</v>
      </c>
      <c r="I246" s="56">
        <v>13244.28197</v>
      </c>
      <c r="J246" s="56">
        <v>11928.251</v>
      </c>
      <c r="K246" s="56">
        <v>12241.986650000001</v>
      </c>
      <c r="L246" s="17">
        <v>7978.3490900000006</v>
      </c>
      <c r="M246" s="17">
        <v>5232.6617900000001</v>
      </c>
      <c r="N246" s="56">
        <v>0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56">
        <f t="shared" si="20"/>
        <v>50625.530500000001</v>
      </c>
    </row>
    <row r="247" spans="1:22" s="50" customFormat="1" ht="14.25" customHeight="1">
      <c r="A247" s="52">
        <f t="shared" si="21"/>
        <v>5</v>
      </c>
      <c r="B247" s="53" t="s">
        <v>86</v>
      </c>
      <c r="C247" s="54">
        <v>39786</v>
      </c>
      <c r="D247" s="53" t="s">
        <v>73</v>
      </c>
      <c r="E247" s="53" t="s">
        <v>165</v>
      </c>
      <c r="F247" s="53" t="s">
        <v>24</v>
      </c>
      <c r="G247" s="55" t="s">
        <v>62</v>
      </c>
      <c r="H247" s="56">
        <v>6660000</v>
      </c>
      <c r="I247" s="56">
        <v>38354.125820000001</v>
      </c>
      <c r="J247" s="56">
        <v>31160.93158</v>
      </c>
      <c r="K247" s="56">
        <v>6018.7559099999999</v>
      </c>
      <c r="L247" s="17">
        <v>24.936689999999999</v>
      </c>
      <c r="M247" s="17">
        <v>0</v>
      </c>
      <c r="N247" s="56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56">
        <f t="shared" si="20"/>
        <v>75558.75</v>
      </c>
    </row>
    <row r="248" spans="1:22" s="50" customFormat="1" ht="14.25" customHeight="1">
      <c r="A248" s="52">
        <f t="shared" si="21"/>
        <v>6</v>
      </c>
      <c r="B248" s="53" t="s">
        <v>159</v>
      </c>
      <c r="C248" s="54">
        <v>39898</v>
      </c>
      <c r="D248" s="53" t="s">
        <v>163</v>
      </c>
      <c r="E248" s="53" t="s">
        <v>166</v>
      </c>
      <c r="F248" s="56" t="s">
        <v>447</v>
      </c>
      <c r="G248" s="55" t="s">
        <v>62</v>
      </c>
      <c r="H248" s="56">
        <v>4171000</v>
      </c>
      <c r="I248" s="56">
        <v>7720.3940700000003</v>
      </c>
      <c r="J248" s="56">
        <v>20405.134719999998</v>
      </c>
      <c r="K248" s="56">
        <v>20973.219100000002</v>
      </c>
      <c r="L248" s="17">
        <v>2592.9305099999997</v>
      </c>
      <c r="M248" s="17">
        <v>0</v>
      </c>
      <c r="N248" s="56">
        <v>0</v>
      </c>
      <c r="O248" s="17">
        <v>0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56">
        <f t="shared" si="20"/>
        <v>51691.678399999997</v>
      </c>
    </row>
    <row r="249" spans="1:22" s="50" customFormat="1" ht="14.25" customHeight="1">
      <c r="A249" s="52">
        <f t="shared" si="21"/>
        <v>7</v>
      </c>
      <c r="B249" s="53" t="s">
        <v>160</v>
      </c>
      <c r="C249" s="54">
        <v>39898</v>
      </c>
      <c r="D249" s="53" t="s">
        <v>163</v>
      </c>
      <c r="E249" s="53" t="s">
        <v>165</v>
      </c>
      <c r="F249" s="56" t="s">
        <v>447</v>
      </c>
      <c r="G249" s="55" t="s">
        <v>62</v>
      </c>
      <c r="H249" s="56">
        <v>755000</v>
      </c>
      <c r="I249" s="56">
        <v>1295.37176</v>
      </c>
      <c r="J249" s="56">
        <v>2160.30033</v>
      </c>
      <c r="K249" s="56">
        <v>5352.4639699999998</v>
      </c>
      <c r="L249" s="17">
        <v>435.64512000000002</v>
      </c>
      <c r="M249" s="17">
        <v>0</v>
      </c>
      <c r="N249" s="56">
        <v>0</v>
      </c>
      <c r="O249" s="17">
        <v>0</v>
      </c>
      <c r="P249" s="17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56">
        <f t="shared" si="20"/>
        <v>9243.7811799999999</v>
      </c>
    </row>
    <row r="250" spans="1:22" s="50" customFormat="1" ht="14.25" customHeight="1">
      <c r="A250" s="52">
        <f t="shared" si="21"/>
        <v>8</v>
      </c>
      <c r="B250" s="53" t="s">
        <v>161</v>
      </c>
      <c r="C250" s="54">
        <v>39898</v>
      </c>
      <c r="D250" s="53" t="s">
        <v>164</v>
      </c>
      <c r="E250" s="53" t="s">
        <v>166</v>
      </c>
      <c r="F250" s="53" t="s">
        <v>24</v>
      </c>
      <c r="G250" s="55" t="s">
        <v>62</v>
      </c>
      <c r="H250" s="56">
        <v>4995000</v>
      </c>
      <c r="I250" s="56">
        <v>21232.452959999999</v>
      </c>
      <c r="J250" s="56">
        <v>26664.523939999999</v>
      </c>
      <c r="K250" s="56">
        <v>4510.7501299999994</v>
      </c>
      <c r="L250" s="17">
        <v>116.81635</v>
      </c>
      <c r="M250" s="17">
        <v>488.98451999999997</v>
      </c>
      <c r="N250" s="56">
        <v>548.99885999999992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56">
        <f t="shared" si="20"/>
        <v>53562.526759999993</v>
      </c>
    </row>
    <row r="251" spans="1:22" s="50" customFormat="1" ht="14.25" customHeight="1">
      <c r="A251" s="52">
        <f t="shared" si="21"/>
        <v>9</v>
      </c>
      <c r="B251" s="53" t="s">
        <v>167</v>
      </c>
      <c r="C251" s="54">
        <v>40084</v>
      </c>
      <c r="D251" s="53" t="s">
        <v>168</v>
      </c>
      <c r="E251" s="53" t="s">
        <v>41</v>
      </c>
      <c r="F251" s="53" t="s">
        <v>24</v>
      </c>
      <c r="G251" s="55" t="s">
        <v>62</v>
      </c>
      <c r="H251" s="56">
        <v>5550000</v>
      </c>
      <c r="I251" s="56">
        <v>5697.6285500000004</v>
      </c>
      <c r="J251" s="56">
        <v>3343.72003</v>
      </c>
      <c r="K251" s="56">
        <v>5574.9324699999997</v>
      </c>
      <c r="L251" s="17">
        <v>10068.60245</v>
      </c>
      <c r="M251" s="17">
        <v>15356.927170000001</v>
      </c>
      <c r="N251" s="56">
        <v>12651.064930000002</v>
      </c>
      <c r="O251" s="17">
        <v>0</v>
      </c>
      <c r="P251" s="17">
        <v>0</v>
      </c>
      <c r="Q251" s="17">
        <v>0</v>
      </c>
      <c r="R251" s="17">
        <v>0</v>
      </c>
      <c r="S251" s="17">
        <v>0</v>
      </c>
      <c r="T251" s="17">
        <v>0</v>
      </c>
      <c r="U251" s="17">
        <v>0</v>
      </c>
      <c r="V251" s="56">
        <f t="shared" si="20"/>
        <v>52692.875599999999</v>
      </c>
    </row>
    <row r="252" spans="1:22" s="50" customFormat="1" ht="14.25" customHeight="1">
      <c r="A252" s="52">
        <f t="shared" si="21"/>
        <v>10</v>
      </c>
      <c r="B252" s="53" t="s">
        <v>204</v>
      </c>
      <c r="C252" s="54">
        <v>40252</v>
      </c>
      <c r="D252" s="53" t="s">
        <v>205</v>
      </c>
      <c r="E252" s="53" t="s">
        <v>41</v>
      </c>
      <c r="F252" s="53" t="s">
        <v>24</v>
      </c>
      <c r="G252" s="55" t="s">
        <v>62</v>
      </c>
      <c r="H252" s="56">
        <v>9301000</v>
      </c>
      <c r="I252" s="56">
        <v>99570.603040000002</v>
      </c>
      <c r="J252" s="56">
        <v>0</v>
      </c>
      <c r="K252" s="56">
        <v>208.75721999999999</v>
      </c>
      <c r="L252" s="17">
        <v>0</v>
      </c>
      <c r="M252" s="17">
        <v>0</v>
      </c>
      <c r="N252" s="56">
        <v>0</v>
      </c>
      <c r="O252" s="17">
        <v>0</v>
      </c>
      <c r="P252" s="17">
        <v>0</v>
      </c>
      <c r="Q252" s="17">
        <v>0</v>
      </c>
      <c r="R252" s="17">
        <v>0</v>
      </c>
      <c r="S252" s="17">
        <v>0</v>
      </c>
      <c r="T252" s="17">
        <v>0</v>
      </c>
      <c r="U252" s="17">
        <v>0</v>
      </c>
      <c r="V252" s="56">
        <f t="shared" si="20"/>
        <v>99779.360260000001</v>
      </c>
    </row>
    <row r="253" spans="1:22" s="50" customFormat="1" ht="14.25" customHeight="1">
      <c r="A253" s="52">
        <f t="shared" si="21"/>
        <v>11</v>
      </c>
      <c r="B253" s="53" t="s">
        <v>291</v>
      </c>
      <c r="C253" s="54">
        <v>40998</v>
      </c>
      <c r="D253" s="53" t="s">
        <v>302</v>
      </c>
      <c r="E253" s="53" t="s">
        <v>296</v>
      </c>
      <c r="F253" s="53" t="s">
        <v>24</v>
      </c>
      <c r="G253" s="55" t="s">
        <v>62</v>
      </c>
      <c r="H253" s="56">
        <v>3210000</v>
      </c>
      <c r="I253" s="56">
        <v>0</v>
      </c>
      <c r="J253" s="56">
        <v>0</v>
      </c>
      <c r="K253" s="56">
        <v>0</v>
      </c>
      <c r="L253" s="17">
        <v>0</v>
      </c>
      <c r="M253" s="17">
        <v>6969.3773999999994</v>
      </c>
      <c r="N253" s="56">
        <v>9238.2031400000014</v>
      </c>
      <c r="O253" s="17">
        <v>5013.2299999999996</v>
      </c>
      <c r="P253" s="17">
        <v>2586.4115900000002</v>
      </c>
      <c r="Q253" s="17">
        <v>2041.7883400000001</v>
      </c>
      <c r="R253" s="17">
        <v>0</v>
      </c>
      <c r="S253" s="17">
        <v>0</v>
      </c>
      <c r="T253" s="17">
        <v>-175.35839999999999</v>
      </c>
      <c r="U253" s="17">
        <v>0</v>
      </c>
      <c r="V253" s="56">
        <f t="shared" si="20"/>
        <v>25673.652069999996</v>
      </c>
    </row>
    <row r="254" spans="1:22" s="50" customFormat="1" ht="14.25" customHeight="1">
      <c r="A254" s="52">
        <f t="shared" si="21"/>
        <v>12</v>
      </c>
      <c r="B254" s="53" t="s">
        <v>292</v>
      </c>
      <c r="C254" s="54">
        <v>40998</v>
      </c>
      <c r="D254" s="53" t="s">
        <v>301</v>
      </c>
      <c r="E254" s="53" t="s">
        <v>237</v>
      </c>
      <c r="F254" s="53" t="s">
        <v>16</v>
      </c>
      <c r="G254" s="55" t="s">
        <v>62</v>
      </c>
      <c r="H254" s="56">
        <v>4406000</v>
      </c>
      <c r="I254" s="56">
        <v>0</v>
      </c>
      <c r="J254" s="56">
        <v>0</v>
      </c>
      <c r="K254" s="56">
        <v>0</v>
      </c>
      <c r="L254" s="17">
        <v>1536.4285499999999</v>
      </c>
      <c r="M254" s="17">
        <v>1146.6992299999999</v>
      </c>
      <c r="N254" s="56">
        <v>603.90566999999999</v>
      </c>
      <c r="O254" s="17">
        <v>5687.3927300000005</v>
      </c>
      <c r="P254" s="17">
        <v>5701.4580800000003</v>
      </c>
      <c r="Q254" s="17">
        <v>6517.1639400000004</v>
      </c>
      <c r="R254" s="17">
        <v>1225.5985700000001</v>
      </c>
      <c r="S254" s="17">
        <v>11</v>
      </c>
      <c r="T254" s="17">
        <v>0</v>
      </c>
      <c r="U254" s="17">
        <v>0</v>
      </c>
      <c r="V254" s="56">
        <f t="shared" si="20"/>
        <v>22429.646769999999</v>
      </c>
    </row>
    <row r="255" spans="1:22" s="50" customFormat="1" ht="14.25" customHeight="1">
      <c r="A255" s="52">
        <f t="shared" si="21"/>
        <v>13</v>
      </c>
      <c r="B255" s="53" t="s">
        <v>293</v>
      </c>
      <c r="C255" s="54">
        <v>41194</v>
      </c>
      <c r="D255" s="53" t="s">
        <v>300</v>
      </c>
      <c r="E255" s="53" t="s">
        <v>297</v>
      </c>
      <c r="F255" s="53" t="s">
        <v>298</v>
      </c>
      <c r="G255" s="55" t="s">
        <v>62</v>
      </c>
      <c r="H255" s="56">
        <v>8770000</v>
      </c>
      <c r="I255" s="56">
        <v>0</v>
      </c>
      <c r="J255" s="56">
        <v>0</v>
      </c>
      <c r="K255" s="56">
        <v>0</v>
      </c>
      <c r="L255" s="17">
        <v>29697.952880000001</v>
      </c>
      <c r="M255" s="17">
        <v>18681.181049999999</v>
      </c>
      <c r="N255" s="56">
        <v>14486.22676</v>
      </c>
      <c r="O255" s="17">
        <v>4524.4985200000001</v>
      </c>
      <c r="P255" s="17">
        <v>0</v>
      </c>
      <c r="Q255" s="17">
        <v>16347.37926</v>
      </c>
      <c r="R255" s="17">
        <v>0</v>
      </c>
      <c r="S255" s="17">
        <v>0</v>
      </c>
      <c r="T255" s="17">
        <v>0</v>
      </c>
      <c r="U255" s="17">
        <v>0</v>
      </c>
      <c r="V255" s="56">
        <f t="shared" si="20"/>
        <v>83737.238469999997</v>
      </c>
    </row>
    <row r="256" spans="1:22" s="50" customFormat="1" ht="14.25" customHeight="1">
      <c r="A256" s="52">
        <f t="shared" si="21"/>
        <v>14</v>
      </c>
      <c r="B256" s="53" t="s">
        <v>294</v>
      </c>
      <c r="C256" s="54">
        <v>41194</v>
      </c>
      <c r="D256" s="53" t="s">
        <v>273</v>
      </c>
      <c r="E256" s="53" t="s">
        <v>283</v>
      </c>
      <c r="F256" s="53" t="s">
        <v>277</v>
      </c>
      <c r="G256" s="55" t="s">
        <v>62</v>
      </c>
      <c r="H256" s="56">
        <v>4396000</v>
      </c>
      <c r="I256" s="56">
        <v>0</v>
      </c>
      <c r="J256" s="56">
        <v>0</v>
      </c>
      <c r="K256" s="56">
        <v>0</v>
      </c>
      <c r="L256" s="17">
        <v>0</v>
      </c>
      <c r="M256" s="17">
        <v>2356.0086499999998</v>
      </c>
      <c r="N256" s="56">
        <v>775.33113999999989</v>
      </c>
      <c r="O256" s="17">
        <v>5026.2921100000003</v>
      </c>
      <c r="P256" s="17">
        <v>9018.3698299999996</v>
      </c>
      <c r="Q256" s="17">
        <v>10292.93953</v>
      </c>
      <c r="R256" s="17">
        <v>8468.58475</v>
      </c>
      <c r="S256" s="17">
        <v>554</v>
      </c>
      <c r="T256" s="17">
        <v>1555.50334</v>
      </c>
      <c r="U256" s="17">
        <f>-337.9483+-731.26424</f>
        <v>-1069.21254</v>
      </c>
      <c r="V256" s="56">
        <f t="shared" si="20"/>
        <v>36977.816810000004</v>
      </c>
    </row>
    <row r="257" spans="1:22" s="50" customFormat="1" ht="14.25" customHeight="1">
      <c r="A257" s="52">
        <f t="shared" si="21"/>
        <v>15</v>
      </c>
      <c r="B257" s="53" t="s">
        <v>295</v>
      </c>
      <c r="C257" s="54">
        <v>41283</v>
      </c>
      <c r="D257" s="53" t="s">
        <v>299</v>
      </c>
      <c r="E257" s="53" t="s">
        <v>41</v>
      </c>
      <c r="F257" s="53" t="s">
        <v>24</v>
      </c>
      <c r="G257" s="55" t="s">
        <v>62</v>
      </c>
      <c r="H257" s="56">
        <v>5078000</v>
      </c>
      <c r="I257" s="56">
        <v>0</v>
      </c>
      <c r="J257" s="56">
        <v>0</v>
      </c>
      <c r="K257" s="56">
        <v>0</v>
      </c>
      <c r="L257" s="17">
        <v>0</v>
      </c>
      <c r="M257" s="17">
        <v>1894.0752</v>
      </c>
      <c r="N257" s="56">
        <v>2934.31306</v>
      </c>
      <c r="O257" s="17">
        <v>2658.7352000000001</v>
      </c>
      <c r="P257" s="17">
        <v>9045.2658499999998</v>
      </c>
      <c r="Q257" s="17">
        <v>11689.978139999999</v>
      </c>
      <c r="R257" s="17">
        <v>11812.501650000002</v>
      </c>
      <c r="S257" s="17">
        <v>3144</v>
      </c>
      <c r="T257" s="17">
        <v>0</v>
      </c>
      <c r="U257" s="17">
        <v>0</v>
      </c>
      <c r="V257" s="56">
        <f t="shared" si="20"/>
        <v>43178.869099999996</v>
      </c>
    </row>
    <row r="258" spans="1:22" s="50" customFormat="1" ht="14.25" customHeight="1">
      <c r="A258" s="52">
        <f t="shared" si="21"/>
        <v>16</v>
      </c>
      <c r="B258" s="53" t="s">
        <v>345</v>
      </c>
      <c r="C258" s="54">
        <v>41283</v>
      </c>
      <c r="D258" s="53" t="s">
        <v>347</v>
      </c>
      <c r="E258" s="53" t="s">
        <v>349</v>
      </c>
      <c r="F258" s="53" t="s">
        <v>351</v>
      </c>
      <c r="G258" s="55" t="s">
        <v>62</v>
      </c>
      <c r="H258" s="56">
        <v>2905000</v>
      </c>
      <c r="I258" s="56">
        <v>0</v>
      </c>
      <c r="J258" s="56">
        <v>0</v>
      </c>
      <c r="K258" s="56">
        <v>0</v>
      </c>
      <c r="L258" s="17">
        <v>0</v>
      </c>
      <c r="M258" s="17">
        <v>0</v>
      </c>
      <c r="N258" s="56">
        <v>270.73331999999999</v>
      </c>
      <c r="O258" s="17">
        <v>2304.6710199999998</v>
      </c>
      <c r="P258" s="17">
        <v>602.55161999999996</v>
      </c>
      <c r="Q258" s="17">
        <v>4306.13609</v>
      </c>
      <c r="R258" s="17">
        <v>1485.2400299999999</v>
      </c>
      <c r="S258" s="17">
        <v>0</v>
      </c>
      <c r="T258" s="17">
        <v>0</v>
      </c>
      <c r="U258" s="17">
        <v>0</v>
      </c>
      <c r="V258" s="56">
        <f t="shared" si="20"/>
        <v>8969.3320800000001</v>
      </c>
    </row>
    <row r="259" spans="1:22" s="50" customFormat="1" ht="14.25" customHeight="1">
      <c r="A259" s="52">
        <f t="shared" si="21"/>
        <v>17</v>
      </c>
      <c r="B259" s="53" t="s">
        <v>346</v>
      </c>
      <c r="C259" s="54">
        <v>41950</v>
      </c>
      <c r="D259" s="53" t="s">
        <v>348</v>
      </c>
      <c r="E259" s="53" t="s">
        <v>350</v>
      </c>
      <c r="F259" s="56" t="s">
        <v>447</v>
      </c>
      <c r="G259" s="55" t="s">
        <v>62</v>
      </c>
      <c r="H259" s="56">
        <v>6944000</v>
      </c>
      <c r="I259" s="56">
        <v>0</v>
      </c>
      <c r="J259" s="56">
        <v>0</v>
      </c>
      <c r="K259" s="56">
        <v>0</v>
      </c>
      <c r="L259" s="17">
        <v>0</v>
      </c>
      <c r="M259" s="17">
        <v>0</v>
      </c>
      <c r="N259" s="56">
        <v>509.48543000000001</v>
      </c>
      <c r="O259" s="17">
        <v>595.36685999999997</v>
      </c>
      <c r="P259" s="17">
        <v>490.18660999999997</v>
      </c>
      <c r="Q259" s="17">
        <v>139.02051</v>
      </c>
      <c r="R259" s="17">
        <v>191.12977000000001</v>
      </c>
      <c r="S259" s="17">
        <v>0</v>
      </c>
      <c r="T259" s="17">
        <v>70.93777</v>
      </c>
      <c r="U259" s="17">
        <v>11.0152</v>
      </c>
      <c r="V259" s="56">
        <f t="shared" si="20"/>
        <v>2007.1421500000001</v>
      </c>
    </row>
    <row r="260" spans="1:22" s="43" customFormat="1" ht="14.25" customHeight="1">
      <c r="A260" s="12">
        <f t="shared" si="21"/>
        <v>18</v>
      </c>
      <c r="B260" s="13" t="s">
        <v>395</v>
      </c>
      <c r="C260" s="14">
        <v>41951</v>
      </c>
      <c r="D260" s="13" t="s">
        <v>396</v>
      </c>
      <c r="E260" s="13" t="s">
        <v>125</v>
      </c>
      <c r="F260" s="13" t="s">
        <v>16</v>
      </c>
      <c r="G260" s="15" t="s">
        <v>62</v>
      </c>
      <c r="H260" s="56">
        <v>2480000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  <c r="S260" s="17">
        <v>278</v>
      </c>
      <c r="T260" s="17">
        <v>0</v>
      </c>
      <c r="U260" s="17">
        <f>895.98605+117.31438</f>
        <v>1013.30043</v>
      </c>
      <c r="V260" s="56">
        <f t="shared" si="20"/>
        <v>1291.30043</v>
      </c>
    </row>
    <row r="261" spans="1:22" s="51" customFormat="1">
      <c r="A261" s="70"/>
      <c r="B261" s="71"/>
      <c r="C261" s="72"/>
      <c r="D261" s="71"/>
      <c r="E261" s="71"/>
      <c r="F261" s="71"/>
      <c r="G261" s="73"/>
      <c r="H261" s="69"/>
      <c r="I261" s="69"/>
      <c r="J261" s="69"/>
      <c r="K261" s="69"/>
      <c r="L261" s="22"/>
      <c r="M261" s="22"/>
      <c r="N261" s="69"/>
      <c r="O261" s="22"/>
      <c r="P261" s="22"/>
      <c r="Q261" s="22"/>
      <c r="R261" s="22"/>
      <c r="S261" s="22"/>
      <c r="T261" s="22"/>
      <c r="U261" s="22"/>
      <c r="V261" s="69"/>
    </row>
    <row r="262" spans="1:22" s="51" customFormat="1" ht="16.5">
      <c r="A262" s="63" t="s">
        <v>99</v>
      </c>
      <c r="B262" s="64" t="s">
        <v>100</v>
      </c>
      <c r="C262" s="72"/>
      <c r="D262" s="71"/>
      <c r="E262" s="71"/>
      <c r="F262" s="71"/>
      <c r="G262" s="73"/>
      <c r="H262" s="69"/>
      <c r="I262" s="65">
        <f>SUM(I263:I274)</f>
        <v>1000000</v>
      </c>
      <c r="J262" s="65">
        <f t="shared" ref="J262:U262" si="22">SUM(J263:J274)</f>
        <v>0</v>
      </c>
      <c r="K262" s="65">
        <f t="shared" si="22"/>
        <v>500000</v>
      </c>
      <c r="L262" s="65">
        <f t="shared" si="22"/>
        <v>0</v>
      </c>
      <c r="M262" s="65">
        <f t="shared" si="22"/>
        <v>500000</v>
      </c>
      <c r="N262" s="65">
        <f t="shared" si="22"/>
        <v>3056302.0991799999</v>
      </c>
      <c r="O262" s="65">
        <f t="shared" si="22"/>
        <v>1150198.7507100001</v>
      </c>
      <c r="P262" s="65">
        <f t="shared" si="22"/>
        <v>0</v>
      </c>
      <c r="Q262" s="65">
        <f t="shared" si="22"/>
        <v>0</v>
      </c>
      <c r="R262" s="65">
        <f t="shared" si="22"/>
        <v>750000</v>
      </c>
      <c r="S262" s="65">
        <f t="shared" si="22"/>
        <v>3000000</v>
      </c>
      <c r="T262" s="65">
        <f t="shared" si="22"/>
        <v>10171863.226160001</v>
      </c>
      <c r="U262" s="65">
        <f t="shared" si="22"/>
        <v>0</v>
      </c>
      <c r="V262" s="65">
        <f>SUM(V263:V272)</f>
        <v>9956500.8498900011</v>
      </c>
    </row>
    <row r="263" spans="1:22" s="51" customFormat="1" ht="14.25" customHeight="1">
      <c r="A263" s="52">
        <v>1</v>
      </c>
      <c r="B263" s="53" t="s">
        <v>101</v>
      </c>
      <c r="C263" s="54" t="s">
        <v>102</v>
      </c>
      <c r="D263" s="53" t="s">
        <v>103</v>
      </c>
      <c r="E263" s="53" t="s">
        <v>18</v>
      </c>
      <c r="F263" s="53" t="s">
        <v>298</v>
      </c>
      <c r="G263" s="55" t="s">
        <v>17</v>
      </c>
      <c r="H263" s="56">
        <v>1000000</v>
      </c>
      <c r="I263" s="17">
        <v>1000000</v>
      </c>
      <c r="J263" s="17">
        <v>0</v>
      </c>
      <c r="K263" s="17">
        <v>0</v>
      </c>
      <c r="L263" s="17">
        <v>0</v>
      </c>
      <c r="M263" s="17">
        <v>0</v>
      </c>
      <c r="N263" s="56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  <c r="V263" s="56">
        <f>SUM(I263:U263)</f>
        <v>1000000</v>
      </c>
    </row>
    <row r="264" spans="1:22" s="51" customFormat="1" ht="14.25" customHeight="1">
      <c r="A264" s="52">
        <f t="shared" ref="A264:A274" si="23">+A263+1</f>
        <v>2</v>
      </c>
      <c r="B264" s="53" t="s">
        <v>101</v>
      </c>
      <c r="C264" s="54" t="s">
        <v>102</v>
      </c>
      <c r="D264" s="53" t="s">
        <v>103</v>
      </c>
      <c r="E264" s="53" t="s">
        <v>18</v>
      </c>
      <c r="F264" s="53" t="s">
        <v>298</v>
      </c>
      <c r="G264" s="55" t="s">
        <v>17</v>
      </c>
      <c r="H264" s="56">
        <v>900000</v>
      </c>
      <c r="I264" s="17">
        <v>0</v>
      </c>
      <c r="J264" s="17">
        <v>0</v>
      </c>
      <c r="K264" s="17">
        <v>500000</v>
      </c>
      <c r="L264" s="17">
        <v>0</v>
      </c>
      <c r="M264" s="17">
        <v>0</v>
      </c>
      <c r="N264" s="56">
        <v>0</v>
      </c>
      <c r="O264" s="17">
        <v>0</v>
      </c>
      <c r="P264" s="17">
        <v>0</v>
      </c>
      <c r="Q264" s="17">
        <v>0</v>
      </c>
      <c r="R264" s="17">
        <v>0</v>
      </c>
      <c r="S264" s="17">
        <v>0</v>
      </c>
      <c r="T264" s="17">
        <v>0</v>
      </c>
      <c r="U264" s="17">
        <v>0</v>
      </c>
      <c r="V264" s="56">
        <f t="shared" ref="V264:V274" si="24">SUM(I264:U264)</f>
        <v>500000</v>
      </c>
    </row>
    <row r="265" spans="1:22" s="51" customFormat="1" ht="14.25" customHeight="1">
      <c r="A265" s="52">
        <f t="shared" si="23"/>
        <v>3</v>
      </c>
      <c r="B265" s="53" t="s">
        <v>101</v>
      </c>
      <c r="C265" s="54" t="s">
        <v>102</v>
      </c>
      <c r="D265" s="53" t="s">
        <v>103</v>
      </c>
      <c r="E265" s="53" t="s">
        <v>18</v>
      </c>
      <c r="F265" s="53" t="s">
        <v>298</v>
      </c>
      <c r="G265" s="55" t="s">
        <v>17</v>
      </c>
      <c r="H265" s="56">
        <v>500000</v>
      </c>
      <c r="I265" s="17">
        <v>0</v>
      </c>
      <c r="J265" s="17">
        <v>0</v>
      </c>
      <c r="K265" s="17">
        <v>0</v>
      </c>
      <c r="L265" s="17">
        <v>0</v>
      </c>
      <c r="M265" s="17">
        <v>500000</v>
      </c>
      <c r="N265" s="17">
        <v>0</v>
      </c>
      <c r="O265" s="17">
        <v>0</v>
      </c>
      <c r="P265" s="17">
        <v>0</v>
      </c>
      <c r="Q265" s="17">
        <v>0</v>
      </c>
      <c r="R265" s="17">
        <v>0</v>
      </c>
      <c r="S265" s="17">
        <v>0</v>
      </c>
      <c r="T265" s="17">
        <v>0</v>
      </c>
      <c r="U265" s="17">
        <v>0</v>
      </c>
      <c r="V265" s="56">
        <f t="shared" si="24"/>
        <v>500000</v>
      </c>
    </row>
    <row r="266" spans="1:22" s="51" customFormat="1" ht="14.25" customHeight="1">
      <c r="A266" s="52">
        <f t="shared" si="23"/>
        <v>4</v>
      </c>
      <c r="B266" s="53" t="s">
        <v>101</v>
      </c>
      <c r="C266" s="54" t="s">
        <v>102</v>
      </c>
      <c r="D266" s="53" t="s">
        <v>103</v>
      </c>
      <c r="E266" s="53" t="s">
        <v>18</v>
      </c>
      <c r="F266" s="53" t="s">
        <v>298</v>
      </c>
      <c r="G266" s="55" t="s">
        <v>17</v>
      </c>
      <c r="H266" s="56">
        <v>545000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545000</v>
      </c>
      <c r="O266" s="17">
        <v>0</v>
      </c>
      <c r="P266" s="17">
        <v>0</v>
      </c>
      <c r="Q266" s="17">
        <v>0</v>
      </c>
      <c r="R266" s="17">
        <v>0</v>
      </c>
      <c r="S266" s="17">
        <v>0</v>
      </c>
      <c r="T266" s="17">
        <v>0</v>
      </c>
      <c r="U266" s="17">
        <v>0</v>
      </c>
      <c r="V266" s="56">
        <f t="shared" si="24"/>
        <v>545000</v>
      </c>
    </row>
    <row r="267" spans="1:22" s="51" customFormat="1" ht="14.25" customHeight="1">
      <c r="A267" s="52">
        <f t="shared" si="23"/>
        <v>5</v>
      </c>
      <c r="B267" s="53" t="s">
        <v>101</v>
      </c>
      <c r="C267" s="54" t="s">
        <v>102</v>
      </c>
      <c r="D267" s="53" t="s">
        <v>103</v>
      </c>
      <c r="E267" s="53" t="s">
        <v>18</v>
      </c>
      <c r="F267" s="53" t="s">
        <v>298</v>
      </c>
      <c r="G267" s="55" t="s">
        <v>17</v>
      </c>
      <c r="H267" s="56">
        <v>1250000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1250000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  <c r="V267" s="56">
        <f t="shared" si="24"/>
        <v>1250000</v>
      </c>
    </row>
    <row r="268" spans="1:22" s="51" customFormat="1" ht="14.25" customHeight="1">
      <c r="A268" s="52">
        <f t="shared" si="23"/>
        <v>6</v>
      </c>
      <c r="B268" s="53" t="s">
        <v>101</v>
      </c>
      <c r="C268" s="54" t="s">
        <v>102</v>
      </c>
      <c r="D268" s="53" t="s">
        <v>103</v>
      </c>
      <c r="E268" s="53" t="s">
        <v>18</v>
      </c>
      <c r="F268" s="53" t="s">
        <v>298</v>
      </c>
      <c r="G268" s="55" t="s">
        <v>59</v>
      </c>
      <c r="H268" s="56">
        <v>1100000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1261302.0991800001</v>
      </c>
      <c r="O268" s="17">
        <v>0</v>
      </c>
      <c r="P268" s="17">
        <v>0</v>
      </c>
      <c r="Q268" s="17">
        <v>0</v>
      </c>
      <c r="R268" s="17">
        <v>0</v>
      </c>
      <c r="S268" s="17">
        <v>0</v>
      </c>
      <c r="T268" s="17">
        <v>0</v>
      </c>
      <c r="U268" s="17">
        <v>0</v>
      </c>
      <c r="V268" s="56">
        <f t="shared" si="24"/>
        <v>1261302.0991800001</v>
      </c>
    </row>
    <row r="269" spans="1:22" s="51" customFormat="1" ht="14.25" customHeight="1">
      <c r="A269" s="52">
        <f t="shared" si="23"/>
        <v>7</v>
      </c>
      <c r="B269" s="53" t="s">
        <v>101</v>
      </c>
      <c r="C269" s="54" t="s">
        <v>102</v>
      </c>
      <c r="D269" s="53" t="s">
        <v>103</v>
      </c>
      <c r="E269" s="53" t="s">
        <v>18</v>
      </c>
      <c r="F269" s="53" t="s">
        <v>298</v>
      </c>
      <c r="G269" s="55" t="s">
        <v>59</v>
      </c>
      <c r="H269" s="56">
        <v>1000000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1150198.7507100001</v>
      </c>
      <c r="P269" s="17">
        <v>0</v>
      </c>
      <c r="Q269" s="17">
        <v>0</v>
      </c>
      <c r="R269" s="17">
        <v>0</v>
      </c>
      <c r="S269" s="17">
        <v>0</v>
      </c>
      <c r="T269" s="17">
        <v>0</v>
      </c>
      <c r="U269" s="17">
        <v>0</v>
      </c>
      <c r="V269" s="56">
        <f t="shared" si="24"/>
        <v>1150198.7507100001</v>
      </c>
    </row>
    <row r="270" spans="1:22" s="122" customFormat="1" ht="14.25" customHeight="1">
      <c r="A270" s="120">
        <f t="shared" si="23"/>
        <v>8</v>
      </c>
      <c r="B270" s="113" t="s">
        <v>101</v>
      </c>
      <c r="C270" s="114" t="s">
        <v>102</v>
      </c>
      <c r="D270" s="113" t="s">
        <v>103</v>
      </c>
      <c r="E270" s="113" t="s">
        <v>18</v>
      </c>
      <c r="F270" s="113" t="s">
        <v>298</v>
      </c>
      <c r="G270" s="121" t="s">
        <v>17</v>
      </c>
      <c r="H270" s="111">
        <v>750000</v>
      </c>
      <c r="I270" s="110">
        <v>0</v>
      </c>
      <c r="J270" s="110">
        <v>0</v>
      </c>
      <c r="K270" s="110">
        <v>0</v>
      </c>
      <c r="L270" s="110">
        <v>0</v>
      </c>
      <c r="M270" s="110">
        <v>0</v>
      </c>
      <c r="N270" s="110">
        <v>0</v>
      </c>
      <c r="O270" s="110">
        <v>0</v>
      </c>
      <c r="P270" s="110">
        <v>0</v>
      </c>
      <c r="Q270" s="110">
        <v>0</v>
      </c>
      <c r="R270" s="110">
        <v>750000</v>
      </c>
      <c r="S270" s="110">
        <v>0</v>
      </c>
      <c r="T270" s="110">
        <v>0</v>
      </c>
      <c r="U270" s="110">
        <v>0</v>
      </c>
      <c r="V270" s="56">
        <f t="shared" si="24"/>
        <v>750000</v>
      </c>
    </row>
    <row r="271" spans="1:22" s="122" customFormat="1" ht="14.25" customHeight="1">
      <c r="A271" s="120">
        <f t="shared" si="23"/>
        <v>9</v>
      </c>
      <c r="B271" s="113" t="s">
        <v>101</v>
      </c>
      <c r="C271" s="114" t="s">
        <v>102</v>
      </c>
      <c r="D271" s="113" t="s">
        <v>103</v>
      </c>
      <c r="E271" s="113" t="s">
        <v>18</v>
      </c>
      <c r="F271" s="113" t="s">
        <v>298</v>
      </c>
      <c r="G271" s="121" t="s">
        <v>17</v>
      </c>
      <c r="H271" s="111">
        <v>1000000</v>
      </c>
      <c r="I271" s="110">
        <v>0</v>
      </c>
      <c r="J271" s="110">
        <v>0</v>
      </c>
      <c r="K271" s="110">
        <v>0</v>
      </c>
      <c r="L271" s="110">
        <v>0</v>
      </c>
      <c r="M271" s="110">
        <v>0</v>
      </c>
      <c r="N271" s="110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1000000</v>
      </c>
      <c r="T271" s="110">
        <v>0</v>
      </c>
      <c r="U271" s="110">
        <v>0</v>
      </c>
      <c r="V271" s="56">
        <f t="shared" si="24"/>
        <v>1000000</v>
      </c>
    </row>
    <row r="272" spans="1:22" s="122" customFormat="1" ht="14.25" customHeight="1">
      <c r="A272" s="120">
        <f t="shared" si="23"/>
        <v>10</v>
      </c>
      <c r="B272" s="113" t="s">
        <v>101</v>
      </c>
      <c r="C272" s="114" t="s">
        <v>102</v>
      </c>
      <c r="D272" s="113" t="s">
        <v>103</v>
      </c>
      <c r="E272" s="113" t="s">
        <v>18</v>
      </c>
      <c r="F272" s="113" t="s">
        <v>298</v>
      </c>
      <c r="G272" s="121" t="s">
        <v>17</v>
      </c>
      <c r="H272" s="111">
        <v>2000000</v>
      </c>
      <c r="I272" s="110">
        <v>0</v>
      </c>
      <c r="J272" s="110">
        <v>0</v>
      </c>
      <c r="K272" s="110">
        <v>0</v>
      </c>
      <c r="L272" s="110">
        <v>0</v>
      </c>
      <c r="M272" s="110">
        <v>0</v>
      </c>
      <c r="N272" s="110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2000000</v>
      </c>
      <c r="T272" s="110">
        <v>0</v>
      </c>
      <c r="U272" s="110">
        <v>0</v>
      </c>
      <c r="V272" s="56">
        <f t="shared" si="24"/>
        <v>2000000</v>
      </c>
    </row>
    <row r="273" spans="1:22" s="122" customFormat="1" ht="14.25" customHeight="1">
      <c r="A273" s="120">
        <f t="shared" si="23"/>
        <v>11</v>
      </c>
      <c r="B273" s="113" t="s">
        <v>101</v>
      </c>
      <c r="C273" s="114" t="s">
        <v>102</v>
      </c>
      <c r="D273" s="113" t="s">
        <v>103</v>
      </c>
      <c r="E273" s="113" t="s">
        <v>18</v>
      </c>
      <c r="F273" s="113" t="s">
        <v>298</v>
      </c>
      <c r="G273" s="121" t="s">
        <v>17</v>
      </c>
      <c r="H273" s="111">
        <f>1750000+1250000+1000000+2250000+750000+1000000</f>
        <v>8000000</v>
      </c>
      <c r="I273" s="110">
        <v>0</v>
      </c>
      <c r="J273" s="110">
        <v>0</v>
      </c>
      <c r="K273" s="110">
        <v>0</v>
      </c>
      <c r="L273" s="110">
        <v>0</v>
      </c>
      <c r="M273" s="110">
        <v>0</v>
      </c>
      <c r="N273" s="110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8000000</v>
      </c>
      <c r="U273" s="110">
        <v>0</v>
      </c>
      <c r="V273" s="56">
        <f t="shared" si="24"/>
        <v>8000000</v>
      </c>
    </row>
    <row r="274" spans="1:22" s="122" customFormat="1" ht="14.25" customHeight="1">
      <c r="A274" s="120">
        <f t="shared" si="23"/>
        <v>12</v>
      </c>
      <c r="B274" s="113" t="s">
        <v>101</v>
      </c>
      <c r="C274" s="114" t="s">
        <v>102</v>
      </c>
      <c r="D274" s="113" t="s">
        <v>103</v>
      </c>
      <c r="E274" s="113" t="s">
        <v>18</v>
      </c>
      <c r="F274" s="113" t="s">
        <v>298</v>
      </c>
      <c r="G274" s="121" t="s">
        <v>59</v>
      </c>
      <c r="H274" s="111">
        <f>1022374.83085+1149488.39531</f>
        <v>2171863.2261600001</v>
      </c>
      <c r="I274" s="110">
        <v>0</v>
      </c>
      <c r="J274" s="110">
        <v>0</v>
      </c>
      <c r="K274" s="110">
        <v>0</v>
      </c>
      <c r="L274" s="110">
        <v>0</v>
      </c>
      <c r="M274" s="110">
        <v>0</v>
      </c>
      <c r="N274" s="110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2171863.2261600001</v>
      </c>
      <c r="U274" s="110">
        <v>0</v>
      </c>
      <c r="V274" s="56">
        <f t="shared" si="24"/>
        <v>2171863.2261600001</v>
      </c>
    </row>
    <row r="275" spans="1:22" s="51" customFormat="1">
      <c r="A275" s="70"/>
      <c r="B275" s="74"/>
      <c r="C275" s="72"/>
      <c r="D275" s="71"/>
      <c r="E275" s="71"/>
      <c r="F275" s="71"/>
      <c r="G275" s="73"/>
      <c r="H275" s="69"/>
      <c r="I275" s="22"/>
      <c r="J275" s="22"/>
      <c r="K275" s="22"/>
      <c r="L275" s="22"/>
      <c r="M275" s="22"/>
      <c r="N275" s="69"/>
      <c r="O275" s="69"/>
      <c r="P275" s="69"/>
      <c r="Q275" s="69"/>
      <c r="R275" s="69"/>
      <c r="S275" s="69"/>
      <c r="T275" s="69"/>
      <c r="U275" s="69"/>
      <c r="V275" s="69"/>
    </row>
    <row r="276" spans="1:22" ht="16.5">
      <c r="A276" s="6" t="s">
        <v>128</v>
      </c>
      <c r="B276" s="7" t="s">
        <v>129</v>
      </c>
      <c r="C276" s="19"/>
      <c r="D276" s="20"/>
      <c r="E276" s="20"/>
      <c r="F276" s="20"/>
      <c r="G276" s="21"/>
      <c r="H276" s="22"/>
      <c r="I276" s="10">
        <f>SUM(I277:I278)</f>
        <v>1560803</v>
      </c>
      <c r="J276" s="10">
        <f t="shared" ref="J276:U276" si="25">SUM(J277:J278)</f>
        <v>0</v>
      </c>
      <c r="K276" s="10">
        <f t="shared" si="25"/>
        <v>0</v>
      </c>
      <c r="L276" s="10">
        <f t="shared" si="25"/>
        <v>0</v>
      </c>
      <c r="M276" s="10">
        <f t="shared" si="25"/>
        <v>0</v>
      </c>
      <c r="N276" s="10">
        <f t="shared" si="25"/>
        <v>0</v>
      </c>
      <c r="O276" s="10">
        <f t="shared" si="25"/>
        <v>0</v>
      </c>
      <c r="P276" s="10">
        <f t="shared" si="25"/>
        <v>0</v>
      </c>
      <c r="Q276" s="10">
        <f t="shared" si="25"/>
        <v>0</v>
      </c>
      <c r="R276" s="10">
        <f t="shared" si="25"/>
        <v>0</v>
      </c>
      <c r="S276" s="10">
        <f t="shared" si="25"/>
        <v>0</v>
      </c>
      <c r="T276" s="10">
        <f t="shared" si="25"/>
        <v>0</v>
      </c>
      <c r="U276" s="10">
        <f t="shared" si="25"/>
        <v>0</v>
      </c>
      <c r="V276" s="10">
        <f t="shared" ref="V276" si="26">SUM(V277:V278)</f>
        <v>1560803</v>
      </c>
    </row>
    <row r="277" spans="1:22" ht="14.25" customHeight="1">
      <c r="A277" s="12">
        <v>1</v>
      </c>
      <c r="B277" s="13" t="s">
        <v>101</v>
      </c>
      <c r="C277" s="14" t="s">
        <v>102</v>
      </c>
      <c r="D277" s="13" t="s">
        <v>130</v>
      </c>
      <c r="E277" s="13" t="s">
        <v>18</v>
      </c>
      <c r="F277" s="53" t="s">
        <v>298</v>
      </c>
      <c r="G277" s="15" t="s">
        <v>17</v>
      </c>
      <c r="H277" s="56">
        <v>1260803</v>
      </c>
      <c r="I277" s="17">
        <v>1260803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  <c r="R277" s="17">
        <v>0</v>
      </c>
      <c r="S277" s="17">
        <v>0</v>
      </c>
      <c r="T277" s="17">
        <v>0</v>
      </c>
      <c r="U277" s="17">
        <v>0</v>
      </c>
      <c r="V277" s="56">
        <f>SUM(I277:U277)</f>
        <v>1260803</v>
      </c>
    </row>
    <row r="278" spans="1:22" s="43" customFormat="1" ht="14.25" customHeight="1">
      <c r="A278" s="12">
        <f>+A277+1</f>
        <v>2</v>
      </c>
      <c r="B278" s="13" t="s">
        <v>191</v>
      </c>
      <c r="C278" s="14">
        <v>40513</v>
      </c>
      <c r="D278" s="13" t="s">
        <v>190</v>
      </c>
      <c r="E278" s="42" t="s">
        <v>137</v>
      </c>
      <c r="F278" s="53" t="s">
        <v>298</v>
      </c>
      <c r="G278" s="15" t="s">
        <v>17</v>
      </c>
      <c r="H278" s="17">
        <v>300000</v>
      </c>
      <c r="I278" s="17">
        <v>300000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17">
        <v>0</v>
      </c>
      <c r="S278" s="17">
        <v>0</v>
      </c>
      <c r="T278" s="17">
        <v>0</v>
      </c>
      <c r="U278" s="17">
        <v>0</v>
      </c>
      <c r="V278" s="56">
        <f>SUM(I278:U278)</f>
        <v>300000</v>
      </c>
    </row>
    <row r="279" spans="1:22" ht="18" customHeight="1" thickBot="1">
      <c r="A279" s="18"/>
      <c r="B279" s="20"/>
      <c r="C279" s="19"/>
      <c r="D279" s="20"/>
      <c r="E279" s="20"/>
      <c r="F279" s="20"/>
      <c r="G279" s="21"/>
      <c r="H279" s="2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5" customHeight="1">
      <c r="A280" s="24"/>
      <c r="B280" s="25"/>
      <c r="C280" s="26"/>
      <c r="D280" s="25"/>
      <c r="E280" s="25"/>
      <c r="F280" s="25"/>
      <c r="G280" s="27"/>
      <c r="H280" s="28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</row>
    <row r="281" spans="1:22" ht="16.5">
      <c r="A281" s="30">
        <f>+A83+A155+A188+A200+A235+A260+A269+A278</f>
        <v>193</v>
      </c>
      <c r="B281" s="31" t="s">
        <v>104</v>
      </c>
      <c r="C281" s="32"/>
      <c r="D281" s="33"/>
      <c r="E281" s="33"/>
      <c r="F281" s="33"/>
      <c r="G281" s="95"/>
      <c r="H281" s="34"/>
      <c r="I281" s="35">
        <f>+I11+I203+I262+I276</f>
        <v>3858005.9640199998</v>
      </c>
      <c r="J281" s="35">
        <f t="shared" ref="J281:U281" si="27">+J11+J203+J262+J276</f>
        <v>989792.79884000006</v>
      </c>
      <c r="K281" s="35">
        <f t="shared" si="27"/>
        <v>949437.14194</v>
      </c>
      <c r="L281" s="35">
        <f t="shared" si="27"/>
        <v>377369.30423999997</v>
      </c>
      <c r="M281" s="35">
        <f t="shared" si="27"/>
        <v>958121.25965999998</v>
      </c>
      <c r="N281" s="35">
        <f t="shared" si="27"/>
        <v>4390043.6133300001</v>
      </c>
      <c r="O281" s="35">
        <f t="shared" si="27"/>
        <v>2021026.3523300001</v>
      </c>
      <c r="P281" s="35">
        <f t="shared" si="27"/>
        <v>435143.51118000003</v>
      </c>
      <c r="Q281" s="35">
        <f t="shared" si="27"/>
        <v>563316.35146999999</v>
      </c>
      <c r="R281" s="35">
        <f t="shared" si="27"/>
        <v>1862939.3670899998</v>
      </c>
      <c r="S281" s="35">
        <f t="shared" si="27"/>
        <v>3288873</v>
      </c>
      <c r="T281" s="35">
        <f t="shared" si="27"/>
        <v>12951983.331910001</v>
      </c>
      <c r="U281" s="35">
        <f t="shared" si="27"/>
        <v>1838578.5570600003</v>
      </c>
      <c r="V281" s="35">
        <f>+V11+V203+V262+V276</f>
        <v>20704790.852820002</v>
      </c>
    </row>
    <row r="282" spans="1:22" ht="16.5" thickBot="1">
      <c r="A282" s="36"/>
      <c r="B282" s="36"/>
      <c r="C282" s="37"/>
      <c r="D282" s="36"/>
      <c r="E282" s="36"/>
      <c r="F282" s="36"/>
      <c r="G282" s="96"/>
      <c r="H282" s="38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</row>
    <row r="283" spans="1:22">
      <c r="A283" s="44" t="s">
        <v>105</v>
      </c>
      <c r="C283" s="40"/>
      <c r="D283" s="40"/>
      <c r="H283" s="16"/>
      <c r="L283" s="1"/>
    </row>
  </sheetData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4" fitToWidth="0" orientation="landscape" r:id="rId1"/>
  <headerFooter alignWithMargins="0"/>
  <rowBreaks count="3" manualBreakCount="3">
    <brk id="107" max="14" man="1"/>
    <brk id="194" max="13" man="1"/>
    <brk id="26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TOSHIBA</cp:lastModifiedBy>
  <cp:lastPrinted>2017-03-06T17:03:54Z</cp:lastPrinted>
  <dcterms:created xsi:type="dcterms:W3CDTF">2004-11-08T17:26:29Z</dcterms:created>
  <dcterms:modified xsi:type="dcterms:W3CDTF">2023-02-02T06:59:29Z</dcterms:modified>
</cp:coreProperties>
</file>