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9075" windowHeight="4860" tabRatio="282" activeTab="0"/>
  </bookViews>
  <sheets>
    <sheet name="Base 90-2016" sheetId="1" r:id="rId1"/>
  </sheets>
  <definedNames>
    <definedName name="_xlnm.Print_Area" localSheetId="0">'Base 90-2016'!$B$340:$T$673</definedName>
    <definedName name="_xlnm.Print_Titles" localSheetId="0">'Base 90-2016'!$1:$10</definedName>
  </definedNames>
  <calcPr fullCalcOnLoad="1"/>
</workbook>
</file>

<file path=xl/sharedStrings.xml><?xml version="1.0" encoding="utf-8"?>
<sst xmlns="http://schemas.openxmlformats.org/spreadsheetml/2006/main" count="5218" uniqueCount="1914">
  <si>
    <t xml:space="preserve">   ii) La amortiz, se realizará mediante cuotas semestrales, consecutivas y, en lo posible iguales; y, </t>
  </si>
  <si>
    <t xml:space="preserve">   iii) Se aplicará una tasa de interés basada en Libor.</t>
  </si>
  <si>
    <t>25/</t>
  </si>
  <si>
    <t>26/</t>
  </si>
  <si>
    <t xml:space="preserve">    Tramo II: € 4 200 000,00  3%</t>
  </si>
  <si>
    <t>27/</t>
  </si>
  <si>
    <t xml:space="preserve">"Proy. Asist. Téc. para el Seguimiento y Evalua. Sect. Socia. Marco  descentraliz." </t>
  </si>
  <si>
    <t>"Apoyo a la Refor. de Prog. de Superc. Pobreza y Desarrollo del Capital Humano"</t>
  </si>
  <si>
    <t>"Moderniz. de la CGR y Descentraliz.Sist. Nac.de Control"</t>
  </si>
  <si>
    <t>"Fortalec.Merca. Diversificados de los Ingres. y Mjrato. Cond. de vida en la Sierra Sur"</t>
  </si>
  <si>
    <t>"Facilidad Sectorial Instit. para Mejora de la Calidad de la Gestión y del Gto. Públco"</t>
  </si>
  <si>
    <t xml:space="preserve"> </t>
  </si>
  <si>
    <t>(En miles de unidades monetarias)</t>
  </si>
  <si>
    <t>Acreedor</t>
  </si>
  <si>
    <t>País</t>
  </si>
  <si>
    <t>Tipo de</t>
  </si>
  <si>
    <t>Fecha de</t>
  </si>
  <si>
    <t>FINALIDAD</t>
  </si>
  <si>
    <t>Deudor</t>
  </si>
  <si>
    <t>Unidad</t>
  </si>
  <si>
    <t>Pagador</t>
  </si>
  <si>
    <t>Tasa de</t>
  </si>
  <si>
    <t>Dispositivo</t>
  </si>
  <si>
    <t>Monto</t>
  </si>
  <si>
    <t>Contrato</t>
  </si>
  <si>
    <t>ECONOMICO</t>
  </si>
  <si>
    <t>Interés</t>
  </si>
  <si>
    <t>Gracia</t>
  </si>
  <si>
    <t>Amortiz.</t>
  </si>
  <si>
    <t>Legal</t>
  </si>
  <si>
    <t>Original</t>
  </si>
  <si>
    <t>C. de París</t>
  </si>
  <si>
    <t>Importación de trigo-PL 480</t>
  </si>
  <si>
    <t>Agricultura</t>
  </si>
  <si>
    <t>República</t>
  </si>
  <si>
    <t>ENCI</t>
  </si>
  <si>
    <t>MEF</t>
  </si>
  <si>
    <t xml:space="preserve">     3% - 4%</t>
  </si>
  <si>
    <t xml:space="preserve">  5A</t>
  </si>
  <si>
    <t xml:space="preserve">21A  </t>
  </si>
  <si>
    <t>D.S.  154-90-EF</t>
  </si>
  <si>
    <t>US$</t>
  </si>
  <si>
    <t>D.S.  240-90-EF</t>
  </si>
  <si>
    <t xml:space="preserve">Mediocredito Centrale </t>
  </si>
  <si>
    <t>Italia</t>
  </si>
  <si>
    <t>Transportes</t>
  </si>
  <si>
    <t xml:space="preserve">10A </t>
  </si>
  <si>
    <t xml:space="preserve"> 10A </t>
  </si>
  <si>
    <t>Gobierno de Rusia</t>
  </si>
  <si>
    <t>Rusia</t>
  </si>
  <si>
    <t>Defensa Nacional</t>
  </si>
  <si>
    <t>Defensa</t>
  </si>
  <si>
    <t>M. Defensa</t>
  </si>
  <si>
    <t xml:space="preserve">  1A</t>
  </si>
  <si>
    <t xml:space="preserve">  9A</t>
  </si>
  <si>
    <t>R.M.  518-90-EF</t>
  </si>
  <si>
    <t>RBL</t>
  </si>
  <si>
    <t>Gob.de Argentina</t>
  </si>
  <si>
    <t>Argentina</t>
  </si>
  <si>
    <t>ALADI</t>
  </si>
  <si>
    <t>Adquisición de trigo y harina</t>
  </si>
  <si>
    <t xml:space="preserve">D.S.  336-90-EF </t>
  </si>
  <si>
    <t xml:space="preserve">Rep. Popular China  </t>
  </si>
  <si>
    <t>China</t>
  </si>
  <si>
    <t xml:space="preserve">Perforación de 80 pozos </t>
  </si>
  <si>
    <t>M. Agricultura</t>
  </si>
  <si>
    <t>10A</t>
  </si>
  <si>
    <t>R.M.  606-90-EF</t>
  </si>
  <si>
    <t>£</t>
  </si>
  <si>
    <t>Banco do Brasil</t>
  </si>
  <si>
    <t>Brasil</t>
  </si>
  <si>
    <t>Proyecto Chavimochic</t>
  </si>
  <si>
    <t>Proy.Esp.Chavimochic</t>
  </si>
  <si>
    <t>Lib.+0.8125</t>
  </si>
  <si>
    <t xml:space="preserve">  3A</t>
  </si>
  <si>
    <t xml:space="preserve">D.S.  337-90-EF </t>
  </si>
  <si>
    <t xml:space="preserve">  5A </t>
  </si>
  <si>
    <t xml:space="preserve">  7A</t>
  </si>
  <si>
    <t xml:space="preserve">Rep. Popular China   </t>
  </si>
  <si>
    <t>Planta Cemento de Rioja</t>
  </si>
  <si>
    <t>Industria</t>
  </si>
  <si>
    <t>Gob. Reg. San Martín</t>
  </si>
  <si>
    <t>R.M.  591-90-EF</t>
  </si>
  <si>
    <t xml:space="preserve">BID   631-OC-PE    </t>
  </si>
  <si>
    <t>Prog. Sector Comercio</t>
  </si>
  <si>
    <t>Economía</t>
  </si>
  <si>
    <t>BID</t>
  </si>
  <si>
    <t xml:space="preserve">  6A  6M</t>
  </si>
  <si>
    <t>14A  6M</t>
  </si>
  <si>
    <t>D.S.  217-91-EF</t>
  </si>
  <si>
    <t xml:space="preserve">BID   665-OC-PE    </t>
  </si>
  <si>
    <t>Asist. Tec. Prog. Sector Comercio</t>
  </si>
  <si>
    <t>D.S.  227-91-EF</t>
  </si>
  <si>
    <t>M.Indust. Aeroespacial</t>
  </si>
  <si>
    <t xml:space="preserve">  6A</t>
  </si>
  <si>
    <t>D.S.  309-91-EF</t>
  </si>
  <si>
    <t xml:space="preserve">CAF    </t>
  </si>
  <si>
    <t xml:space="preserve">Exportación Sector Minero </t>
  </si>
  <si>
    <t>Energía y Minas</t>
  </si>
  <si>
    <t>Banco de la Nación</t>
  </si>
  <si>
    <t>Libor + 2.0%</t>
  </si>
  <si>
    <t xml:space="preserve">  1A  1M</t>
  </si>
  <si>
    <t>D.S.  201-91-EF</t>
  </si>
  <si>
    <t>Prog. Crédito Multisectorial</t>
  </si>
  <si>
    <t>COFIDE</t>
  </si>
  <si>
    <t>D.S.  275-91-EF</t>
  </si>
  <si>
    <t>OECF</t>
  </si>
  <si>
    <t>Japón</t>
  </si>
  <si>
    <t>Prog. Sector Comercio, Cofinan. BID</t>
  </si>
  <si>
    <t xml:space="preserve">  9A  6M</t>
  </si>
  <si>
    <t>20A  6M</t>
  </si>
  <si>
    <t>D.S.  274-91-EF</t>
  </si>
  <si>
    <t>¥</t>
  </si>
  <si>
    <t xml:space="preserve">L.T. Mantaro-Pisco </t>
  </si>
  <si>
    <t>ElectroPerú</t>
  </si>
  <si>
    <t xml:space="preserve">        7M </t>
  </si>
  <si>
    <t xml:space="preserve">  4A  6M</t>
  </si>
  <si>
    <t>D.S.  232-91-EF</t>
  </si>
  <si>
    <t xml:space="preserve">BID   651-OC-PE    </t>
  </si>
  <si>
    <t>Carreteras I</t>
  </si>
  <si>
    <t>M. Transportes</t>
  </si>
  <si>
    <t xml:space="preserve">  3A  6M</t>
  </si>
  <si>
    <t>16A  6M</t>
  </si>
  <si>
    <t>D.S.  001-92-EF</t>
  </si>
  <si>
    <t xml:space="preserve">Exportacion Sector Minero </t>
  </si>
  <si>
    <t>D.S.  075-92-EF</t>
  </si>
  <si>
    <t>Quebrada Canto Grande</t>
  </si>
  <si>
    <t>Saneamiento</t>
  </si>
  <si>
    <t>SEDAPAL</t>
  </si>
  <si>
    <t xml:space="preserve">10A  6M </t>
  </si>
  <si>
    <t>D.S.  074-92-EF</t>
  </si>
  <si>
    <t>LIR</t>
  </si>
  <si>
    <t>Libor+2%</t>
  </si>
  <si>
    <t xml:space="preserve">        6M </t>
  </si>
  <si>
    <t>D.S.  140-92-EF</t>
  </si>
  <si>
    <t>Muelle de Carga Liquida</t>
  </si>
  <si>
    <t>PetroPerú</t>
  </si>
  <si>
    <t>CAF</t>
  </si>
  <si>
    <t>D.S.  117-92-EF</t>
  </si>
  <si>
    <t xml:space="preserve">Proyecto Petrolera Chambira </t>
  </si>
  <si>
    <t xml:space="preserve">  2A  6M </t>
  </si>
  <si>
    <t xml:space="preserve">  5A  6M</t>
  </si>
  <si>
    <t>D.S.  158-92-EF</t>
  </si>
  <si>
    <t xml:space="preserve">BID   677-OC-PE    </t>
  </si>
  <si>
    <t>Prog. Sector Financiero</t>
  </si>
  <si>
    <t>D.S.  124-92-EF</t>
  </si>
  <si>
    <t xml:space="preserve">BID   678-OC-PE    </t>
  </si>
  <si>
    <t>Asist. Tec. Prog. Sector Financiero</t>
  </si>
  <si>
    <t>Majes I etapa</t>
  </si>
  <si>
    <t>D.S.  152-92-EF</t>
  </si>
  <si>
    <t>ECU</t>
  </si>
  <si>
    <t>2/</t>
  </si>
  <si>
    <t>Adq. 32 Grupos Electrogenos</t>
  </si>
  <si>
    <t>D.S.  159-92-EF</t>
  </si>
  <si>
    <t xml:space="preserve">BIRF   3540 - PE    </t>
  </si>
  <si>
    <t>Asist. Técnica Privatización</t>
  </si>
  <si>
    <t>COPRI</t>
  </si>
  <si>
    <t>BIRF</t>
  </si>
  <si>
    <t>14A 6M</t>
  </si>
  <si>
    <t>D.S.  186-92-EF</t>
  </si>
  <si>
    <t>Soinco Saci</t>
  </si>
  <si>
    <t>Sistema Eléctrico Regional</t>
  </si>
  <si>
    <t>Gob. Reg.</t>
  </si>
  <si>
    <t xml:space="preserve">  2A </t>
  </si>
  <si>
    <t>D.S.  188-92-EF</t>
  </si>
  <si>
    <t xml:space="preserve">BIRF   3437 - PE    </t>
  </si>
  <si>
    <t>D.S.  190-92-EF</t>
  </si>
  <si>
    <t xml:space="preserve">BIRF   3452 - PE    </t>
  </si>
  <si>
    <t>Prog. Ajuste Estruct.</t>
  </si>
  <si>
    <t xml:space="preserve">BIRF   3489 - PE    </t>
  </si>
  <si>
    <t xml:space="preserve">OECF   </t>
  </si>
  <si>
    <t>Prog. Sector Financiero, Cofinan. BID</t>
  </si>
  <si>
    <t>20A</t>
  </si>
  <si>
    <t>D.S.  210-92-EF</t>
  </si>
  <si>
    <t xml:space="preserve">FIDA   297-PE    </t>
  </si>
  <si>
    <t>Tecn. Comunidades Campesinas</t>
  </si>
  <si>
    <t>D.S.  087-93-EF</t>
  </si>
  <si>
    <t>DEG</t>
  </si>
  <si>
    <t xml:space="preserve">BID   775-OC-PE    </t>
  </si>
  <si>
    <t>R.M.  265-93-EF</t>
  </si>
  <si>
    <t>Gobierno de Francia</t>
  </si>
  <si>
    <t>Francia</t>
  </si>
  <si>
    <t>D.S.  145-93-EF</t>
  </si>
  <si>
    <t>Fr.Fr.</t>
  </si>
  <si>
    <t xml:space="preserve">BID   741-OC-PE    </t>
  </si>
  <si>
    <t>Prog. Fortalecimiento Salud</t>
  </si>
  <si>
    <t>Salud</t>
  </si>
  <si>
    <t>M. Salud</t>
  </si>
  <si>
    <t>D.S.  053-93-EF</t>
  </si>
  <si>
    <t xml:space="preserve">BIRF   3595 - PE    </t>
  </si>
  <si>
    <t>Prog. Ajuste para Privatización</t>
  </si>
  <si>
    <t>D.S.  059-93-EF</t>
  </si>
  <si>
    <t>M.Indust.Aeroespacial</t>
  </si>
  <si>
    <t xml:space="preserve">  1A </t>
  </si>
  <si>
    <t>D.S.  160-93-EF</t>
  </si>
  <si>
    <t>BIRF P066-0 PE (regularización)</t>
  </si>
  <si>
    <t>Asist. Téc. Plan Nac. Agua Potable</t>
  </si>
  <si>
    <t xml:space="preserve"> 5A</t>
  </si>
  <si>
    <t>D.S.  105-93-EF</t>
  </si>
  <si>
    <t xml:space="preserve">BIRF   3610 - PE    </t>
  </si>
  <si>
    <t>Asist. Técnica Sector Energía</t>
  </si>
  <si>
    <t>M. Energía y Minas</t>
  </si>
  <si>
    <t>D.S.  149-93-EF</t>
  </si>
  <si>
    <t>BIRF P213 PE</t>
  </si>
  <si>
    <t>Prep Proy Rehabilitación Transportes</t>
  </si>
  <si>
    <t xml:space="preserve">        6M</t>
  </si>
  <si>
    <t>D.S.  130-93-EF</t>
  </si>
  <si>
    <t>Eximbank</t>
  </si>
  <si>
    <t>Adq. equipo japonés</t>
  </si>
  <si>
    <t xml:space="preserve">  6M </t>
  </si>
  <si>
    <t>9A 6M</t>
  </si>
  <si>
    <t>D.S.  138-93-EF</t>
  </si>
  <si>
    <t xml:space="preserve">Gobierno de Rusia   </t>
  </si>
  <si>
    <t>L.T. Chiclayo-Olmos</t>
  </si>
  <si>
    <t xml:space="preserve">  8A</t>
  </si>
  <si>
    <t>R.M.  240-93-EF</t>
  </si>
  <si>
    <t>Alemania</t>
  </si>
  <si>
    <t>SEDAPAR</t>
  </si>
  <si>
    <t>30A</t>
  </si>
  <si>
    <t>D.S.  143-93-EF</t>
  </si>
  <si>
    <t>DM</t>
  </si>
  <si>
    <t>Prog. Ajuste Estruct., Cofinan. BIRF</t>
  </si>
  <si>
    <t>D.S.  159-93-EF</t>
  </si>
  <si>
    <t xml:space="preserve">BID   806-OC-PE    </t>
  </si>
  <si>
    <t>FONCODES</t>
  </si>
  <si>
    <t xml:space="preserve">15A </t>
  </si>
  <si>
    <t>D.S.  164-93-EF</t>
  </si>
  <si>
    <t xml:space="preserve">BIRF   3684 - PE    </t>
  </si>
  <si>
    <t>D.S.  165-93-EF</t>
  </si>
  <si>
    <t xml:space="preserve">BIRF   3701 - PE    </t>
  </si>
  <si>
    <t>Salud y Nutrición Básica</t>
  </si>
  <si>
    <t>15A</t>
  </si>
  <si>
    <t>D.S.  023-94-EF</t>
  </si>
  <si>
    <t xml:space="preserve">BIRF   3717 - PE    </t>
  </si>
  <si>
    <t>Rehabilitación de Transportes</t>
  </si>
  <si>
    <t>D.S.  058-94-EF</t>
  </si>
  <si>
    <t>D.S.  030-94-EF</t>
  </si>
  <si>
    <t xml:space="preserve">BID   790-OC-PE    </t>
  </si>
  <si>
    <t>Rest. Subsector Eléctrico</t>
  </si>
  <si>
    <t>M.Energía y Minas</t>
  </si>
  <si>
    <t>Etecen / Etesur</t>
  </si>
  <si>
    <t>D.S.  035-94-EF</t>
  </si>
  <si>
    <t>Estud. carret. Ilo-Desaguadero</t>
  </si>
  <si>
    <t>Libor + 2.5%</t>
  </si>
  <si>
    <t>D.S.  060-94-EF</t>
  </si>
  <si>
    <t xml:space="preserve">Bank  of  China  </t>
  </si>
  <si>
    <t>Adq. maquinaria y tractores</t>
  </si>
  <si>
    <t>M. Presidencia</t>
  </si>
  <si>
    <t xml:space="preserve">  2A  6M</t>
  </si>
  <si>
    <t>D.S.  068-94-EF</t>
  </si>
  <si>
    <t>Prog. Crédito Multisectorial de Reconversión</t>
  </si>
  <si>
    <t>D.S.  069-94-EF</t>
  </si>
  <si>
    <t xml:space="preserve">Rehabilitación de carreteras </t>
  </si>
  <si>
    <t xml:space="preserve">  7A  6M</t>
  </si>
  <si>
    <t>China Nat. Aero Techno</t>
  </si>
  <si>
    <t xml:space="preserve">BIRF   3810 - PE    </t>
  </si>
  <si>
    <t>Privatización Sector Eléctrico</t>
  </si>
  <si>
    <t xml:space="preserve">BID   836-OC-PE    </t>
  </si>
  <si>
    <t xml:space="preserve">BID   847-OC-PE    </t>
  </si>
  <si>
    <t>Apoyo  Sector  Saneamiento</t>
  </si>
  <si>
    <t>SEDALIB</t>
  </si>
  <si>
    <t xml:space="preserve">BID   820-OC-PE    </t>
  </si>
  <si>
    <t>Prog. Modernización Aduanas</t>
  </si>
  <si>
    <t xml:space="preserve">  3A </t>
  </si>
  <si>
    <t>17A</t>
  </si>
  <si>
    <t xml:space="preserve">Banco Español Crédito  </t>
  </si>
  <si>
    <t>España</t>
  </si>
  <si>
    <t xml:space="preserve">  8A 6M</t>
  </si>
  <si>
    <t>Industrias Aeronáut.</t>
  </si>
  <si>
    <t>Israel</t>
  </si>
  <si>
    <t>Proveedor</t>
  </si>
  <si>
    <t>Mobetec Represent.</t>
  </si>
  <si>
    <t>Panama</t>
  </si>
  <si>
    <t>INADE</t>
  </si>
  <si>
    <t>OPEC</t>
  </si>
  <si>
    <t>Rehabilitación Aeropuerto Lima</t>
  </si>
  <si>
    <t>11A  6M</t>
  </si>
  <si>
    <t xml:space="preserve">BIRF   3811 - PE    </t>
  </si>
  <si>
    <t>Sistema de Agua Potable y Alc.Lima-Callao</t>
  </si>
  <si>
    <t xml:space="preserve">C.Termoeléc. Calana-Tacna </t>
  </si>
  <si>
    <t xml:space="preserve">ElectoPerú </t>
  </si>
  <si>
    <t>Fondos + 2%</t>
  </si>
  <si>
    <t xml:space="preserve">  1A  6M</t>
  </si>
  <si>
    <t xml:space="preserve">  4A </t>
  </si>
  <si>
    <t xml:space="preserve">15A  </t>
  </si>
  <si>
    <t xml:space="preserve">BID   852-OC-PE    </t>
  </si>
  <si>
    <t>D.S.  022-95-EF</t>
  </si>
  <si>
    <t>Proyecto San Gabán II</t>
  </si>
  <si>
    <t>D.S.  034-95-EF</t>
  </si>
  <si>
    <t>Rep. Popular China</t>
  </si>
  <si>
    <t>Planta Cemento Horno Vertical Rioja</t>
  </si>
  <si>
    <t>D.S.  052-95-EF</t>
  </si>
  <si>
    <t>L.E.</t>
  </si>
  <si>
    <t>BEI</t>
  </si>
  <si>
    <t>Proyecto Carretera Panamericana</t>
  </si>
  <si>
    <t>16A</t>
  </si>
  <si>
    <t>D.S.  109-95-EF</t>
  </si>
  <si>
    <t>Ampli. Prog. Riego Zona Andina Sur</t>
  </si>
  <si>
    <t>Plan Meriss-Inka</t>
  </si>
  <si>
    <t>D.S.  124-95-EF</t>
  </si>
  <si>
    <t>BID 902-OC-PE</t>
  </si>
  <si>
    <t>Prog. mejoramiento inversión pública</t>
  </si>
  <si>
    <t>15A  6M</t>
  </si>
  <si>
    <t>D.S.  152-95-EF</t>
  </si>
  <si>
    <t>BIRF 3962 - PE</t>
  </si>
  <si>
    <t>Rehabilitación caminos rurales</t>
  </si>
  <si>
    <t xml:space="preserve"> 11A  6M</t>
  </si>
  <si>
    <t>D.S.  153-95-EF</t>
  </si>
  <si>
    <t>BID 901-OC-PE</t>
  </si>
  <si>
    <t xml:space="preserve">  4A  </t>
  </si>
  <si>
    <t xml:space="preserve"> 21A</t>
  </si>
  <si>
    <t>D.S.  154-95-EF</t>
  </si>
  <si>
    <t>BIRF 3826 - PE</t>
  </si>
  <si>
    <t>Mejoramiento educación primaria</t>
  </si>
  <si>
    <t xml:space="preserve">Educación </t>
  </si>
  <si>
    <t>M. Educación</t>
  </si>
  <si>
    <t>D.S.  155-95-EF</t>
  </si>
  <si>
    <t>Ampliación agua potable Chiclayo</t>
  </si>
  <si>
    <t>EMAPAL</t>
  </si>
  <si>
    <t xml:space="preserve">  6A </t>
  </si>
  <si>
    <t>19A</t>
  </si>
  <si>
    <t>D.S.  156-95-EF</t>
  </si>
  <si>
    <t>BID 958-SF-PE</t>
  </si>
  <si>
    <t>Prog. global crédito microempresa</t>
  </si>
  <si>
    <t xml:space="preserve">  7A </t>
  </si>
  <si>
    <t>23A</t>
  </si>
  <si>
    <t>D.S.  167-95-EF</t>
  </si>
  <si>
    <t>ICO</t>
  </si>
  <si>
    <t>D.S.  163-95-EF</t>
  </si>
  <si>
    <t>Programa multisectorial de crédito</t>
  </si>
  <si>
    <t>6A</t>
  </si>
  <si>
    <t>Superv. Proy. entrega de Agua Dulce</t>
  </si>
  <si>
    <t>SedaCusco</t>
  </si>
  <si>
    <t>Agua potable Lima-Callao</t>
  </si>
  <si>
    <t xml:space="preserve">  10A </t>
  </si>
  <si>
    <t>Desarrollo Puerto del Callao</t>
  </si>
  <si>
    <t>Proyecto Carretera Ilo desaguadero</t>
  </si>
  <si>
    <t>6A  6M</t>
  </si>
  <si>
    <t>Titulación y Registro de Tierras</t>
  </si>
  <si>
    <t>FIDA</t>
  </si>
  <si>
    <t xml:space="preserve">Proy.Manejo de Recursos Naturales </t>
  </si>
  <si>
    <t>14A</t>
  </si>
  <si>
    <t>Foncodes II ETAPA</t>
  </si>
  <si>
    <t>D.S. 076-96-EF</t>
  </si>
  <si>
    <t xml:space="preserve">Mej. Carr.Corral Quemado-Río NIeva </t>
  </si>
  <si>
    <t>0.75%-2.0%</t>
  </si>
  <si>
    <t>20-30A</t>
  </si>
  <si>
    <t>D.S. 065-96-EF</t>
  </si>
  <si>
    <t xml:space="preserve"> 12A</t>
  </si>
  <si>
    <t>D.S. 083-96-EF</t>
  </si>
  <si>
    <t>Gobierno de China</t>
  </si>
  <si>
    <t>Adq.Directa de Maquinas y Equipos</t>
  </si>
  <si>
    <t xml:space="preserve"> 10A</t>
  </si>
  <si>
    <t>Proy. Subsectorial de Irrigación</t>
  </si>
  <si>
    <t xml:space="preserve">  4A</t>
  </si>
  <si>
    <t xml:space="preserve"> 13A</t>
  </si>
  <si>
    <t>D.S. 084-96-EF</t>
  </si>
  <si>
    <t>Prep. Proy. Mejora. Calidad Educación</t>
  </si>
  <si>
    <t xml:space="preserve"> 1A 6M</t>
  </si>
  <si>
    <t>D.S. 092-96-EF</t>
  </si>
  <si>
    <t>Reequi. Instit. Nacio. de Salud del Niño</t>
  </si>
  <si>
    <t>Reequi. Hosp. Nacio. Arzobispo Loayza</t>
  </si>
  <si>
    <t>Prog.capacit. laboral juvenil</t>
  </si>
  <si>
    <t>Trabajo</t>
  </si>
  <si>
    <t>M. Trabajo</t>
  </si>
  <si>
    <t>1A 6M</t>
  </si>
  <si>
    <t>5A</t>
  </si>
  <si>
    <t>D.S.108-96-EF</t>
  </si>
  <si>
    <t>Central Hidroeléctrica Yuncán</t>
  </si>
  <si>
    <t xml:space="preserve">  2.3%-2.7%</t>
  </si>
  <si>
    <t xml:space="preserve"> 18A</t>
  </si>
  <si>
    <t>Rehabilitación de Carreteras Rurales</t>
  </si>
  <si>
    <t>Mejor. Alcantarillado Zona Sur de Lima</t>
  </si>
  <si>
    <t xml:space="preserve">  2.1%-2.5%</t>
  </si>
  <si>
    <t>Subsectorial de Irrigación</t>
  </si>
  <si>
    <t xml:space="preserve">              3%</t>
  </si>
  <si>
    <t xml:space="preserve"> 20A</t>
  </si>
  <si>
    <t>Mejoram. Calidad Educación</t>
  </si>
  <si>
    <t>Educación</t>
  </si>
  <si>
    <t>Gobierno China</t>
  </si>
  <si>
    <t>Adq. Maq. ind. calzado,confecc.,tejido</t>
  </si>
  <si>
    <t>5 A</t>
  </si>
  <si>
    <t>Prog. reforma sector inversiones</t>
  </si>
  <si>
    <t>5.5A</t>
  </si>
  <si>
    <t>14.5A</t>
  </si>
  <si>
    <t>D.S.126-96-EF</t>
  </si>
  <si>
    <t>KfW</t>
  </si>
  <si>
    <t xml:space="preserve"> C. de París</t>
  </si>
  <si>
    <t>Agua potable y desague Pisco</t>
  </si>
  <si>
    <t>EMAPISCO</t>
  </si>
  <si>
    <t>D.S.129-96-EF</t>
  </si>
  <si>
    <t>Obras aguas servidas Pampa Estrella</t>
  </si>
  <si>
    <t>2 %- 3%</t>
  </si>
  <si>
    <t>D.S.131-96-EF</t>
  </si>
  <si>
    <t>FMI</t>
  </si>
  <si>
    <t>Implementar Plan Financiero 1996</t>
  </si>
  <si>
    <t>D.U.113-96</t>
  </si>
  <si>
    <t>Prog. Reducción Deuda y de su Servicio</t>
  </si>
  <si>
    <t>D.S.008-97-EF</t>
  </si>
  <si>
    <t>Bank of China</t>
  </si>
  <si>
    <t>Adq. Maquinas y herramientas</t>
  </si>
  <si>
    <t>CIRR</t>
  </si>
  <si>
    <t>0.5A</t>
  </si>
  <si>
    <t>6.5A</t>
  </si>
  <si>
    <t>D.U.009-97</t>
  </si>
  <si>
    <t xml:space="preserve">US$ </t>
  </si>
  <si>
    <t>12A</t>
  </si>
  <si>
    <t>D.S.012-97-EF</t>
  </si>
  <si>
    <t>4A</t>
  </si>
  <si>
    <t>D.S.017-97-EF</t>
  </si>
  <si>
    <t>D.S.018-97-EF</t>
  </si>
  <si>
    <t>Manejo de Recursos Nat. alivio en Sierra</t>
  </si>
  <si>
    <t>13A</t>
  </si>
  <si>
    <t>D.S.031-97-EF</t>
  </si>
  <si>
    <t>Foncodes II Etapa</t>
  </si>
  <si>
    <t>D.S.063-97-EF</t>
  </si>
  <si>
    <t>Prog. Obras Amb. Chavimochic Etapa II</t>
  </si>
  <si>
    <t>Libor+2.45%</t>
  </si>
  <si>
    <t>1A</t>
  </si>
  <si>
    <t>7A</t>
  </si>
  <si>
    <t>D.S.081-97-EF</t>
  </si>
  <si>
    <t>Prog. de Desarrollo de la Sanidad Agropecuaria</t>
  </si>
  <si>
    <t>D.S.125-97-EF</t>
  </si>
  <si>
    <t>M. de la Mujer</t>
  </si>
  <si>
    <t>D.S.144-97-EF</t>
  </si>
  <si>
    <t>Prog. de Ampliación de la Frontera Eléctrica (I)</t>
  </si>
  <si>
    <t>M. Energía</t>
  </si>
  <si>
    <t>2.7% - 2.3%</t>
  </si>
  <si>
    <t>18A</t>
  </si>
  <si>
    <t>D.S.145-97-EF</t>
  </si>
  <si>
    <t>Proy. de Trasvase Pomacocha-Río Blanco</t>
  </si>
  <si>
    <t>2.5% - 2.1%</t>
  </si>
  <si>
    <t>D.S.146-97-EF</t>
  </si>
  <si>
    <t>2.5% - 2.7%</t>
  </si>
  <si>
    <t>D.S.147-97-EF</t>
  </si>
  <si>
    <t>D.S.148-97-EF</t>
  </si>
  <si>
    <t>Proy, de Rehabilit. y Mejor. Carreteras Rurales</t>
  </si>
  <si>
    <t>M. de Transportes</t>
  </si>
  <si>
    <t>D.S.149-97-EF</t>
  </si>
  <si>
    <t>Prog. de Riego Zona Andina Sur III</t>
  </si>
  <si>
    <t>D.S.160-97-EF</t>
  </si>
  <si>
    <t>Prog. de Mejoramiento del Acceso a la Justicia</t>
  </si>
  <si>
    <t>Justicia</t>
  </si>
  <si>
    <t>Poder Judicial</t>
  </si>
  <si>
    <t>D.S.165-97-EF</t>
  </si>
  <si>
    <t xml:space="preserve">Prog. Apoyo a la Emergencia Fenómeno El Niño </t>
  </si>
  <si>
    <t>Multisectorial</t>
  </si>
  <si>
    <t>3A</t>
  </si>
  <si>
    <t>22A</t>
  </si>
  <si>
    <t>D.S.166-97-EF</t>
  </si>
  <si>
    <t>D.S.167-97-EF</t>
  </si>
  <si>
    <t>Proyecto Reforma Judicial</t>
  </si>
  <si>
    <t>D.S.168-97-EF</t>
  </si>
  <si>
    <t xml:space="preserve">2A </t>
  </si>
  <si>
    <t>D.S.170-97-EF</t>
  </si>
  <si>
    <t>SUNAT</t>
  </si>
  <si>
    <t>D.S.174-97-EF</t>
  </si>
  <si>
    <t>Desarrollo Vial Jaén-San Ignacio-Bagua</t>
  </si>
  <si>
    <t>D.S.175-97-EF</t>
  </si>
  <si>
    <t>Plan Nacional de Capacitación Docente</t>
  </si>
  <si>
    <t>M. de Educación</t>
  </si>
  <si>
    <t>D.S.184-97-EF</t>
  </si>
  <si>
    <t xml:space="preserve">SECTOR </t>
  </si>
  <si>
    <t>Período</t>
  </si>
  <si>
    <t>U. M.</t>
  </si>
  <si>
    <t>Monto en</t>
  </si>
  <si>
    <t>Programa Multisectorial de Crédito - II Etapa</t>
  </si>
  <si>
    <t>D.S. 008-99-EF</t>
  </si>
  <si>
    <t>Prog. Nac. Atención menor de 3 años - Wawa Wasi I</t>
  </si>
  <si>
    <t>PROMUDEH</t>
  </si>
  <si>
    <t>D.S. 009-99-EF</t>
  </si>
  <si>
    <t>Rehabilitación Obras del Proyecto Chavimochic</t>
  </si>
  <si>
    <t>LIB.6M+2,50%</t>
  </si>
  <si>
    <t>2A</t>
  </si>
  <si>
    <t>D.S. 015-99-EF</t>
  </si>
  <si>
    <t>Ciber Eq. Rodoviarios</t>
  </si>
  <si>
    <t>Adquisición de 10 Trenes de Asfalto</t>
  </si>
  <si>
    <t>5A 6M</t>
  </si>
  <si>
    <t>D.S. 027-99-EF</t>
  </si>
  <si>
    <t>Bitelli S.p.A.</t>
  </si>
  <si>
    <t>D.S. 028-99-EF</t>
  </si>
  <si>
    <t>Manejo Recursos Naturales Alivio a la Pobreza II</t>
  </si>
  <si>
    <t>PRONAMACHS</t>
  </si>
  <si>
    <t>D.S. 046-99-EF</t>
  </si>
  <si>
    <t>D.S. 047-99-EF</t>
  </si>
  <si>
    <t>Desarrollo del Sector Social en el Area de la Sierra</t>
  </si>
  <si>
    <t>D.S. 048-99-EF</t>
  </si>
  <si>
    <t>Programa de Ampliación de Frontera Eléctrica (II)</t>
  </si>
  <si>
    <t>D.S. 049-99-EF</t>
  </si>
  <si>
    <t>Rehabilitación Carreteras Afectadas por el Niño</t>
  </si>
  <si>
    <t>D.S. 050-99-EF</t>
  </si>
  <si>
    <t>Desarrollo Integral Alto Mayo</t>
  </si>
  <si>
    <t>D.S. 058-99-EF</t>
  </si>
  <si>
    <t>Agua Potable y Alcantarillado de Ayacucho</t>
  </si>
  <si>
    <t>EPS Ayacucho</t>
  </si>
  <si>
    <t>D.S. 062-99-EF</t>
  </si>
  <si>
    <t>OPEC Fund</t>
  </si>
  <si>
    <t>Programa Global de Crédito para la Microempresa</t>
  </si>
  <si>
    <t>D.S. 066-99-EF</t>
  </si>
  <si>
    <t>EXIMBANK</t>
  </si>
  <si>
    <t>Adq. 85% Equipo, maquinaria, Bs y/o Ss Japoneses</t>
  </si>
  <si>
    <t>D.S. 079-99-EF</t>
  </si>
  <si>
    <t>Agua Potable y Saneamiento de Cajamarca</t>
  </si>
  <si>
    <t>EPS SEDACAJ</t>
  </si>
  <si>
    <t>D.S. 086-99-EF</t>
  </si>
  <si>
    <t>Programa de Ajuste del Sector Financiero  II</t>
  </si>
  <si>
    <t>UCPS - MEF</t>
  </si>
  <si>
    <t>D.S. 098-99-EF</t>
  </si>
  <si>
    <t>Rehabilitación Carretera Rioja Tarapoto</t>
  </si>
  <si>
    <t>LIB.6M+3,1%</t>
  </si>
  <si>
    <t>8A</t>
  </si>
  <si>
    <t>D.S. 111-99-EF</t>
  </si>
  <si>
    <t>Svedala Faco Ltda</t>
  </si>
  <si>
    <t>D.S. 116-99-EF</t>
  </si>
  <si>
    <t>Proyecto Central Hidroeléctrica San Gabán II</t>
  </si>
  <si>
    <t>SAN GABAN</t>
  </si>
  <si>
    <t>MEF  7/</t>
  </si>
  <si>
    <t>8A 6M</t>
  </si>
  <si>
    <t>D.S. 130-99-EF</t>
  </si>
  <si>
    <t>Programa de Reforma del Sector Financiero II</t>
  </si>
  <si>
    <t>LIBOR+4%</t>
  </si>
  <si>
    <t>D.S. 142-99-EF</t>
  </si>
  <si>
    <t>Coop. Téc. para ejecutar Prog. Ref. Sector Financ. II</t>
  </si>
  <si>
    <t>4A 6M</t>
  </si>
  <si>
    <t>15A 6M</t>
  </si>
  <si>
    <t>D.S. 145-99-EF</t>
  </si>
  <si>
    <t>First Union Bank</t>
  </si>
  <si>
    <t>USA</t>
  </si>
  <si>
    <t>Adq. De Inmueble - Misión Permanente ONU en NY</t>
  </si>
  <si>
    <t>0A</t>
  </si>
  <si>
    <t>D.S. 153-99-EF</t>
  </si>
  <si>
    <t>D.S. 155-99-EF</t>
  </si>
  <si>
    <t>6M</t>
  </si>
  <si>
    <t>6A 6M</t>
  </si>
  <si>
    <t>JBIC</t>
  </si>
  <si>
    <t>Programa de Equipamiento Básico Municipal</t>
  </si>
  <si>
    <t>Presidencia</t>
  </si>
  <si>
    <t>3M</t>
  </si>
  <si>
    <t>D.S. 163-99-EF</t>
  </si>
  <si>
    <t>D.S. 030-98-EF</t>
  </si>
  <si>
    <t>CCC</t>
  </si>
  <si>
    <t>EE. UU.</t>
  </si>
  <si>
    <t>Gobierno de  EE. UU.</t>
  </si>
  <si>
    <t>Adquisición de Trigo</t>
  </si>
  <si>
    <t>Unidad Esp. AID</t>
  </si>
  <si>
    <t>3%-4%</t>
  </si>
  <si>
    <t>25A</t>
  </si>
  <si>
    <t>D.S. 078-98-EF</t>
  </si>
  <si>
    <t>Prog. Apoyo Implementación SIAF-SP</t>
  </si>
  <si>
    <t>M. de Economía</t>
  </si>
  <si>
    <t>18A 6M</t>
  </si>
  <si>
    <t>D.S. 088-98-EF</t>
  </si>
  <si>
    <t>Derechos de la Propiedad Urbana</t>
  </si>
  <si>
    <t>COFOPRI</t>
  </si>
  <si>
    <t>D.S. 098-98-EF</t>
  </si>
  <si>
    <t>D.S. 099-98-EF</t>
  </si>
  <si>
    <t>Rehab. Carretera Olmos - Corral Quemado</t>
  </si>
  <si>
    <t>D.S. 100-98-EF</t>
  </si>
  <si>
    <t>Sum. Eq. Instalac. Manten. Inst. Nac. Salud Niño</t>
  </si>
  <si>
    <t>D.S. 102-98-EF</t>
  </si>
  <si>
    <t>Fr. Fr.</t>
  </si>
  <si>
    <t>Sum. Eq. Instalac. Manten. Hospital Loayza</t>
  </si>
  <si>
    <t>Superv. de Proy. Hosp. Niño y Hosp. Loayza</t>
  </si>
  <si>
    <t>3A 6M</t>
  </si>
  <si>
    <t>16A 6M</t>
  </si>
  <si>
    <t>Prog. Pre-Inversión en el Sector Transporte</t>
  </si>
  <si>
    <t>Libor+1,9%</t>
  </si>
  <si>
    <t>2A 6M</t>
  </si>
  <si>
    <t>D.S. 113-98-EF</t>
  </si>
  <si>
    <t>D.S. 120-98-EF</t>
  </si>
  <si>
    <t>Programa Rehabil. y Mejor. Carreteras</t>
  </si>
  <si>
    <t>Adquisición de maquinaria pesada y agrícola</t>
  </si>
  <si>
    <t>M. de Agricultura</t>
  </si>
  <si>
    <t>D.S. 121-98-EF</t>
  </si>
  <si>
    <t>CORMED</t>
  </si>
  <si>
    <t>Panamá</t>
  </si>
  <si>
    <t>D.S. Nº 133-2008-EF</t>
  </si>
  <si>
    <t>D.S. Nº 135-2008-EF</t>
  </si>
  <si>
    <t>D.S. Nº 182-2008-EF</t>
  </si>
  <si>
    <t>D.S. Nº 036-2008-EF</t>
  </si>
  <si>
    <t>D.S. Nº 039-2008-EF</t>
  </si>
  <si>
    <t>D.S. Nº 062-2008-EF</t>
  </si>
  <si>
    <t>D.S. Nº 091-2008-EF</t>
  </si>
  <si>
    <t>D.S. Nº 094-2008-EF</t>
  </si>
  <si>
    <t>D.S. Nº 138-2008-EF</t>
  </si>
  <si>
    <t>D.S. Nº 152-2008-EF</t>
  </si>
  <si>
    <t>D.S. Nº 153-2008-EF</t>
  </si>
  <si>
    <t>D.S. Nº 174-2008-EF</t>
  </si>
  <si>
    <t>D.S. Nº 181-2008-EF</t>
  </si>
  <si>
    <t>JICA</t>
  </si>
  <si>
    <t>Programa de Apoyo a las Alianzas Rurales Productivas en la Sierra del Perú- ALIADOS</t>
  </si>
  <si>
    <t>Programa Programático de Reformas en los Sectores Sociales</t>
  </si>
  <si>
    <t>Programa de Reformas del Sector Sanemiento I</t>
  </si>
  <si>
    <t>Programa de Mejora de la Calidad de la Gestión y del Gasto Público III</t>
  </si>
  <si>
    <t>Programa Agua para Todos</t>
  </si>
  <si>
    <t>Préstamo Programático Gestión Fiscal y Crecimiento Económico I y II</t>
  </si>
  <si>
    <t>Proy. "Mej. y Ampliac. Sist. de Alcantarillado e Instalc. PTAR de la ciudad de Iquitos"</t>
  </si>
  <si>
    <t>Préstamo Programático Gestión Fiscal y Crecimiento Económico II</t>
  </si>
  <si>
    <t>Proy. "Fortalecimiento de los Activos, Mercados y Políticas para el Desarrollo Rural</t>
  </si>
  <si>
    <t>Programa de Reformas del Sector Saneamiento II</t>
  </si>
  <si>
    <t>Programa "Desarrollo de la Sanidad Agraria e Inocuidad Agro-Alimentaria"</t>
  </si>
  <si>
    <t>Obras faltantes de los tramos 2, 3 y 4 del Proy.Corredor Vial Interoceánico Perú-Brasil (IIRSA Sur)</t>
  </si>
  <si>
    <t>MARENASS</t>
  </si>
  <si>
    <t>G.Reg.Loreto</t>
  </si>
  <si>
    <t>MTC (Provías Nac.)</t>
  </si>
  <si>
    <t>3.5 años</t>
  </si>
  <si>
    <t>21 años</t>
  </si>
  <si>
    <t>7.5 años</t>
  </si>
  <si>
    <t xml:space="preserve">    - 0,4% Obras del proyecto</t>
  </si>
  <si>
    <t xml:space="preserve">    - 0,01% Gastos de Consultoría</t>
  </si>
  <si>
    <t>31/</t>
  </si>
  <si>
    <t>32/</t>
  </si>
  <si>
    <t>33/</t>
  </si>
  <si>
    <t>34/</t>
  </si>
  <si>
    <t>35/</t>
  </si>
  <si>
    <t>36/</t>
  </si>
  <si>
    <t>37/</t>
  </si>
  <si>
    <r>
      <t>32</t>
    </r>
    <r>
      <rPr>
        <b/>
        <sz val="10"/>
        <rFont val="Arial"/>
        <family val="2"/>
      </rPr>
      <t xml:space="preserve">/ </t>
    </r>
    <r>
      <rPr>
        <sz val="10"/>
        <rFont val="Arial"/>
        <family val="2"/>
      </rPr>
      <t>El plazo total del préstamo es de 15 años; será amortizado mediante seis (06) cuotas que vencerán el 15/05/2013, 15/11/2013, 15/05/2019, 15/11/2019, 15/05/2023 y 15/11/2023. Las condiciones financieras de esta operación de endeudamiento fue modificada por el D.S Nº 104-2008-EF.</t>
    </r>
  </si>
  <si>
    <r>
      <t>33</t>
    </r>
    <r>
      <rPr>
        <b/>
        <sz val="10"/>
        <rFont val="Arial"/>
        <family val="2"/>
      </rPr>
      <t xml:space="preserve">/ </t>
    </r>
    <r>
      <rPr>
        <sz val="10"/>
        <rFont val="Arial"/>
        <family val="2"/>
      </rPr>
      <t>El préstamo devengará la siguiente tasa de interés:</t>
    </r>
  </si>
  <si>
    <r>
      <t>31</t>
    </r>
    <r>
      <rPr>
        <b/>
        <sz val="10"/>
        <rFont val="Arial"/>
        <family val="2"/>
      </rPr>
      <t xml:space="preserve">/ </t>
    </r>
    <r>
      <rPr>
        <sz val="10"/>
        <rFont val="Arial"/>
        <family val="2"/>
      </rPr>
      <t>Será amortizado mediante dos cuotas que vencerán el 15/04/2018 y 15/10/2018.</t>
    </r>
  </si>
  <si>
    <t>M. de Defensa</t>
  </si>
  <si>
    <t>D.S. 122-98-EF</t>
  </si>
  <si>
    <t>Bco. Esp. de Crédito</t>
  </si>
  <si>
    <t>Banca</t>
  </si>
  <si>
    <t>Libor+0,75%</t>
  </si>
  <si>
    <t>D.S. 137-98-EF</t>
  </si>
  <si>
    <t>DE MEDIANO Y LARGO PLAZO</t>
  </si>
  <si>
    <t>21A</t>
  </si>
  <si>
    <t>Gobierno de  EE. UU. (AID)</t>
  </si>
  <si>
    <t>USD</t>
  </si>
  <si>
    <t>America Latina</t>
  </si>
  <si>
    <t>America latina</t>
  </si>
  <si>
    <t>Banca Comercial</t>
  </si>
  <si>
    <t>Pesqueria</t>
  </si>
  <si>
    <t>Organismos</t>
  </si>
  <si>
    <t>Prog. De crédito global</t>
  </si>
  <si>
    <t>3A 6 M</t>
  </si>
  <si>
    <t>Gie impregilo</t>
  </si>
  <si>
    <t>C.H. Restitución</t>
  </si>
  <si>
    <t>Libor + 1,75%</t>
  </si>
  <si>
    <t>7A 3M</t>
  </si>
  <si>
    <t>ELECTROPERU</t>
  </si>
  <si>
    <t>L.T. Chiclayo Piura</t>
  </si>
  <si>
    <t>EXTEBANDES</t>
  </si>
  <si>
    <t>R.M. 324-92-EF/75</t>
  </si>
  <si>
    <t>II Etapa Chavimochic</t>
  </si>
  <si>
    <t>Prog. Reducción de Deuda y de su Servicio</t>
  </si>
  <si>
    <t>4.5A</t>
  </si>
  <si>
    <t>Prep. Prog Atención del Menor 3 años -WawaWasi</t>
  </si>
  <si>
    <t>Calidad de Aduana</t>
  </si>
  <si>
    <t>Proy. de Fortalecimiento SUNAT</t>
  </si>
  <si>
    <t>Proy.  Manejo de Recu. Natu.para el Aliv. Pobr.</t>
  </si>
  <si>
    <t>D.S. 008-2000-EF</t>
  </si>
  <si>
    <t>Prog.Sect. Reforma de las Finanzas Públicas</t>
  </si>
  <si>
    <t>MEF -UCPS</t>
  </si>
  <si>
    <t>D.S. 021-2000-EF</t>
  </si>
  <si>
    <t>Coop. Técnica Prog.Sect. De Finanzas Públicas</t>
  </si>
  <si>
    <t>D.S. 040-2000-EF</t>
  </si>
  <si>
    <t>Exp. Redes de Agua y Alcant. En Lima y Callao</t>
  </si>
  <si>
    <t>LIB.6M+2.8%</t>
  </si>
  <si>
    <t>2A6M</t>
  </si>
  <si>
    <t>5A6M</t>
  </si>
  <si>
    <t>D.S. 069-2000-EF</t>
  </si>
  <si>
    <t>Adq.de 10  Trenes de Asfalto</t>
  </si>
  <si>
    <t>D.S. 081-2000-EF</t>
  </si>
  <si>
    <t>Gob.USA</t>
  </si>
  <si>
    <t>Importación de alimentos</t>
  </si>
  <si>
    <t>MEF-AID</t>
  </si>
  <si>
    <t>1.5%-2.5%</t>
  </si>
  <si>
    <t>26A</t>
  </si>
  <si>
    <t>D.S. 093-2000-EF</t>
  </si>
  <si>
    <t>Proyecto de Investigación y Exten. Agrícola</t>
  </si>
  <si>
    <t>LIB.6M+3/4Del1%</t>
  </si>
  <si>
    <t>D.S. 094-2000-EF</t>
  </si>
  <si>
    <t>Proyecto de Desarrollo Social en la Sierra(II)</t>
  </si>
  <si>
    <t>2.2%-0.75%</t>
  </si>
  <si>
    <t>7A-10A</t>
  </si>
  <si>
    <t>18A-30A</t>
  </si>
  <si>
    <t>D.S. 095-2000-EF</t>
  </si>
  <si>
    <t>Proy.de Manejo de Rec. Nat.para el alivio de Pob.</t>
  </si>
  <si>
    <t>PRONAMACHCS</t>
  </si>
  <si>
    <t>1.7%-0.75%</t>
  </si>
  <si>
    <t>EPS Cusco, Sicua.,Iquit.</t>
  </si>
  <si>
    <t>D.S.096-2000-EF</t>
  </si>
  <si>
    <t>1.7% - 0,75%</t>
  </si>
  <si>
    <t xml:space="preserve">            -</t>
  </si>
  <si>
    <t>D.S.097-2000-EF</t>
  </si>
  <si>
    <t>D.S.107-2000-EF</t>
  </si>
  <si>
    <t>KFW</t>
  </si>
  <si>
    <t>EMSA PUNO</t>
  </si>
  <si>
    <t>EPS EMSA PUNO S.A.</t>
  </si>
  <si>
    <t>D:S.114-2000-EF</t>
  </si>
  <si>
    <t>MEF - ODI</t>
  </si>
  <si>
    <t>D:S.118-2000-EF</t>
  </si>
  <si>
    <t>D:S.119-2000-EF</t>
  </si>
  <si>
    <t>3A6M</t>
  </si>
  <si>
    <t>21A6M</t>
  </si>
  <si>
    <t>D:S.122-2000-EF</t>
  </si>
  <si>
    <t>D:S.132-2000-EF</t>
  </si>
  <si>
    <t>LIB.6M+3,10%</t>
  </si>
  <si>
    <t>7A6M</t>
  </si>
  <si>
    <t>D:S.135-2000-EF</t>
  </si>
  <si>
    <t>LIB.6M+.3/4del 1%</t>
  </si>
  <si>
    <t>Banca comercial</t>
  </si>
  <si>
    <t xml:space="preserve">5A     </t>
  </si>
  <si>
    <t>MINISTERIO DE ECONOMIA Y FINANZAS</t>
  </si>
  <si>
    <t>Paises Socialistas</t>
  </si>
  <si>
    <t>R.fed del Brasil</t>
  </si>
  <si>
    <t xml:space="preserve">LIBOR </t>
  </si>
  <si>
    <t xml:space="preserve">1A 6M </t>
  </si>
  <si>
    <t>7A 6M</t>
  </si>
  <si>
    <t xml:space="preserve">6M </t>
  </si>
  <si>
    <t xml:space="preserve">EXIMBANK  </t>
  </si>
  <si>
    <t xml:space="preserve">LIB.6M+1% </t>
  </si>
  <si>
    <t>Repu.China</t>
  </si>
  <si>
    <t>Fianciar la Ejecucion del Proy .peq.Empresa</t>
  </si>
  <si>
    <t>D.S. 177-99-EF</t>
  </si>
  <si>
    <t>D.S. 193-99-EF</t>
  </si>
  <si>
    <t>LIB.6M+2,8%</t>
  </si>
  <si>
    <t>-.-</t>
  </si>
  <si>
    <t>D.S. 178-99-EF</t>
  </si>
  <si>
    <t>D.S. 171-99-EF</t>
  </si>
  <si>
    <t>Inmueble para Consulado General del Perú en N.Y.</t>
  </si>
  <si>
    <t>Proy de Mej. y  Ampl. de  Agua Pot. y  Alc. Iquitos,Cusco,Sicuani.</t>
  </si>
  <si>
    <t>Proy. de Mej. de Agua y Alc.  en Areas Marginales de Lima</t>
  </si>
  <si>
    <t>Proyecto  de Agua Potable y Alcantarillado Puno</t>
  </si>
  <si>
    <t>Prog.para Recons. Obras de Infraest.Afectadas por Fenóm. Niño</t>
  </si>
  <si>
    <t>Prog. de Desarr. del Sector Salud, Seguro Materno Infantil</t>
  </si>
  <si>
    <t>Prog.  Multisectorial de Inversión Pública 2000-2001</t>
  </si>
  <si>
    <t>Proyecto Desarrollo de Pueblos Indígenas y Afro-Peruanos</t>
  </si>
  <si>
    <t>R.M. 142-94-EF</t>
  </si>
  <si>
    <t xml:space="preserve">R.M. 141-94-EF </t>
  </si>
  <si>
    <t>D.S. 119-94-EF</t>
  </si>
  <si>
    <t>D.S. 147-94-EF</t>
  </si>
  <si>
    <t>D.S. 146-94-EF</t>
  </si>
  <si>
    <t>D.S. 153-94-EF</t>
  </si>
  <si>
    <t>D.S. 154-94-EF</t>
  </si>
  <si>
    <t>D.S. 155-94-EF</t>
  </si>
  <si>
    <t>D.S. 162-94-EF</t>
  </si>
  <si>
    <t>D.S. 161-94-EF</t>
  </si>
  <si>
    <t>D.S. 181-94-EF</t>
  </si>
  <si>
    <t>D.S. 184-94-EF</t>
  </si>
  <si>
    <t>D.S. 176-94-EF</t>
  </si>
  <si>
    <t>D.S. 185-94-EF</t>
  </si>
  <si>
    <t>D.S. 022-96-EF</t>
  </si>
  <si>
    <t>D.S. 027-96-EF</t>
  </si>
  <si>
    <t>D.S. 038-96-EF</t>
  </si>
  <si>
    <t>D.S. 039-96-EF</t>
  </si>
  <si>
    <t>D.S.103-96-EF</t>
  </si>
  <si>
    <t>D.S.130-96-EF</t>
  </si>
  <si>
    <t>D.S.127-96-EF</t>
  </si>
  <si>
    <t>D.S.128-96-EF</t>
  </si>
  <si>
    <t>D.S.133-96-EF</t>
  </si>
  <si>
    <t>D.U. 059-96</t>
  </si>
  <si>
    <t>D.U. 111-96</t>
  </si>
  <si>
    <t>D.S. 054-96-EF</t>
  </si>
  <si>
    <t>D.S. 050-96-EF</t>
  </si>
  <si>
    <t>D.S. 043-96-EF</t>
  </si>
  <si>
    <t>D.U. 102-96</t>
  </si>
  <si>
    <t>D.U.  065-94</t>
  </si>
  <si>
    <t>R.M.  297-91-EF</t>
  </si>
  <si>
    <t xml:space="preserve">   D.S. 176-99-EF</t>
  </si>
  <si>
    <t xml:space="preserve">   D.U. 060-99</t>
  </si>
  <si>
    <t>SEDACUSCO</t>
  </si>
  <si>
    <t>RENOM</t>
  </si>
  <si>
    <t>SENAPA</t>
  </si>
  <si>
    <t>Bco. de la Nación</t>
  </si>
  <si>
    <t>M. Transportes -PERT</t>
  </si>
  <si>
    <t>D.LEG. 605</t>
  </si>
  <si>
    <t>Conservación de Alimentos</t>
  </si>
  <si>
    <t>D.LEG. 606</t>
  </si>
  <si>
    <t>D.LEG. 609</t>
  </si>
  <si>
    <t>Ministerio de Pesquería</t>
  </si>
  <si>
    <t>Mejoramiento del Sanema. Básico para Ciudad de Trujillo</t>
  </si>
  <si>
    <t>Prog. De Rehabilitación y Mejoram. De Carreteras</t>
  </si>
  <si>
    <t>D.S.  145-94-EF</t>
  </si>
  <si>
    <t>Sociales</t>
  </si>
  <si>
    <t>Otros</t>
  </si>
  <si>
    <t>M. Transportes - PERT</t>
  </si>
  <si>
    <t>Imp. Alimentos</t>
  </si>
  <si>
    <t>Presa Cuchoquesera</t>
  </si>
  <si>
    <t>3% - 4%</t>
  </si>
  <si>
    <t>MARENAS</t>
  </si>
  <si>
    <t>M. Relaciones Exteriores</t>
  </si>
  <si>
    <t>M. Presidencia-PRONAP</t>
  </si>
  <si>
    <t>M. Presidencia -PRONAP</t>
  </si>
  <si>
    <t>Países Socialistas</t>
  </si>
  <si>
    <t>Mediocredito Centrale</t>
  </si>
  <si>
    <t>C.de París</t>
  </si>
  <si>
    <t xml:space="preserve">Abastecimiento agua Cusco </t>
  </si>
  <si>
    <t>Prog. agua potable y Alcantarillado de Arequipa</t>
  </si>
  <si>
    <t>Preparación Proyecto de Saneamiento</t>
  </si>
  <si>
    <t>Reestructuración Sub Sector eléctrico</t>
  </si>
  <si>
    <t>MEF-ADUANAS</t>
  </si>
  <si>
    <t>Bco. Europeo de Inv.</t>
  </si>
  <si>
    <t>Sistemas Agua y Alcant. Piura, Castilla y Chimbote</t>
  </si>
  <si>
    <t>Prog. Global de Crédito a Microempresa II</t>
  </si>
  <si>
    <t>Rehab. Serv. Grles Hosp. Macroregionales</t>
  </si>
  <si>
    <t>Fomento a la Pequeña y Microempresa</t>
  </si>
  <si>
    <t>Proy. de Desarr.del Corredor Puno-Cusco</t>
  </si>
  <si>
    <t>Programa de Ajuste del Sector Financiero II</t>
  </si>
  <si>
    <t>Prog. de Pre-inver. Región Fronteriza</t>
  </si>
  <si>
    <t>Mejoram.  Calidad de la Educación Secundaria - I</t>
  </si>
  <si>
    <t>Club de París</t>
  </si>
  <si>
    <t>Socialistas</t>
  </si>
  <si>
    <t>Organismo</t>
  </si>
  <si>
    <t>Nota  :   Concertaciones del Gobierno Central y sus Garantías</t>
  </si>
  <si>
    <t>América Latina</t>
  </si>
  <si>
    <t>Américca Latina</t>
  </si>
  <si>
    <t>POR FUENTE  DE  FINANCIAMIENTO</t>
  </si>
  <si>
    <t>PROVEEDOR</t>
  </si>
  <si>
    <t>EMBRAER S.A.</t>
  </si>
  <si>
    <t>D. Leg. 631- Art. 1º</t>
  </si>
  <si>
    <t>Fiat Vehículos Ind. S.A.</t>
  </si>
  <si>
    <t>D. Leg. 631- Art. 2º</t>
  </si>
  <si>
    <t>D. Leg. 629</t>
  </si>
  <si>
    <t>Bco. do Brasil-CACEX</t>
  </si>
  <si>
    <t>LIBOR-2% ú 8%</t>
  </si>
  <si>
    <t>D.LEG. 558</t>
  </si>
  <si>
    <t>TADIRAN de Israel</t>
  </si>
  <si>
    <t>us$</t>
  </si>
  <si>
    <t>D: Leg. 611</t>
  </si>
  <si>
    <t>Elsag de Italia</t>
  </si>
  <si>
    <t>kfW</t>
  </si>
  <si>
    <t>Bco.América Do Sul S.A.</t>
  </si>
  <si>
    <t xml:space="preserve">Proveedor </t>
  </si>
  <si>
    <t>D.S. 108-2001-EF</t>
  </si>
  <si>
    <t>MAG</t>
  </si>
  <si>
    <t>D.S.  038-2001-EF</t>
  </si>
  <si>
    <t>D.S.  050-2001-EF</t>
  </si>
  <si>
    <t>D.U.  048-2001-EF</t>
  </si>
  <si>
    <t>D.S. 099-2001-EF</t>
  </si>
  <si>
    <t>D.S. 109-2001-EF</t>
  </si>
  <si>
    <t>D.S. 139-2001-EF</t>
  </si>
  <si>
    <t>D.S.144-2001-EF</t>
  </si>
  <si>
    <t>D.S.162-2001-EF</t>
  </si>
  <si>
    <t>D.S.171-2001-EF</t>
  </si>
  <si>
    <t>Prog. De Reforma de Salud-Primera fase</t>
  </si>
  <si>
    <t>Prést. Programático de Reforma Social</t>
  </si>
  <si>
    <t>Prog.Multisect.de Inversión Pública 2001</t>
  </si>
  <si>
    <t>Prog.Sectorial Transp. Y Refor. Polit.Soci y de Just.</t>
  </si>
  <si>
    <t>Proyecto Caminos Rurales II</t>
  </si>
  <si>
    <t>Prog. Nacion.de Infraestructura Rural de Trans.</t>
  </si>
  <si>
    <t>Prog.Titulación y Registro de Tierras-Seg Etapa</t>
  </si>
  <si>
    <t>Prog.Atención a la Emergencia por Terremo 23-6-01</t>
  </si>
  <si>
    <t>Prog.de Apoyo Emergencia a la Zona Sur</t>
  </si>
  <si>
    <t>Transporte</t>
  </si>
  <si>
    <t>MTCVC</t>
  </si>
  <si>
    <t>LIB.6M+3.5 %</t>
  </si>
  <si>
    <t>LIB 6M+0,75 %</t>
  </si>
  <si>
    <t>LIB 6M+3,1 %</t>
  </si>
  <si>
    <t>10A 6M</t>
  </si>
  <si>
    <t>20A 6M</t>
  </si>
  <si>
    <t>Imp. de Alimentos</t>
  </si>
  <si>
    <t>Prog.Multisect.de Inversión Pública 2001-2002</t>
  </si>
  <si>
    <t>LIB 6M+3,75 %</t>
  </si>
  <si>
    <t>10A6M</t>
  </si>
  <si>
    <t>D.U.127-2001-EF</t>
  </si>
  <si>
    <t>0,75%-3%</t>
  </si>
  <si>
    <t>0,75%-2%</t>
  </si>
  <si>
    <t>BID 906-OC-PE</t>
  </si>
  <si>
    <t>BID 931-OC-PE</t>
  </si>
  <si>
    <t>BIRF 4068-PE</t>
  </si>
  <si>
    <t>BIRF 4076-PE</t>
  </si>
  <si>
    <t>BID Carta Ac. PPF 002-PE</t>
  </si>
  <si>
    <t>BID Carta Ac. 944 OC PE</t>
  </si>
  <si>
    <t>BID 956-OC-PE</t>
  </si>
  <si>
    <t>BID 985-OC-PE</t>
  </si>
  <si>
    <t>BID 966-OC-PE</t>
  </si>
  <si>
    <t>BIRF 4134-PE</t>
  </si>
  <si>
    <t>BIRF 4130-PE</t>
  </si>
  <si>
    <t>BID 1025-OC-PE</t>
  </si>
  <si>
    <t>BID 1024-OC-PE</t>
  </si>
  <si>
    <t>BID 1061-OC-PE</t>
  </si>
  <si>
    <t>BID 1058-OC-PE</t>
  </si>
  <si>
    <t>BIRF 4250-PE</t>
  </si>
  <si>
    <t>BIRF 4256-PE</t>
  </si>
  <si>
    <t>BID 1036-OC-PE</t>
  </si>
  <si>
    <t>BID 1050-OC-PE</t>
  </si>
  <si>
    <t>BID 1115-OC-PE</t>
  </si>
  <si>
    <t>BIRF 4384-PE</t>
  </si>
  <si>
    <t>BID 1128-OC-PE</t>
  </si>
  <si>
    <t>BID 1150-OC-PE</t>
  </si>
  <si>
    <t>BID 1137-OC-PE</t>
  </si>
  <si>
    <t>BID 1144-OC-PE</t>
  </si>
  <si>
    <t>BIRF 4497-PE</t>
  </si>
  <si>
    <t>BID 1195-OC-PE</t>
  </si>
  <si>
    <t>BID 1196-OC-PE</t>
  </si>
  <si>
    <t>BID 1235-OC-PE</t>
  </si>
  <si>
    <t>BID 1236-OC-PE</t>
  </si>
  <si>
    <t>BIRF 4519-PE</t>
  </si>
  <si>
    <t>BID 1233-OC-PE-D43</t>
  </si>
  <si>
    <t>BID 1237-OC-PE</t>
  </si>
  <si>
    <t>BID 1208-OC-PE</t>
  </si>
  <si>
    <t>BIRF 4536-PE</t>
  </si>
  <si>
    <t>BIRF 4257-PE</t>
  </si>
  <si>
    <t>BIRF 4615-PE</t>
  </si>
  <si>
    <t>BID 1321-OC-PE</t>
  </si>
  <si>
    <t>BIRF 4614-PE</t>
  </si>
  <si>
    <t>BID 1328-OC-PE</t>
  </si>
  <si>
    <t>BID 1340-OC-PE</t>
  </si>
  <si>
    <t>BID 1329-OC-EF</t>
  </si>
  <si>
    <t>Gob USA</t>
  </si>
  <si>
    <t xml:space="preserve"> 26A</t>
  </si>
  <si>
    <t>Bonos</t>
  </si>
  <si>
    <t>--</t>
  </si>
  <si>
    <t>EMAPA HVCA</t>
  </si>
  <si>
    <t>Py.E.Jaen S.I.Bagua</t>
  </si>
  <si>
    <t>EUR</t>
  </si>
  <si>
    <t>D.U. 021-2002</t>
  </si>
  <si>
    <t>D.S. 107-2002-EF</t>
  </si>
  <si>
    <t>BID 1412 OC-PE</t>
  </si>
  <si>
    <t>DGCP</t>
  </si>
  <si>
    <t>14A6M</t>
  </si>
  <si>
    <t xml:space="preserve">     hasta US$ 500 millones, como Endeudamiento Externo para Apoyo de la Balanza de Pagos.</t>
  </si>
  <si>
    <t xml:space="preserve">       i) Cuando la tasa LIBOR a 6 meses sea de hasta 5,0%, se aplicará un margen del 3.75%;</t>
  </si>
  <si>
    <t xml:space="preserve">      ii) Cuando la tasa LIBOR a 6 meses sea superior a 5,0%  y hasta 5.5%, se aplicará un margen del 3.5%;</t>
  </si>
  <si>
    <t xml:space="preserve">     iii) Cuando la tada LIBOR a 6 meses sea superior a 5.5% y hasta 6.0%, se aplicará un margen del 3.25%; y,</t>
  </si>
  <si>
    <t xml:space="preserve">     iv) Cuando la tasa LIBOR a 6 meses sea superior a 6.0%, se aplicará un margen del 3.0%.</t>
  </si>
  <si>
    <t xml:space="preserve"> D.S. 059-2002-EF</t>
  </si>
  <si>
    <t xml:space="preserve"> D.S. 079-2002-EF</t>
  </si>
  <si>
    <t xml:space="preserve"> D.S. 080-2002-EF</t>
  </si>
  <si>
    <t>D.S. 137-2002-EF</t>
  </si>
  <si>
    <t>9-Set-02</t>
  </si>
  <si>
    <t>4A6M</t>
  </si>
  <si>
    <t>20A6M</t>
  </si>
  <si>
    <t>D.S. 138-2002-EF</t>
  </si>
  <si>
    <t>10-Set-02</t>
  </si>
  <si>
    <t>PRONASAR</t>
  </si>
  <si>
    <t>D.S. 142-2002-EF</t>
  </si>
  <si>
    <t>20-Set-02</t>
  </si>
  <si>
    <t>Lib.6M+3/4 del 1%</t>
  </si>
  <si>
    <t>Prog. Reducción de Deuda y su servicio</t>
  </si>
  <si>
    <t>D.S. 182-2002-EF</t>
  </si>
  <si>
    <t>D.S. 179-2002-EF</t>
  </si>
  <si>
    <t>D.S. 187-2002-EF</t>
  </si>
  <si>
    <t>UCPS-MEF</t>
  </si>
  <si>
    <t>MINCETUR</t>
  </si>
  <si>
    <t>16A6M</t>
  </si>
  <si>
    <r>
      <t>1/</t>
    </r>
    <r>
      <rPr>
        <sz val="10"/>
        <rFont val="Arial"/>
        <family val="2"/>
      </rPr>
      <t xml:space="preserve"> No se ejecutó.</t>
    </r>
  </si>
  <si>
    <r>
      <t>2/</t>
    </r>
    <r>
      <rPr>
        <sz val="10"/>
        <rFont val="Arial"/>
        <family val="0"/>
      </rPr>
      <t xml:space="preserve"> El D.S. 301-91-EF del 19-12-91 modifica el Artículo 1º del D. Leg. 628, a fin de sustituir en el financiamiento al Bco. do Brasil por la empresa EMBRAER</t>
    </r>
  </si>
  <si>
    <r>
      <t xml:space="preserve">Defensa Nacional   </t>
    </r>
    <r>
      <rPr>
        <b/>
        <sz val="10"/>
        <color indexed="10"/>
        <rFont val="Arial"/>
        <family val="2"/>
      </rPr>
      <t>1/</t>
    </r>
  </si>
  <si>
    <r>
      <t xml:space="preserve">Defensa Nacional  </t>
    </r>
    <r>
      <rPr>
        <b/>
        <sz val="10"/>
        <color indexed="10"/>
        <rFont val="Arial"/>
        <family val="2"/>
      </rPr>
      <t>1/</t>
    </r>
  </si>
  <si>
    <r>
      <t xml:space="preserve">D.LEG. 628    </t>
    </r>
    <r>
      <rPr>
        <b/>
        <sz val="10"/>
        <color indexed="10"/>
        <rFont val="Arial"/>
        <family val="2"/>
      </rPr>
      <t>2/</t>
    </r>
  </si>
  <si>
    <t>7/</t>
  </si>
  <si>
    <t xml:space="preserve">5A  </t>
  </si>
  <si>
    <t xml:space="preserve">BID </t>
  </si>
  <si>
    <t>Plan Financiero 1996</t>
  </si>
  <si>
    <t xml:space="preserve">20A </t>
  </si>
  <si>
    <t>BID 1421 OC-PE</t>
  </si>
  <si>
    <t>BIRF 7142-PE</t>
  </si>
  <si>
    <t>BIRF 4678-PE</t>
  </si>
  <si>
    <t>BIRF P398-0-PE</t>
  </si>
  <si>
    <t>BID 1442 OC-PE</t>
  </si>
  <si>
    <t>Electroperú</t>
  </si>
  <si>
    <t>-,-</t>
  </si>
  <si>
    <t>1A6M</t>
  </si>
  <si>
    <t xml:space="preserve">  3A6M</t>
  </si>
  <si>
    <t>3/</t>
  </si>
  <si>
    <t>Libor + 0.75%</t>
  </si>
  <si>
    <t>Libor + 1.5%</t>
  </si>
  <si>
    <r>
      <t xml:space="preserve">D.S. 182-94-EF  </t>
    </r>
    <r>
      <rPr>
        <b/>
        <sz val="10"/>
        <color indexed="10"/>
        <rFont val="Arial"/>
        <family val="2"/>
      </rPr>
      <t>4/</t>
    </r>
  </si>
  <si>
    <r>
      <t xml:space="preserve">D.S. 183-94-EF   </t>
    </r>
    <r>
      <rPr>
        <b/>
        <sz val="10"/>
        <color indexed="10"/>
        <rFont val="Arial"/>
        <family val="2"/>
      </rPr>
      <t>5/</t>
    </r>
  </si>
  <si>
    <r>
      <t xml:space="preserve">Eximbank  </t>
    </r>
    <r>
      <rPr>
        <b/>
        <sz val="10"/>
        <color indexed="10"/>
        <rFont val="Arial"/>
        <family val="2"/>
      </rPr>
      <t>6/</t>
    </r>
  </si>
  <si>
    <t>Proy. Desarrollo del Sector Social en el Area de Amazonía</t>
  </si>
  <si>
    <t>8/</t>
  </si>
  <si>
    <r>
      <t xml:space="preserve">JIBIC  </t>
    </r>
    <r>
      <rPr>
        <b/>
        <sz val="10"/>
        <color indexed="10"/>
        <rFont val="Arial"/>
        <family val="2"/>
      </rPr>
      <t>9/</t>
    </r>
  </si>
  <si>
    <r>
      <t xml:space="preserve">6M  </t>
    </r>
    <r>
      <rPr>
        <b/>
        <sz val="10"/>
        <color indexed="10"/>
        <rFont val="Arial"/>
        <family val="2"/>
      </rPr>
      <t>10/</t>
    </r>
  </si>
  <si>
    <r>
      <t xml:space="preserve">LIB.6M+  </t>
    </r>
    <r>
      <rPr>
        <sz val="9"/>
        <color indexed="10"/>
        <rFont val="Arial"/>
        <family val="2"/>
      </rPr>
      <t xml:space="preserve"> </t>
    </r>
    <r>
      <rPr>
        <b/>
        <sz val="9"/>
        <color indexed="10"/>
        <rFont val="Arial"/>
        <family val="2"/>
      </rPr>
      <t>12/</t>
    </r>
  </si>
  <si>
    <r>
      <t xml:space="preserve">3/ </t>
    </r>
    <r>
      <rPr>
        <sz val="10"/>
        <rFont val="Arial"/>
        <family val="2"/>
      </rPr>
      <t>Devengará una tasa de interes para Recursos CAF:Libor+1,75%; Recursos Terceros:Tasa de Interés de los recursos más un margen de 1/10.</t>
    </r>
  </si>
  <si>
    <r>
      <t>5/</t>
    </r>
    <r>
      <rPr>
        <sz val="10"/>
        <rFont val="Arial"/>
        <family val="0"/>
      </rPr>
      <t xml:space="preserve"> El D.S. 164-95-EF precisa que la operación de crédito será acordada con la firma Mobeteck Representaciones Sucursal de Panamá.</t>
    </r>
  </si>
  <si>
    <r>
      <t xml:space="preserve">6/ </t>
    </r>
    <r>
      <rPr>
        <sz val="10"/>
        <rFont val="Arial"/>
        <family val="2"/>
      </rPr>
      <t>Interés =2,9%</t>
    </r>
  </si>
  <si>
    <r>
      <t xml:space="preserve">7/ </t>
    </r>
    <r>
      <rPr>
        <sz val="10"/>
        <rFont val="Arial"/>
        <family val="0"/>
      </rPr>
      <t>Incluye el monto del préstamo (US$ 11'977,000) y el 100% de las garantías (US$ 648,283) , conforme aprueba el D.S.</t>
    </r>
  </si>
  <si>
    <r>
      <t xml:space="preserve">8/ </t>
    </r>
    <r>
      <rPr>
        <sz val="10"/>
        <rFont val="Arial"/>
        <family val="0"/>
      </rPr>
      <t>Incluye el monto del préstamo (US$ 1'696,090) y el 85% de las garantías (US$ 72,934), conforme aprueba el D.S.</t>
    </r>
  </si>
  <si>
    <r>
      <t xml:space="preserve">9/ </t>
    </r>
    <r>
      <rPr>
        <sz val="10"/>
        <rFont val="Arial"/>
        <family val="2"/>
      </rPr>
      <t>Interés=2,2%</t>
    </r>
  </si>
  <si>
    <t>20/</t>
  </si>
  <si>
    <r>
      <t>21/</t>
    </r>
    <r>
      <rPr>
        <b/>
        <sz val="10"/>
        <rFont val="Arial"/>
        <family val="2"/>
      </rPr>
      <t xml:space="preserve"> </t>
    </r>
    <r>
      <rPr>
        <sz val="10"/>
        <rFont val="Arial"/>
        <family val="2"/>
      </rPr>
      <t xml:space="preserve">Esta garantía tendrá un plazo de 19 años y deberá ser reembolsada dentro de los 30 días hábiles posteriores a su ejecución, devengando una tasa de interés de Libor a 6 meses más un margen CAF para préstamos soberanos más 0,7% aplicable al monto ejecutado de la garantía. </t>
    </r>
  </si>
  <si>
    <t>21/</t>
  </si>
  <si>
    <r>
      <t>22/</t>
    </r>
    <r>
      <rPr>
        <b/>
        <sz val="10"/>
        <rFont val="Arial"/>
        <family val="2"/>
      </rPr>
      <t xml:space="preserve"> </t>
    </r>
    <r>
      <rPr>
        <sz val="10"/>
        <rFont val="Arial"/>
        <family val="2"/>
      </rPr>
      <t xml:space="preserve">Esta garantía tendrá un plazo de 20 años y deberá ser reembolsada dentro de los 30 días posteriores a su ejecución, devengando una tasa de interés de 0,25% sobre el monto desembolsado y una comisión de 0,25% anual sobre el saldo de garantía disponible. </t>
    </r>
  </si>
  <si>
    <r>
      <t>24/</t>
    </r>
    <r>
      <rPr>
        <sz val="10"/>
        <rFont val="Arial"/>
        <family val="2"/>
      </rPr>
      <t xml:space="preserve"> De conformidad con el D.S.Nº 160-2006-EF, la tasa de interés aplicable será de Libor a 6 m+ 1,4% anual. Para los primeros ocho años será de Libor a 6m + 0,6% anual.</t>
    </r>
  </si>
  <si>
    <r>
      <t>25/</t>
    </r>
    <r>
      <rPr>
        <sz val="10"/>
        <rFont val="Arial"/>
        <family val="2"/>
      </rPr>
      <t>Tramo I : € 7 835 502.58 2%</t>
    </r>
  </si>
  <si>
    <r>
      <t>28</t>
    </r>
    <r>
      <rPr>
        <b/>
        <sz val="10"/>
        <rFont val="Arial"/>
        <family val="2"/>
      </rPr>
      <t xml:space="preserve">/ </t>
    </r>
    <r>
      <rPr>
        <sz val="10"/>
        <rFont val="Arial"/>
        <family val="2"/>
      </rPr>
      <t>El plazo total del préstamo es de 11.5 años; será amortizado mediante dos (02) cuotas que vencerán el 15/10/2013 y 15/04/2018.</t>
    </r>
  </si>
  <si>
    <r>
      <t>29</t>
    </r>
    <r>
      <rPr>
        <b/>
        <sz val="10"/>
        <rFont val="Arial"/>
        <family val="2"/>
      </rPr>
      <t>/</t>
    </r>
    <r>
      <rPr>
        <sz val="10"/>
        <rFont val="Arial"/>
        <family val="2"/>
      </rPr>
      <t xml:space="preserve">  Se imputará al primer desembolso que se efectúe con cargo a los recursos del eventual préstamo que otorgue el BID para el mensionado Programa. Si el BID no otorga un préstamo para financiar el Programa, será amortizado de acuerdo a los plazos establecidos en el Convenio de Línea FAPEP.</t>
    </r>
  </si>
  <si>
    <r>
      <t>11/</t>
    </r>
    <r>
      <rPr>
        <b/>
        <sz val="10"/>
        <rFont val="Arial"/>
        <family val="2"/>
      </rPr>
      <t xml:space="preserve"> </t>
    </r>
    <r>
      <rPr>
        <sz val="10"/>
        <rFont val="Arial"/>
        <family val="2"/>
      </rPr>
      <t xml:space="preserve">Mediante el D.S. 021-2002-EF se autorizó la emisión Internacional de Bonos Soberanos hasta por US$ 1500 millones, de los cuales hasta US$ 1,000 millones son  para  operación de renegociación  de deuda pública externa mediante  canje de Bonos y </t>
    </r>
  </si>
  <si>
    <r>
      <t>12/</t>
    </r>
    <r>
      <rPr>
        <b/>
        <sz val="10"/>
        <rFont val="Arial"/>
        <family val="2"/>
      </rPr>
      <t xml:space="preserve"> </t>
    </r>
    <r>
      <rPr>
        <sz val="10"/>
        <rFont val="Arial"/>
        <family val="2"/>
      </rPr>
      <t>Más un  márgen de acuerdo con la sgte. escala:</t>
    </r>
  </si>
  <si>
    <r>
      <t xml:space="preserve">13/ </t>
    </r>
    <r>
      <rPr>
        <sz val="10"/>
        <rFont val="Arial"/>
        <family val="2"/>
      </rPr>
      <t>Tasa de interés anual, establecida por el BID.</t>
    </r>
  </si>
  <si>
    <r>
      <t xml:space="preserve">14/ </t>
    </r>
    <r>
      <rPr>
        <sz val="10"/>
        <rFont val="Arial"/>
        <family val="2"/>
      </rPr>
      <t>Más márgen fijo determinado por el BIRF, de acuerdo con su política de operaciones.</t>
    </r>
  </si>
  <si>
    <t>1,7%-0,75%</t>
  </si>
  <si>
    <t>2,2%-0,75%</t>
  </si>
  <si>
    <t>7A10A</t>
  </si>
  <si>
    <t>1A9M</t>
  </si>
  <si>
    <r>
      <t>4/</t>
    </r>
    <r>
      <rPr>
        <sz val="10"/>
        <color indexed="8"/>
        <rFont val="Arial"/>
        <family val="2"/>
      </rPr>
      <t xml:space="preserve"> Con el D.S. 141-96-EF se aprobó la modificación del Plazo de Utilización de la Operación  de endeudamiento Externo aprobada por D.S. N° 182-94-EF</t>
    </r>
  </si>
  <si>
    <t>D.S. 007-2003-EF</t>
  </si>
  <si>
    <t>D.S. 027-2003-EF</t>
  </si>
  <si>
    <t>D.S. 030-2003-EF</t>
  </si>
  <si>
    <t>D.S.  059-2003-EF</t>
  </si>
  <si>
    <t>D.S. 066-2003-EF</t>
  </si>
  <si>
    <t>D.S. 089-2003-EF</t>
  </si>
  <si>
    <t>D.S. 108-2003-EF</t>
  </si>
  <si>
    <t>D.S. 117-2003-EF</t>
  </si>
  <si>
    <t>D.S. 122-2003-EF</t>
  </si>
  <si>
    <t>D.S. 125-2003-EF</t>
  </si>
  <si>
    <t>D.S. 131-2003-EF</t>
  </si>
  <si>
    <t>D.S. 132-2003-EF</t>
  </si>
  <si>
    <t>09-set-03</t>
  </si>
  <si>
    <t>17-set-03</t>
  </si>
  <si>
    <t>Mº RR.EE.</t>
  </si>
  <si>
    <t>BID 1413-OC-PE</t>
  </si>
  <si>
    <t>PCM</t>
  </si>
  <si>
    <t>BID 1458-OC-PE</t>
  </si>
  <si>
    <t>CONGRESO</t>
  </si>
  <si>
    <t>15A6M</t>
  </si>
  <si>
    <t>BID 1461-OC-PE</t>
  </si>
  <si>
    <t>VIVIENDA</t>
  </si>
  <si>
    <t>MININTER</t>
  </si>
  <si>
    <t>MEF-MTC</t>
  </si>
  <si>
    <t>MED-FONCODES</t>
  </si>
  <si>
    <r>
      <t xml:space="preserve">BID          </t>
    </r>
    <r>
      <rPr>
        <b/>
        <sz val="9"/>
        <color indexed="10"/>
        <rFont val="Arial"/>
        <family val="2"/>
      </rPr>
      <t>13/</t>
    </r>
  </si>
  <si>
    <r>
      <t xml:space="preserve">LIB.6M+  </t>
    </r>
    <r>
      <rPr>
        <b/>
        <sz val="10"/>
        <color indexed="10"/>
        <rFont val="Arial"/>
        <family val="2"/>
      </rPr>
      <t>14/</t>
    </r>
  </si>
  <si>
    <t>D.S. 005-2003-EF</t>
  </si>
  <si>
    <t>17-en-03</t>
  </si>
  <si>
    <t>Inversiones</t>
  </si>
  <si>
    <t>MEM</t>
  </si>
  <si>
    <t>Publicación</t>
  </si>
  <si>
    <r>
      <t>10/</t>
    </r>
    <r>
      <rPr>
        <sz val="10"/>
        <rFont val="Arial"/>
        <family val="0"/>
      </rPr>
      <t xml:space="preserve"> La 1ra cuota vencerá a los 12 m de la fecha del Conocim. de embarque</t>
    </r>
  </si>
  <si>
    <t>D.S. 165-2003-EF</t>
  </si>
  <si>
    <t>D.S. 166-2003-EF</t>
  </si>
  <si>
    <t>D.S. 174-2003-EF</t>
  </si>
  <si>
    <t>D.S. 175-2003-EF</t>
  </si>
  <si>
    <t>D.S. 188-2003-EF</t>
  </si>
  <si>
    <t>D.S. 194-2003-EF</t>
  </si>
  <si>
    <t>PROTRANSPORTE</t>
  </si>
  <si>
    <t>LD</t>
  </si>
  <si>
    <t>68 MM LD</t>
  </si>
  <si>
    <t>172 MM</t>
  </si>
  <si>
    <t>PROYECTOS</t>
  </si>
  <si>
    <t>TR</t>
  </si>
  <si>
    <t>CREDITO DE Cofide con Garantía del GN</t>
  </si>
  <si>
    <t>R.M: Nº 224-2004-EF/75</t>
  </si>
  <si>
    <t>Varios</t>
  </si>
  <si>
    <t>Apoyo Balanza de Pagos</t>
  </si>
  <si>
    <t>Inv. Institucionales</t>
  </si>
  <si>
    <t>R.M: Nº 492-2004-EF/75</t>
  </si>
  <si>
    <t xml:space="preserve">        17/</t>
  </si>
  <si>
    <t>D.S. Nº 082-2004-EF</t>
  </si>
  <si>
    <t>C.París</t>
  </si>
  <si>
    <t>10 años</t>
  </si>
  <si>
    <t>20 años</t>
  </si>
  <si>
    <t>D.S. Nº 119-2004-EF</t>
  </si>
  <si>
    <t>AID</t>
  </si>
  <si>
    <t>"Adquisición de Trigo bajo el Programa PL 480"</t>
  </si>
  <si>
    <t>Social</t>
  </si>
  <si>
    <t>Unid.Espc. PL 480</t>
  </si>
  <si>
    <t>5 años</t>
  </si>
  <si>
    <t>25 años</t>
  </si>
  <si>
    <t>D.S.Nº 182-2004-EF</t>
  </si>
  <si>
    <t>MVCS</t>
  </si>
  <si>
    <t>2% y 3%</t>
  </si>
  <si>
    <t>D.S.Nº 206-2004-EF</t>
  </si>
  <si>
    <t>SEDACAJ</t>
  </si>
  <si>
    <t>"Proyecto de Agua Potable y Saneamiento de la ciudad de Cajamarca"</t>
  </si>
  <si>
    <t>D.S. Nº 037-04-EF</t>
  </si>
  <si>
    <t>D.S. Nº 044-04-EF</t>
  </si>
  <si>
    <t>D.S. Nº 113-2004-EF</t>
  </si>
  <si>
    <t>D.S. Nº 117-2004-EF</t>
  </si>
  <si>
    <t>D.S. Nº149-2004-EF</t>
  </si>
  <si>
    <t>D.S. Nº150-2004-EF</t>
  </si>
  <si>
    <t>D.S.Nº 168-2004-EF</t>
  </si>
  <si>
    <t>D.S.Nº 180-2004-EF</t>
  </si>
  <si>
    <t>D.S.Nº 181-2004-EF</t>
  </si>
  <si>
    <t>D.S.Nº 183-2004-EF</t>
  </si>
  <si>
    <t>D.S.Nº 196-2004-EF</t>
  </si>
  <si>
    <t>D.S.Nº 201-2004-EF</t>
  </si>
  <si>
    <t>D.S.Nº 203-2004-EF</t>
  </si>
  <si>
    <t>D.S.Nº 204-2004-EF</t>
  </si>
  <si>
    <t>D.S.Nº 205-2004-EF</t>
  </si>
  <si>
    <t>Programa de Capacitación Laboral para Jovenes</t>
  </si>
  <si>
    <t>"Programa de Infraestructura Económica y Desarrollo Social"</t>
  </si>
  <si>
    <t>Preparación del "Programa de Apoyo al Desarrollo del Sector Saneamiento"</t>
  </si>
  <si>
    <t>Mejoramiento de los servicios de justicia</t>
  </si>
  <si>
    <t>"Préstamo Programático de Reforma Social IV"</t>
  </si>
  <si>
    <t>"Reformas de Prog.de Superación de la Pobreza y Desarrollo de Capital Humano"</t>
  </si>
  <si>
    <t>"Proyecto Olmos, Etapa I -Obras de Trasvase"</t>
  </si>
  <si>
    <t>"Reordenamiento y Rehabilitación del Valle del Vilcanota"</t>
  </si>
  <si>
    <t>"Programa de Servicios de Apoyo para Acceder a los Mercados Rurales"</t>
  </si>
  <si>
    <t>Sedapal</t>
  </si>
  <si>
    <t>Mº Trabajo</t>
  </si>
  <si>
    <t>MEF-DGCP</t>
  </si>
  <si>
    <t>MEF-UCPS</t>
  </si>
  <si>
    <t>Gob.Reg.Lambay.</t>
  </si>
  <si>
    <t>Mº Agricultura</t>
  </si>
  <si>
    <t>CGR</t>
  </si>
  <si>
    <t>Economçia</t>
  </si>
  <si>
    <t>Lib.6 m+Marg BIRF</t>
  </si>
  <si>
    <t>Lib.6 m+3.25%</t>
  </si>
  <si>
    <t>Tasa FIDA</t>
  </si>
  <si>
    <t>Lib.6 m+2.9%</t>
  </si>
  <si>
    <t xml:space="preserve">Lib.3 m+Marg BID </t>
  </si>
  <si>
    <t>Lib.6 m+Marg  2,9%</t>
  </si>
  <si>
    <t>5 a. 6 m.</t>
  </si>
  <si>
    <t>9 a. 6 m.</t>
  </si>
  <si>
    <t>4 a.6m.</t>
  </si>
  <si>
    <t>20 a, 6 m,</t>
  </si>
  <si>
    <t>2.5 años</t>
  </si>
  <si>
    <t>16/</t>
  </si>
  <si>
    <t>13 años</t>
  </si>
  <si>
    <t>2 años</t>
  </si>
  <si>
    <t>8 años</t>
  </si>
  <si>
    <t>6 años</t>
  </si>
  <si>
    <t>10 a. 6 m.</t>
  </si>
  <si>
    <t>15 a.6m.</t>
  </si>
  <si>
    <t>4 años</t>
  </si>
  <si>
    <t>16 años</t>
  </si>
  <si>
    <t>Imp.de Alimentos</t>
  </si>
  <si>
    <t>Sanemaiento</t>
  </si>
  <si>
    <t>Contraloría</t>
  </si>
  <si>
    <t>140 LD; 140 MULTI.</t>
  </si>
  <si>
    <t>4,387 Mult..; 108,613 Multisectorial</t>
  </si>
  <si>
    <t>R.M: Nº  030 -2005-EF/75</t>
  </si>
  <si>
    <t>8,75%</t>
  </si>
  <si>
    <t>D.S. Nº 071-2005-EF</t>
  </si>
  <si>
    <t>D.S. Nº 142-2005-EF</t>
  </si>
  <si>
    <t>Programa de Investigación y Extensión Agricola Fase II</t>
  </si>
  <si>
    <t>Programa "Ampliación del Proyecto Subsectorial de Irrigación"</t>
  </si>
  <si>
    <t>INCAGRO</t>
  </si>
  <si>
    <t>PSI</t>
  </si>
  <si>
    <t>"Préstamo de ajuste Estructural Programático de Descentraliz. y Comp. II"</t>
  </si>
  <si>
    <t>MEF-DNEP</t>
  </si>
  <si>
    <t>5,2% 9/</t>
  </si>
  <si>
    <t>6,5 años</t>
  </si>
  <si>
    <t>D.S. Nº 161-2005-EF</t>
  </si>
  <si>
    <t>D.S. Nº 164-2005-EF</t>
  </si>
  <si>
    <t>D.S. Nº 165-2005-EF</t>
  </si>
  <si>
    <t>D.S. Nº 178-2005-EF</t>
  </si>
  <si>
    <t>D.S. Nº 179-2005-EF</t>
  </si>
  <si>
    <t>Proyecto "Control y Erradicación de la Mosca de la Fruta en la Costa peruana"</t>
  </si>
  <si>
    <t>"Préstamo para el Desarrollo de políticas de Descentralización y Competitividad III"</t>
  </si>
  <si>
    <t>"Programa de Mejora de la Calidad de ña Gestión y del Gasto Púnlico"</t>
  </si>
  <si>
    <t>"Programa de Caminos Departamentales"</t>
  </si>
  <si>
    <t>MAG-SENASA</t>
  </si>
  <si>
    <t>MEM/Prov.Dptal.</t>
  </si>
  <si>
    <t>Lib.3 m+Marg BID</t>
  </si>
  <si>
    <t>Lib.6 m+Marg BID</t>
  </si>
  <si>
    <t>4a-6m</t>
  </si>
  <si>
    <t>1.5 años</t>
  </si>
  <si>
    <t>15 años</t>
  </si>
  <si>
    <t>17.5 años</t>
  </si>
  <si>
    <t>U$S</t>
  </si>
  <si>
    <t>14 a. 6 m.</t>
  </si>
  <si>
    <t>3 años</t>
  </si>
  <si>
    <t>Prog. "Linea de Créd.para Pequeñas Microemp.a través de Fcto Créd. Subordinados II"</t>
  </si>
  <si>
    <t xml:space="preserve"> Apoyo Balanza de Pagos</t>
  </si>
  <si>
    <t xml:space="preserve"> Adquisición de Trigo</t>
  </si>
  <si>
    <t xml:space="preserve"> Proy. Agua Pot.y Alcant.de la C.Huanc.</t>
  </si>
  <si>
    <t xml:space="preserve"> Prog. Agroamb. JaénSan IgnacioBagua</t>
  </si>
  <si>
    <t xml:space="preserve"> Prog. Multisect. de Invers.Pública 2002</t>
  </si>
  <si>
    <t xml:space="preserve"> Programa Sectorial de Reforma Fiscal</t>
  </si>
  <si>
    <t xml:space="preserve"> Terc.Etapa Prog.Apoyo a Operac.FONCODES</t>
  </si>
  <si>
    <t xml:space="preserve">  Prog. Nacional de Agua y Saneam.Rural</t>
  </si>
  <si>
    <t xml:space="preserve">  Prést. Programático de Reforma Social II</t>
  </si>
  <si>
    <t>D.S. Nº 015-2007-EF</t>
  </si>
  <si>
    <t>D.S. Nº 018-2007-EF</t>
  </si>
  <si>
    <t>D.S. Nº 020-2007-EF</t>
  </si>
  <si>
    <t>D.S. Nº 035-2007-EF</t>
  </si>
  <si>
    <t>D.S. Nº 093-2007-EF</t>
  </si>
  <si>
    <t>D.S. Nº 103-2007-EF</t>
  </si>
  <si>
    <t>D.S. Nº 118-2007-EF</t>
  </si>
  <si>
    <t>D.S. Nº 156-2007-EF</t>
  </si>
  <si>
    <t>D.S. Nº 181-2007-EF</t>
  </si>
  <si>
    <t>D.S. Nº 217-2007-EF</t>
  </si>
  <si>
    <t>Tesoro Francés</t>
  </si>
  <si>
    <t>Bco. Bilbao Vizc.</t>
  </si>
  <si>
    <t>"Recuperación de la Capacidad de Transmisión de la Televisión Estatal"</t>
  </si>
  <si>
    <t>"Programa de Estudios de Preinversión Región Fronteriza con el Ecuador"</t>
  </si>
  <si>
    <t>"Programa de Transporte Rural Descentralizado"</t>
  </si>
  <si>
    <t>"Préstamo Programático Gestión Fiscal y Crecimiento Económico"</t>
  </si>
  <si>
    <t>"Programa de Mejoramiento del Nivel de Transitabilidad de la Red Vial Nacional"</t>
  </si>
  <si>
    <t xml:space="preserve"> "Remotoriz. y Moderniz. del Buque de Investigación Cientifica (BIC) Humboldt"</t>
  </si>
  <si>
    <t>FAPEP del Programa "Modernización del Sistema de Administración de Justicia</t>
  </si>
  <si>
    <t>Programa de Reformas de Recursos Hídricos</t>
  </si>
  <si>
    <t>Programa de Reformas del Sector Saneamiento</t>
  </si>
  <si>
    <t>IRTP</t>
  </si>
  <si>
    <t>PROVIAS DESCENTRALIZADO</t>
  </si>
  <si>
    <t>UCPS-DNEP</t>
  </si>
  <si>
    <t>PROVIAS NACIONAL</t>
  </si>
  <si>
    <t>Producción</t>
  </si>
  <si>
    <t>IMARPE</t>
  </si>
  <si>
    <t>Ministerio de Justicia</t>
  </si>
  <si>
    <t>MEF/UCPS-DNEP</t>
  </si>
  <si>
    <t>RREE</t>
  </si>
  <si>
    <t>Ministerio RREE</t>
  </si>
  <si>
    <t>MEF/DNEP</t>
  </si>
  <si>
    <t>0,8 % anual</t>
  </si>
  <si>
    <t>Libor a 6 m+ 1%</t>
  </si>
  <si>
    <t>14 años</t>
  </si>
  <si>
    <t>6 meses</t>
  </si>
  <si>
    <t>4.5 años</t>
  </si>
  <si>
    <t>15.5 años</t>
  </si>
  <si>
    <t>10.5 años</t>
  </si>
  <si>
    <t>EUR.</t>
  </si>
  <si>
    <t>28/</t>
  </si>
  <si>
    <t>29/</t>
  </si>
  <si>
    <t>30/</t>
  </si>
  <si>
    <t xml:space="preserve">  Inicio de prepar.Prést. Programático de Reforma Social III</t>
  </si>
  <si>
    <t xml:space="preserve">  Prog. Para Desarr. Políticas Comercio Exteri.</t>
  </si>
  <si>
    <t xml:space="preserve">  Prog.Fortalec.Inst.Apoyo Gestión Ambiental Gas de Cam.</t>
  </si>
  <si>
    <t xml:space="preserve">  Fort.Inst.Gob.Peruano-Comunidad Andina</t>
  </si>
  <si>
    <t xml:space="preserve">  Prepar.Programa Moder.y Descent. Del Estado</t>
  </si>
  <si>
    <t xml:space="preserve">  Prog.Fortalecimiento Instituc. Del Congreso</t>
  </si>
  <si>
    <t xml:space="preserve">  Apoyo al Sector Habitacional</t>
  </si>
  <si>
    <t xml:space="preserve">  Prep.Prog.Consol.Democrá.Seguridad Ciudadana</t>
  </si>
  <si>
    <t xml:space="preserve">  Prog.Desarrollo del Sector Transporte</t>
  </si>
  <si>
    <t xml:space="preserve">  Apoyo para mejorar la Oferta Productiva y Facilitar Co.Ext.</t>
  </si>
  <si>
    <t xml:space="preserve">  Programa de Modernización y Descentralización del Estado</t>
  </si>
  <si>
    <t xml:space="preserve">  Proyecto de Educación en Äreas Rurales</t>
  </si>
  <si>
    <t xml:space="preserve">  Prog-.de Apoyo a la Compet.,Gobernab. E Inv.Social</t>
  </si>
  <si>
    <t xml:space="preserve">  Préstamo Programático de Reforma Social III</t>
  </si>
  <si>
    <t xml:space="preserve">  Programa de Reforma de Competitividad</t>
  </si>
  <si>
    <t xml:space="preserve">  Primer Préstamo de Ajuste Estructural Prog.de Descen</t>
  </si>
  <si>
    <t xml:space="preserve">  Integración y Modernización de la SUNAT</t>
  </si>
  <si>
    <t xml:space="preserve">  Prog.Transp.Urbano Lima Metropol.Sub-Sistema Norte</t>
  </si>
  <si>
    <t>Rehb. Sist. Agua Potable y Alcant. de Lima y Callao- Parte C: Expanción Servicios</t>
  </si>
  <si>
    <t>"Prog. Mejor. y Ampliación de los Servicios de Agua Potab.y Alcantar. de Tumbes"</t>
  </si>
  <si>
    <t>"Prog de Fortalec. de la Institucionalidad Fiscal y Mejora del Clima de Negocios</t>
  </si>
  <si>
    <t>"Préstamo de Ajuste Estruct. Programático de Descentralización y competitividad II"</t>
  </si>
  <si>
    <t>"Proy. de Fortalec. de la Capacidad Instituc. en el Marco de la Descentraliz. Fiscal"</t>
  </si>
  <si>
    <t>22/</t>
  </si>
  <si>
    <t>115 MM</t>
  </si>
  <si>
    <t>47 Proyectos</t>
  </si>
  <si>
    <t>113 MM</t>
  </si>
  <si>
    <t>Proyectos</t>
  </si>
  <si>
    <t>Alimentos</t>
  </si>
  <si>
    <t>D.S. Nº 014-2006-EF</t>
  </si>
  <si>
    <t>D.S. Nº 100-2006-EF</t>
  </si>
  <si>
    <t>D.S. Nº 101-2006-EF</t>
  </si>
  <si>
    <t>D.S. Nº 105-2006-EF</t>
  </si>
  <si>
    <t>D.S. Nº 113-2006-EF</t>
  </si>
  <si>
    <t>D.S. Nº 146-2006-EF</t>
  </si>
  <si>
    <t>D.S. Nº 151-2006-EF</t>
  </si>
  <si>
    <t>D.S. Nº 152-2006-EF</t>
  </si>
  <si>
    <t>D.S. Nº 157-2006-EF</t>
  </si>
  <si>
    <t>D.S. Nº 159-2006-EF</t>
  </si>
  <si>
    <t>D.S. Nº 161-2006-EF</t>
  </si>
  <si>
    <t>D.S. Nº 162-2006-EF</t>
  </si>
  <si>
    <t>D.S. Nº 185-2006-EF</t>
  </si>
  <si>
    <t>D.S. Nº 187-2006-EF</t>
  </si>
  <si>
    <t>D.S. Nº 190-2006-EF</t>
  </si>
  <si>
    <t>D.S. Nº 205-2006-EF</t>
  </si>
  <si>
    <t>Gob. USA</t>
  </si>
  <si>
    <t>Org. Internc.</t>
  </si>
  <si>
    <t>C.Paris</t>
  </si>
  <si>
    <t>Programa "Mejoramiento de le electrific. rural mediante la aplicación de fondos concursables"</t>
  </si>
  <si>
    <t>"Programa de Ciencia y Tecnología"</t>
  </si>
  <si>
    <t xml:space="preserve">Prog. para la gestión ambiental y social de los impactos indirectos del corredor vial Interoc.Sur </t>
  </si>
  <si>
    <t>Adquisición de Torta de Soya bajo el Programa Pl-480</t>
  </si>
  <si>
    <t>Programa Municipal de Atención a los Servicios Básicos</t>
  </si>
  <si>
    <t>Consolidación de los Derechos de Propiedad Inmueble</t>
  </si>
  <si>
    <t>Programa de Apoyo al Desarrollo del Sector Saneamiento</t>
  </si>
  <si>
    <t>Rehabilitación Integral del ferrocarril Huancayo-Huancavelica - Com. I Rehabilit.Infraestruct. Ferrov.</t>
  </si>
  <si>
    <t>Prést. para el Des. Políticas de Descentraliz. y Competitiv. III" (prog. Apoyo Proc. Descntraliz. II)</t>
  </si>
  <si>
    <t>Programa de Riego Zona Andina Sur IV</t>
  </si>
  <si>
    <t>Programa de Medidas de Rápido Impacto I</t>
  </si>
  <si>
    <t>Proyecto Subregional de Irrigación</t>
  </si>
  <si>
    <t>Programa de Mejora de la Calidad de la Gestión y del Gasto Público</t>
  </si>
  <si>
    <t>Programa de Transporte Rural Descentralizado</t>
  </si>
  <si>
    <t>Economia</t>
  </si>
  <si>
    <t>MIMDES</t>
  </si>
  <si>
    <t>Vivienda</t>
  </si>
  <si>
    <t>La República</t>
  </si>
  <si>
    <t>U.G-Proy. FONER</t>
  </si>
  <si>
    <t>INRENA</t>
  </si>
  <si>
    <t>U.Esp.PL-480</t>
  </si>
  <si>
    <t>MIMDES-Foncodes</t>
  </si>
  <si>
    <t>Ferr.Huanc.-Huanv.</t>
  </si>
  <si>
    <t>G.R. Cusco</t>
  </si>
  <si>
    <t>MVCS (UCP)-EPS</t>
  </si>
  <si>
    <t>PROVIAS DESCT.</t>
  </si>
  <si>
    <t>1,5 años</t>
  </si>
  <si>
    <t>7años</t>
  </si>
  <si>
    <t>18 años</t>
  </si>
  <si>
    <t>Lib.6 m+1,50%</t>
  </si>
  <si>
    <t>9 años</t>
  </si>
  <si>
    <t>10,5  años</t>
  </si>
  <si>
    <t>19 años</t>
  </si>
  <si>
    <t>11 años</t>
  </si>
  <si>
    <t>5,25%</t>
  </si>
  <si>
    <t>1,5%</t>
  </si>
  <si>
    <t>7 años</t>
  </si>
  <si>
    <t>5.5 años</t>
  </si>
  <si>
    <t>14.5 años</t>
  </si>
  <si>
    <t xml:space="preserve">   Si dicho monto ejecutado no es reembolsado a la CAF dentro del período antes mencionado, se convertirá  automáticamente en una operación de Endeud. Externo, que tendrá las siguientes condiciones financieras:</t>
  </si>
  <si>
    <t xml:space="preserve">   - Plazo de Reembolso: 10 pagos iguales y consecutivos, empezando el primero a los 6 meses  de la fecha de conversión automática</t>
  </si>
  <si>
    <t xml:space="preserve">   - Tasa de Interés: Libor a 6 meses más margen CAF para préstamos soberanos más 1,5%</t>
  </si>
  <si>
    <t xml:space="preserve">   - Comisión de Conversión: 1,5% Flat por la conversión del monto desembolsado de la garantía.</t>
  </si>
  <si>
    <t>23/</t>
  </si>
  <si>
    <t>24/</t>
  </si>
  <si>
    <t xml:space="preserve">   Si dicho monto ejecutado no es reembolsado al BID dentro del período antes mencionado, se convertirá  automáticamente en una operación de Endeud. Externo, que tendrá las siguientes condiciones financieras:</t>
  </si>
  <si>
    <t>D.S. Nº 067-2009-EF</t>
  </si>
  <si>
    <t>D.S. Nº 068-2009-EF</t>
  </si>
  <si>
    <t>D.S. Nº 069-2009-EF</t>
  </si>
  <si>
    <t>D.S. Nº 156-2009-EF</t>
  </si>
  <si>
    <t>D.S. Nº 196-2009-EF</t>
  </si>
  <si>
    <t>D.S. Nº 197-2009-EF</t>
  </si>
  <si>
    <t>D.S. Nº 208-2009-EF</t>
  </si>
  <si>
    <t>D.S. Nº 210-2009-EF</t>
  </si>
  <si>
    <t>D.S. Nº 231-2009-EF</t>
  </si>
  <si>
    <t>D.S. Nº 237-2009-EF</t>
  </si>
  <si>
    <t>D.S. Nº 259-2009-EF</t>
  </si>
  <si>
    <t>D.S. Nº 277-2009-EF</t>
  </si>
  <si>
    <t>D.S. Nº 279-2009-EF</t>
  </si>
  <si>
    <t>D.S. Nº 296-2009-EF</t>
  </si>
  <si>
    <t>D.S. Nº 297-2009-EF</t>
  </si>
  <si>
    <t>D.S. Nº 315-2009-EF</t>
  </si>
  <si>
    <t>D.S. Nº 317-2009-EF</t>
  </si>
  <si>
    <t>Programa de Ampliación de la frontera Eléctrica III Etapa -PAFE III - Dpto. de Loreto</t>
  </si>
  <si>
    <t>Programa mejoramiento y Ampliación de los Sist. De Agua potab., Alcantarillado y Trat. de Aguas Residuales de las principales ciudades del Dpto. Cajamarca - I Etapa</t>
  </si>
  <si>
    <t>Programa de Ampliación de la frontera Eléctrica III Etapa -PAFE III - Dpto. de Cajamarca</t>
  </si>
  <si>
    <t>Programa de Reformas de Recursos Hídricos II</t>
  </si>
  <si>
    <t>Préstamo Programático de Política Ambiental</t>
  </si>
  <si>
    <t>Préstamo Programático de Reformas en los Sectores Sociales II</t>
  </si>
  <si>
    <t>Proyecto "Optimización Sistemas de Agua Potable y Alcantarillado: Sectorización, Rehabilitación  Redes y Actualización Catastro–Área Influencia P.Huachipa–Área Drenaje Comas-Chillón-Lima”</t>
  </si>
  <si>
    <t>Programa de Competitividad Agraria I</t>
  </si>
  <si>
    <t>Segunda Fase de Programa de Apoyo a la reforma del sector Salud-PARSALUD II</t>
  </si>
  <si>
    <t>Programa para el desarrollo de una Matriz Energética Sostenible I</t>
  </si>
  <si>
    <t>Proyecto "Modernización de la Gestión de los Recursos Hídricos"</t>
  </si>
  <si>
    <t>Préstamo Programático Gestión Fiscal y Crecimiento Económico III</t>
  </si>
  <si>
    <t>Programa de Reformas del Sector Saneamiento III</t>
  </si>
  <si>
    <t>Programa de Reformas de los Sectores Sociales I</t>
  </si>
  <si>
    <t>Préstamo Programático de Política Ambiental II</t>
  </si>
  <si>
    <t>Apoyo a la Implementación del Programa de Reformas del Sector Saneamiento</t>
  </si>
  <si>
    <t>Proyecto "Optimización de Sistemas de Agua Potable y Alcantarillado: Sectorización, Rehabilitación de Redes y Actualización de Catastro – Área de Influencia Planta Huachipa –Área de Drenaje Comas-Chillón-Lima”</t>
  </si>
  <si>
    <t xml:space="preserve">Energía </t>
  </si>
  <si>
    <t>G. Reg. Cajamarca</t>
  </si>
  <si>
    <t>G.Reg.Cajamarca</t>
  </si>
  <si>
    <t>DNEP</t>
  </si>
  <si>
    <t>MINSA</t>
  </si>
  <si>
    <t>Mº Agricultura -ANA</t>
  </si>
  <si>
    <t>UCPS</t>
  </si>
  <si>
    <t>Libor 3M</t>
  </si>
  <si>
    <t>Libor 3M+Margen BID</t>
  </si>
  <si>
    <t>14,5 años</t>
  </si>
  <si>
    <t>17,5 años</t>
  </si>
  <si>
    <t>3,5 años</t>
  </si>
  <si>
    <t>12.5 años</t>
  </si>
  <si>
    <t xml:space="preserve">    - 0,8% Obras del proyecto</t>
  </si>
  <si>
    <t xml:space="preserve">    - 0,8% Obras de Agua Potable</t>
  </si>
  <si>
    <t xml:space="preserve">    - 0,4% Obras de Alcantarillado</t>
  </si>
  <si>
    <t xml:space="preserve">    - 1,4% Obras del proyecto</t>
  </si>
  <si>
    <t xml:space="preserve">       i) Catorce cuotas, la primera de las cuales vencerá el 15.02.20 y la última el 15.08.26.</t>
  </si>
  <si>
    <t xml:space="preserve">      ii) Trece cuotas, la primera de las cuales vencerá el 15.08.27 y la última el 15.08.33.</t>
  </si>
  <si>
    <t xml:space="preserve">     iii) Una cuota con vencimiento 15.02.34.</t>
  </si>
  <si>
    <t xml:space="preserve">       i) 18 cuotas que vencerán el 15/03/2018, 15/09/2018, 15/03/2021, 15/09/2021, 15/03/2022,</t>
  </si>
  <si>
    <t xml:space="preserve">          15/09/2022, 15/03/2023, 15/09/2023, 15/03/2024, 15/09/2024, 15/03/2027, 15/09/2027,</t>
  </si>
  <si>
    <t xml:space="preserve">          15/03/2028, 15/09/2028, 15/03/2029, 15/09/2029, 15/03/2030 y 15/09/2030.</t>
  </si>
  <si>
    <t xml:space="preserve">        06 cuotas que vencerán el 15/03/2027, 15/09/2027, 15/03/2028, 15/09/2028, 15/03/2029 y 15/09/2029.</t>
  </si>
  <si>
    <t>38/</t>
  </si>
  <si>
    <t>39/</t>
  </si>
  <si>
    <t>40/</t>
  </si>
  <si>
    <t>41/</t>
  </si>
  <si>
    <t>42/</t>
  </si>
  <si>
    <t>43/</t>
  </si>
  <si>
    <t>44/</t>
  </si>
  <si>
    <t>45/</t>
  </si>
  <si>
    <t>46/</t>
  </si>
  <si>
    <t>D.S. Nº 141-2010-EF</t>
  </si>
  <si>
    <t>D.S. Nº 272-2010-EF</t>
  </si>
  <si>
    <t>D.S. Nº 273-2010-EF</t>
  </si>
  <si>
    <t>D.S. Nº 274-2010-EF</t>
  </si>
  <si>
    <t>D.S. Nº 275-2010-EF</t>
  </si>
  <si>
    <t>D.S. Nº 088-2010-EF</t>
  </si>
  <si>
    <t>D.S. Nº 234-2010-EF</t>
  </si>
  <si>
    <t>Proyecto de Mejoramiento de Agua Potable y Alcantarilladp en Áreas Marginales de Lima</t>
  </si>
  <si>
    <t>Proyecto de Gestión Integral de la Micro Cuenca Mariño de la Provincia de Abancay</t>
  </si>
  <si>
    <t>Programa de Desarrollo Agroambiental en al ceja de Selva- Cosnstrucción del Sistema Irrigación Ponaza-Distrito de Tingo de Ponaza-Provincia de Picota-Departamento de San Martín</t>
  </si>
  <si>
    <t>Programa de Reforma de  los Sectores Sociales II</t>
  </si>
  <si>
    <t>Préstamo Programático de Polítiica Ambiental III</t>
  </si>
  <si>
    <t>Programa de Segunda Generación de Reformas del Sector Saneamiento I</t>
  </si>
  <si>
    <t>G.R.Aprurimac</t>
  </si>
  <si>
    <t>DNEP-UCPS</t>
  </si>
  <si>
    <t>GR. San Martín</t>
  </si>
  <si>
    <t>D.S. Nº 125-2010-EF</t>
  </si>
  <si>
    <t>D.S. Nº 140-2010-EF</t>
  </si>
  <si>
    <t>D.S. Nº 142-2010-EF</t>
  </si>
  <si>
    <t>D.S. Nº 169-2010-EF</t>
  </si>
  <si>
    <t>D.S. Nº 180-2010-EF</t>
  </si>
  <si>
    <t>D.S. Nº 188-2010-EF</t>
  </si>
  <si>
    <t>D.S. Nº 206-2010-EF</t>
  </si>
  <si>
    <t>D.S. Nº 208-2010-EF</t>
  </si>
  <si>
    <t>D.S. Nº 226-2010-EF</t>
  </si>
  <si>
    <t>D.S. Nº 227-2010-EF</t>
  </si>
  <si>
    <t>D.S. Nº 235-2010-EF</t>
  </si>
  <si>
    <t>D.S. Nº 237-2010-EF</t>
  </si>
  <si>
    <t>D.S. Nº 238-2010-EF</t>
  </si>
  <si>
    <t>D.S. Nº 239-2010-EF</t>
  </si>
  <si>
    <t>D.S. Nº 240-2010-EF</t>
  </si>
  <si>
    <t>D.S. Nº 241-2010-EF</t>
  </si>
  <si>
    <t>D.S. Nº 242-2010-EF</t>
  </si>
  <si>
    <t>D.S. Nº 245-2010-EF</t>
  </si>
  <si>
    <t>D.S. Nº 253-2010-EF</t>
  </si>
  <si>
    <t>D.S. Nº 276-2010-EF</t>
  </si>
  <si>
    <t>Proyecto de Mejoramiento de Agua Potable y Alcantarillado en Áreas Marginales de Lima</t>
  </si>
  <si>
    <t>Proyecto "Facilidad Sectorial para el Apoyo al Programa para la Mejora de la Productividad y Competitividad"</t>
  </si>
  <si>
    <t>Proyecto "Fortalecimiento de los Mercados, Diversificación de los Ingresos Y Mejoramiento de la de las Condiciones de Vida en la Sierra Sur del Perú - II"</t>
  </si>
  <si>
    <t>Programa para la Mejora de la Productividad y Competitividad</t>
  </si>
  <si>
    <t>Préstamo Programático de Política Ambiental III</t>
  </si>
  <si>
    <t>Préstamo Programático Gestión Fiscal y Crecimiento Económico IV</t>
  </si>
  <si>
    <t>Programa de Reducción de Vulnerabilidad de Estado ante Desastres I</t>
  </si>
  <si>
    <t>Programa para el Desarrollo de una Nueva Matriz Energética Sostenible II</t>
  </si>
  <si>
    <t>Programa de Reformas de Recursos Hídricos III</t>
  </si>
  <si>
    <t>Proyecto Corredor Vial Interoceanico Perú-Brasil (IIRSA Sur)</t>
  </si>
  <si>
    <t>Modernización del Sistema de Administración Financiera Pública para Mejorar la Programación, Ejecución y Rendición de Cuentas de los Recurso Públicos</t>
  </si>
  <si>
    <t>Cooperación Técnica Reembolsable  para financiar el proyecto "Apoyo al Programa de Reformas de los Sectores Sociales"</t>
  </si>
  <si>
    <t>Programa de Reformas de los Sectores Sociales II</t>
  </si>
  <si>
    <t>Programa de Apoyo a la Agenda del Cambio Climático</t>
  </si>
  <si>
    <t>Préstamo programatico de Reforma Social III</t>
  </si>
  <si>
    <t>Programa Nacional de Agua y Saneamiento Rural</t>
  </si>
  <si>
    <t>Proyecto Mejoramiento de los Servicios de justicia, 2da. Etapa</t>
  </si>
  <si>
    <t>Programa Subsectorial de Irrigación- Sierra</t>
  </si>
  <si>
    <t>Concesión del Primer Componente "Obras Mayores de Afianzamiento Hídrico y de Infraestructura para Irrigación de las Pampas de Siguas" - Proyecto Majes Siguas II Etapa</t>
  </si>
  <si>
    <t>AGRO RURAL</t>
  </si>
  <si>
    <t>GR. Arequipa</t>
  </si>
  <si>
    <t>Libor 6 meses+2.4%</t>
  </si>
  <si>
    <t>Libor 3M+ Margen BID</t>
  </si>
  <si>
    <t>21,5 años</t>
  </si>
  <si>
    <t>Libor 6 m+Margen BIRF</t>
  </si>
  <si>
    <t>12 años</t>
  </si>
  <si>
    <t>19.5 años</t>
  </si>
  <si>
    <t>21.5 años</t>
  </si>
  <si>
    <t>Libor 6m+ 2.4%</t>
  </si>
  <si>
    <t xml:space="preserve">    - 1,4% Obras del proyecto.</t>
  </si>
  <si>
    <t>47/</t>
  </si>
  <si>
    <t>3,29%</t>
  </si>
  <si>
    <t>48/</t>
  </si>
  <si>
    <t>49/</t>
  </si>
  <si>
    <t>50/</t>
  </si>
  <si>
    <t>51/</t>
  </si>
  <si>
    <t>53/</t>
  </si>
  <si>
    <t>54/</t>
  </si>
  <si>
    <t>55/</t>
  </si>
  <si>
    <t>56/</t>
  </si>
  <si>
    <t>D.S. Nº 100-2011-EF</t>
  </si>
  <si>
    <t>D.S. Nº 102-2011-EF</t>
  </si>
  <si>
    <t>D.S. Nº 103-2011-EF</t>
  </si>
  <si>
    <t>D.S. Nº 116-2011-EF</t>
  </si>
  <si>
    <t>D.S. Nº 133-2011-EF</t>
  </si>
  <si>
    <t>D.S. Nº 167-2011-EF</t>
  </si>
  <si>
    <t>D.S. Nº 171-2011-EF</t>
  </si>
  <si>
    <t>D.S. Nº 235-2011-EF</t>
  </si>
  <si>
    <t>D.S. Nº 236-2011-EF</t>
  </si>
  <si>
    <t>D.S. Nº 248-2011-EF</t>
  </si>
  <si>
    <t>Programa de Mejoramiento de la Electrificación Rural Mediante la Aplicación de Fondos Concursables - FONER II</t>
  </si>
  <si>
    <t>Programa de Competitividad Agraria II</t>
  </si>
  <si>
    <t>"Cierre de Brechas en productos priorizados por el Programa Estratégico Articulado Nutricional"</t>
  </si>
  <si>
    <t>Proyecto Sistema Eléctrico de Transporte Masivo de Lima y Callao, Línea 1-Tramo 2 -Av. Grau-S. J. Lurigancho</t>
  </si>
  <si>
    <t>Programa "Optim. Sist. Agua Potable y Alcantar. Área Influencia Huachipa y Áreas del Drenaje de los Colectores Comas y Chillón-Fortalecimiento de Capacidades de Gestión en Lima Metropolitana".</t>
  </si>
  <si>
    <t>Programa para el Desarrollo de una Nueva Matriz Energética Sostenible III</t>
  </si>
  <si>
    <t>Programa de Reducción de Vulnerabilidad del Estado ante Desastres</t>
  </si>
  <si>
    <t>Programa de Apoyo a la Agenda del Cambio Climático II</t>
  </si>
  <si>
    <t>Programa de Segunda Generación de Reformas del Sector saneamiento II</t>
  </si>
  <si>
    <t>Primera Fase del Programa "Modernización del Sistema de Administración de Justicia para la Mejora de los Servicos Brindados a la Población Peruana (PMSAJ) - Primera Etapa"</t>
  </si>
  <si>
    <t>MEM (DGER)</t>
  </si>
  <si>
    <t>DGETP-UCPS</t>
  </si>
  <si>
    <t>MEF/UCPS-DGPP</t>
  </si>
  <si>
    <t>MTC-AATE</t>
  </si>
  <si>
    <t>DGETP/UCPS</t>
  </si>
  <si>
    <t>MINJUSDH - Poder Judicial</t>
  </si>
  <si>
    <t>Libor 6 m+Margen Variable BIRF</t>
  </si>
  <si>
    <t>17 años</t>
  </si>
  <si>
    <t>1 año</t>
  </si>
  <si>
    <t>19,5 años</t>
  </si>
  <si>
    <t>DIRECCION GENERAL DE ENDEUDAMIENTO Y TESORO PÚBLICO</t>
  </si>
  <si>
    <t>D.S. Nº 160-2005-EF</t>
  </si>
  <si>
    <t>Bonoistas</t>
  </si>
  <si>
    <t>Emisión Externa y/o interna de Bonos</t>
  </si>
  <si>
    <t>Ejecutora/Emisor</t>
  </si>
  <si>
    <t>D.S. Nº 141-2012-EF</t>
  </si>
  <si>
    <t>D.S. Nº 143-2012-EF</t>
  </si>
  <si>
    <t>D.S. Nº 149-2012-EF</t>
  </si>
  <si>
    <t>D.S. Nº 156-2012-EF</t>
  </si>
  <si>
    <t>D.S. Nº 157-2012-EF</t>
  </si>
  <si>
    <t>Programa "Mejoramiento de la Educación Inicial en Ayacucho, Huancavelica y Huánuco"</t>
  </si>
  <si>
    <t>"Programa de Desarrollo de Sist. de Gestión de Residuos Sólidos en Zonas Prioritarias de Puno, Piura,m Ancash,Tumbes, Apurímac, Ica, Huánuco, Puerto Maldonado, San Martín, Junín, Lambayeque, Loreto,Ayacucho, Amazonas, Lima y Pasco"</t>
  </si>
  <si>
    <t>Proyecto “Esquema Cajamarquilla, Nievería y Cerro Camote - Ampliación de los Sistema de Agua Potable y Alcantarillado de los Sectores 129, 130, 131, 132, 133, 134 y 135 – Distrito de Lurigancho y San Antonio de Huarochirí”</t>
  </si>
  <si>
    <t>Proyecto "Mejoramiento de la Gestión de la Inversión Pública Territorial"</t>
  </si>
  <si>
    <t>"Proyecto Innovación para la Competitividad"</t>
  </si>
  <si>
    <t>MINAM</t>
  </si>
  <si>
    <t>MEF/UCPS-DGPI</t>
  </si>
  <si>
    <t>PCM/UCPCT</t>
  </si>
  <si>
    <t>D.S. Nº 210-2012-EF</t>
  </si>
  <si>
    <t>D.S. Nº 231-2012-EF</t>
  </si>
  <si>
    <t>D.S. Nº 239-2012-EF</t>
  </si>
  <si>
    <t>Programa de Reformas de los Sectores Sociales III</t>
  </si>
  <si>
    <t>Programa de Desarrollo Forestal Sostenible, Inclusivo y Competitivo en la Amazonía Peruana</t>
  </si>
  <si>
    <t>Proyecto de Rehabilitación y Mejoramiento de la carretera Lima-Canta-laViuda-Unish</t>
  </si>
  <si>
    <t>SERFOR (MINAG)</t>
  </si>
  <si>
    <t>Provias Nacional</t>
  </si>
  <si>
    <t>Libor  6m+1.35%</t>
  </si>
  <si>
    <t>D.S. Nº 248-2012-EF</t>
  </si>
  <si>
    <t>D.S. Nº 249-2012-EF</t>
  </si>
  <si>
    <t>D.S. Nº 262-2012-EF</t>
  </si>
  <si>
    <t>D.S. Nº 283-2012-EF</t>
  </si>
  <si>
    <t>D.S. Nº 285-2012-EF</t>
  </si>
  <si>
    <t>Programa para la Mejora de la Productividad y la Competitividad II</t>
  </si>
  <si>
    <t>Programa para el Desarrollo de una Nueva Matriz Energética Sostenivle IV</t>
  </si>
  <si>
    <t>Proyecto Mejoramiento de la Calidad de Educación Superior</t>
  </si>
  <si>
    <t>Proyecto "Fortalecimiento del Desarrollo Local en Áreas de la Sierra y Selva Alta del Per´"</t>
  </si>
  <si>
    <t>Asistencia Técnica para el Apoyo al Programa de Gestión de Resultados para la Inclusión Social</t>
  </si>
  <si>
    <t>AGRORURAL</t>
  </si>
  <si>
    <t>UCPS MEF</t>
  </si>
  <si>
    <t>Libor 6M+ Margen BIRF</t>
  </si>
  <si>
    <t>D.S. Nº 044-2012-EF</t>
  </si>
  <si>
    <t>D.S. Nº 051-2012-EF</t>
  </si>
  <si>
    <t>D.S. Nº 158-2012-EF</t>
  </si>
  <si>
    <t>D.S. Nº 199-2012-EF</t>
  </si>
  <si>
    <t>D.S. Nº 240-2012-EF</t>
  </si>
  <si>
    <t>D.S. Nº 245-2012-EF</t>
  </si>
  <si>
    <t>D.S. Nº 247-2012-EF</t>
  </si>
  <si>
    <t>D.S. Nº 260-2012-EF</t>
  </si>
  <si>
    <t>D.S. Nº 284-2012-EF</t>
  </si>
  <si>
    <t>D.S. Nº 288-2012-EF</t>
  </si>
  <si>
    <t>D.S. Nº 308-2012-EF</t>
  </si>
  <si>
    <t>Programa de Agua Potable y Saneamiento para la Amazonía Rural</t>
  </si>
  <si>
    <t>Programa de Pequeña y Mediana Infraestructura de Riego en la Sierra del Perú</t>
  </si>
  <si>
    <t>Programa de Asistencia para Infraestructura de Renovación Energética</t>
  </si>
  <si>
    <t>Proyecto "Optimización de Sistemas de Agua Potable y Alcantarillado, Sectorización, Rehabilitación de Redes y Actualización de Catastro - Área de Influencia Planta Huachipa - Área de Drenaje Oquendo, Sinchi Roca, Puente Piedra y Sectores 84, 83, 85 y 212 - Lima"</t>
  </si>
  <si>
    <t>Programa de Medidas de Rápido Impacto II</t>
  </si>
  <si>
    <t>Progrma "Mejoramiento de la educación Inicial en Ayacucho, Huancavelica y Huánuco"</t>
  </si>
  <si>
    <t>Programa de Segunda Generación de Reformas del Sector Saneamiento</t>
  </si>
  <si>
    <t>Programa de Energías Renovables y Eficiencia Energética</t>
  </si>
  <si>
    <t>Programa "Crédito Rural - COFIDE III"</t>
  </si>
  <si>
    <t>Programa "Establecimiento de las Bases para el Desarrollo Rural a través del Turismo en el Corredor Turítico  del Valle del Uctubamba, Sector Pedro Ruiz- Leymebamba, Región Amazonas".</t>
  </si>
  <si>
    <t>EPS PMR II</t>
  </si>
  <si>
    <t>G.R. Amazonas</t>
  </si>
  <si>
    <t>Fija</t>
  </si>
  <si>
    <t>57/</t>
  </si>
  <si>
    <t>58/</t>
  </si>
  <si>
    <t>61/</t>
  </si>
  <si>
    <t>62/</t>
  </si>
  <si>
    <t>63/</t>
  </si>
  <si>
    <t>64/</t>
  </si>
  <si>
    <t>65/</t>
  </si>
  <si>
    <t xml:space="preserve">        Tramo II: EUR 4 064 519.06  2%</t>
  </si>
  <si>
    <t xml:space="preserve">        Tramo III: EUR 3 279 464.28  3%</t>
  </si>
  <si>
    <t>66/</t>
  </si>
  <si>
    <t xml:space="preserve">        Tramo II y III: 20 años</t>
  </si>
  <si>
    <t>67/</t>
  </si>
  <si>
    <t>68/</t>
  </si>
  <si>
    <t>69/</t>
  </si>
  <si>
    <t>70/</t>
  </si>
  <si>
    <t>MINEDU</t>
  </si>
  <si>
    <t>SINEACE/MINEDU</t>
  </si>
  <si>
    <t>Contratación Garantía  de Crédito Parcial con el BID para asegurar el pago anual de obras que se deriven del Contrato de Concesión de los tramos viales del Eje Multimodal del Amazonas Norte.</t>
  </si>
  <si>
    <t>BID 1441-OC-PE</t>
  </si>
  <si>
    <t>CFA-2635</t>
  </si>
  <si>
    <t>BID 1449-OC-PE/PPF</t>
  </si>
  <si>
    <t>CFA-2749</t>
  </si>
  <si>
    <t>BIRF 7177-O PE</t>
  </si>
  <si>
    <t>BID 1437-OC-PE</t>
  </si>
  <si>
    <t>BIRF 7176-O PE</t>
  </si>
  <si>
    <t>CFA-2905</t>
  </si>
  <si>
    <t>CFA-2761</t>
  </si>
  <si>
    <t>BIRF 7200-O PE</t>
  </si>
  <si>
    <t>BID 1503-OC-PE</t>
  </si>
  <si>
    <t>BIRF 7203-O PE</t>
  </si>
  <si>
    <t>BID 1482-OC-PE</t>
  </si>
  <si>
    <t>BID 1501-OC-PE</t>
  </si>
  <si>
    <t>BIRF 7209-O PE</t>
  </si>
  <si>
    <t>BIRF 7160-O PE</t>
  </si>
  <si>
    <t>BID 1534-OC-PE</t>
  </si>
  <si>
    <t>CFA-3014-15-16</t>
  </si>
  <si>
    <t>FIDA 602-PE</t>
  </si>
  <si>
    <t>BID 1539-OC-PE/PPF</t>
  </si>
  <si>
    <t>BIRF 7219-O PE</t>
  </si>
  <si>
    <t>CFA-3088</t>
  </si>
  <si>
    <t>BIRF 7267-O PE</t>
  </si>
  <si>
    <t>BIRF 7255-O PE</t>
  </si>
  <si>
    <t>BIRF 7266-O PE</t>
  </si>
  <si>
    <t>BIRF 7254-O PE</t>
  </si>
  <si>
    <t>BID 1600-OC-PE</t>
  </si>
  <si>
    <t>CAF CFA-3241</t>
  </si>
  <si>
    <t>BIRF 7257-O PE</t>
  </si>
  <si>
    <t>BID 1586-OC-PE</t>
  </si>
  <si>
    <t>BID 1601-OC-PE</t>
  </si>
  <si>
    <t>BID 1591-OC-PE</t>
  </si>
  <si>
    <t>BIRF 7285-O PE</t>
  </si>
  <si>
    <t>BIRF 7308-O PE</t>
  </si>
  <si>
    <t>BID 1647-OC-PE</t>
  </si>
  <si>
    <t>BIRF 7345-O PE</t>
  </si>
  <si>
    <t>BID 1699-OC-PE</t>
  </si>
  <si>
    <t>BID 1696-OC-PE</t>
  </si>
  <si>
    <t>BIRF 7322-O PE</t>
  </si>
  <si>
    <t>BID 1657-OC-PE</t>
  </si>
  <si>
    <t>Contratación Garantía  de Riesgo Parcial con la CAF para el cumplimento de la Garantía Soberana otorgada en el marco del Contrato de Concesión del Proyecto Olmos</t>
  </si>
  <si>
    <t>BIRF 7366-O PE</t>
  </si>
  <si>
    <t>BID 1663-OC-PE</t>
  </si>
  <si>
    <t>CFA-3525</t>
  </si>
  <si>
    <t>BIRF 7368-O PE</t>
  </si>
  <si>
    <t>CFA-3572</t>
  </si>
  <si>
    <t>BID 1805-OC-PE</t>
  </si>
  <si>
    <t>BID 1810-OC-PE</t>
  </si>
  <si>
    <t>CFA-3804</t>
  </si>
  <si>
    <t>BIRF 7423-O PE</t>
  </si>
  <si>
    <t>BIRF 7419-O PE</t>
  </si>
  <si>
    <t>BID 1827-OC-PE</t>
  </si>
  <si>
    <t>BID 1899-OC-PE/PPF</t>
  </si>
  <si>
    <t>BID 1878-OC-PE</t>
  </si>
  <si>
    <t>BID 1836-OC-PE</t>
  </si>
  <si>
    <t>BIRF 7443-O PE</t>
  </si>
  <si>
    <t>BIRF 7455-O PE</t>
  </si>
  <si>
    <t>BID 1920-OC-PE</t>
  </si>
  <si>
    <t>BID 1932-OC-PE</t>
  </si>
  <si>
    <t>BID 1915-OC-PE</t>
  </si>
  <si>
    <t>BIRF 7588-O PE</t>
  </si>
  <si>
    <t>FIDA 744-PE</t>
  </si>
  <si>
    <t>BID 2049-OC-PE</t>
  </si>
  <si>
    <t>BID 2045-OC-PE</t>
  </si>
  <si>
    <t>CFA-05129</t>
  </si>
  <si>
    <t>BID 2157-OC-PE</t>
  </si>
  <si>
    <t>BIRF 7674-O PE</t>
  </si>
  <si>
    <t>BIRF 7668-O PE</t>
  </si>
  <si>
    <t>BID 2160-OC-PE</t>
  </si>
  <si>
    <t>BID 2092-OC-PE</t>
  </si>
  <si>
    <t>BIRF 7643-O PE</t>
  </si>
  <si>
    <t>BID 2118-OC-PE</t>
  </si>
  <si>
    <t>BID 2166-OC-PE</t>
  </si>
  <si>
    <t>BIRF 7701-O PE</t>
  </si>
  <si>
    <t>BIRF 7799-O PE</t>
  </si>
  <si>
    <t>BID 2218-OC-PE</t>
  </si>
  <si>
    <t>BID 2234-OC-PE</t>
  </si>
  <si>
    <t>BIRF 7810-O PE</t>
  </si>
  <si>
    <t>BID 2269-OC-PE</t>
  </si>
  <si>
    <t>CFA-6616</t>
  </si>
  <si>
    <t>BID 2303-OC-PE</t>
  </si>
  <si>
    <t>FIDA 799-PE</t>
  </si>
  <si>
    <t>BID 2325-OC-PE</t>
  </si>
  <si>
    <t>BIRF 7950-O PE</t>
  </si>
  <si>
    <t>BIRF 7954-O PE</t>
  </si>
  <si>
    <t>BID 2413-OC-PE</t>
  </si>
  <si>
    <t>BID 2417-OC-PE</t>
  </si>
  <si>
    <t>BID 2449-OC-PE</t>
  </si>
  <si>
    <t>BID 2455-OC-PE</t>
  </si>
  <si>
    <t>CFA 6923</t>
  </si>
  <si>
    <t>BID 2445-OC-PE</t>
  </si>
  <si>
    <t>BID 2374-OC-PE</t>
  </si>
  <si>
    <t>BID 2446-OC-PE</t>
  </si>
  <si>
    <t>BID 2456-OC-PE</t>
  </si>
  <si>
    <t>BIRF 7977-O PE</t>
  </si>
  <si>
    <t>BIRF 7978-O PE</t>
  </si>
  <si>
    <t>BIRF 7969-O PE</t>
  </si>
  <si>
    <t>BIRF 7878-O PE</t>
  </si>
  <si>
    <t>CFA7705</t>
  </si>
  <si>
    <t>BIRF 8034-O PE</t>
  </si>
  <si>
    <t>BID 2531-OC-PE</t>
  </si>
  <si>
    <t>BIRF 7961-O PE</t>
  </si>
  <si>
    <t>CFA 7454</t>
  </si>
  <si>
    <t>BIRF 8025-O PE</t>
  </si>
  <si>
    <t>BID 2544-OC-PE</t>
  </si>
  <si>
    <t>BID 2554-OC-PE</t>
  </si>
  <si>
    <t>BID 2625-OC-PE</t>
  </si>
  <si>
    <t>BID 2604-OC-PE</t>
  </si>
  <si>
    <t>BID 2534-OC-PE</t>
  </si>
  <si>
    <t>BID 2661-OC-PE</t>
  </si>
  <si>
    <t>BID 2759-OC-PE</t>
  </si>
  <si>
    <t>BID 2645-OC-PE</t>
  </si>
  <si>
    <t>BID 2703-OC-PE</t>
  </si>
  <si>
    <t>BID 2693-OC-PE</t>
  </si>
  <si>
    <t>BID 2783-OC-PE</t>
  </si>
  <si>
    <t>BID 2769-OC-PE</t>
  </si>
  <si>
    <t>BID 2849-OC-PE</t>
  </si>
  <si>
    <t>BID 2847-OC-PE</t>
  </si>
  <si>
    <t>BIRF 8212-O PE</t>
  </si>
  <si>
    <t>FIDA 884-PE</t>
  </si>
  <si>
    <t>BIRF 8222-O PE</t>
  </si>
  <si>
    <r>
      <t>34</t>
    </r>
    <r>
      <rPr>
        <b/>
        <sz val="10"/>
        <rFont val="Arial"/>
        <family val="2"/>
      </rPr>
      <t xml:space="preserve">/ </t>
    </r>
    <r>
      <rPr>
        <sz val="10"/>
        <rFont val="Arial"/>
        <family val="2"/>
      </rPr>
      <t>El plazo total del préstamo es de 21.5 años; será amortizado mediante ocho (08) cuotas que vencerán el 15/03/2022, 15/03/2022, 15/03/2023, 15/09/2023, 15/03/2028, 15/09/2028, 15/03/2029 y 15/09/2029.</t>
    </r>
  </si>
  <si>
    <r>
      <t>35</t>
    </r>
    <r>
      <rPr>
        <b/>
        <sz val="10"/>
        <rFont val="Arial"/>
        <family val="2"/>
      </rPr>
      <t>/</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66 meses computados a partir de la fecha de emtrada en vigor  del Contrato de Préstamo. La última cuota será el 15.09.25.</t>
    </r>
  </si>
  <si>
    <r>
      <t>36</t>
    </r>
    <r>
      <rPr>
        <b/>
        <sz val="10"/>
        <rFont val="Arial"/>
        <family val="2"/>
      </rPr>
      <t xml:space="preserve">/ </t>
    </r>
    <r>
      <rPr>
        <sz val="10"/>
        <rFont val="Arial"/>
        <family val="2"/>
      </rPr>
      <t>La Tasa de interés es de Libor a 6 meses más un margegen de 1,9% anual. Para los primeros ocho (08) achos ser aplicará Libor a 6 meses más un margen de 1,35% anual</t>
    </r>
  </si>
  <si>
    <r>
      <t>37</t>
    </r>
    <r>
      <rPr>
        <b/>
        <sz val="10"/>
        <rFont val="Arial"/>
        <family val="2"/>
      </rPr>
      <t xml:space="preserve">/ </t>
    </r>
    <r>
      <rPr>
        <sz val="10"/>
        <rFont val="Arial"/>
        <family val="2"/>
      </rPr>
      <t>Tasa de interés fija anual a ser determinada por el KfW en la fecha de la firma del Contrato.</t>
    </r>
  </si>
  <si>
    <r>
      <rPr>
        <sz val="10"/>
        <color indexed="10"/>
        <rFont val="Arial"/>
        <family val="2"/>
      </rPr>
      <t>38/</t>
    </r>
    <r>
      <rPr>
        <b/>
        <sz val="10"/>
        <rFont val="Arial"/>
        <family val="2"/>
      </rPr>
      <t xml:space="preserve"> </t>
    </r>
    <r>
      <rPr>
        <sz val="10"/>
        <rFont val="Arial"/>
        <family val="2"/>
      </rPr>
      <t>El préstamo devengará la siguiente tasa de interés:</t>
    </r>
  </si>
  <si>
    <r>
      <rPr>
        <sz val="10"/>
        <color indexed="10"/>
        <rFont val="Arial"/>
        <family val="2"/>
      </rPr>
      <t>39/</t>
    </r>
    <r>
      <rPr>
        <b/>
        <sz val="10"/>
        <rFont val="Arial"/>
        <family val="2"/>
      </rPr>
      <t xml:space="preserve"> </t>
    </r>
    <r>
      <rPr>
        <sz val="10"/>
        <rFont val="Arial"/>
        <family val="2"/>
      </rPr>
      <t>El préstamo devengará la siguiente tasa de interés:</t>
    </r>
  </si>
  <si>
    <r>
      <rPr>
        <b/>
        <sz val="10"/>
        <color indexed="10"/>
        <rFont val="Arial"/>
        <family val="2"/>
      </rPr>
      <t>40</t>
    </r>
    <r>
      <rPr>
        <b/>
        <sz val="10"/>
        <rFont val="Arial"/>
        <family val="2"/>
      </rPr>
      <t xml:space="preserve">/ </t>
    </r>
    <r>
      <rPr>
        <sz val="10"/>
        <rFont val="Arial"/>
        <family val="2"/>
      </rPr>
      <t>El plazo total del préstamo es de 21.5 años; será amortizado mediante ocho (08) cuotas que vencerán el 15/09/2022, 15/03/2023, 15/09/2023, 15/03/2028, 15/09/2028, 15/03/2029, 15/09/2029 y 15/03/2030.</t>
    </r>
  </si>
  <si>
    <r>
      <rPr>
        <b/>
        <sz val="10"/>
        <color indexed="10"/>
        <rFont val="Arial"/>
        <family val="2"/>
      </rPr>
      <t>41</t>
    </r>
    <r>
      <rPr>
        <b/>
        <sz val="10"/>
        <rFont val="Arial"/>
        <family val="2"/>
      </rPr>
      <t xml:space="preserve">/ </t>
    </r>
    <r>
      <rPr>
        <sz val="10"/>
        <rFont val="Arial"/>
        <family val="2"/>
      </rPr>
      <t>El plazo total del préstamo es de 21.5 años; será amortizado mediante ocho (08) cuotas que vencerán el 01/04/2022, 01/10/2022, 01/04/2028, 01/10/2028, 01/04/2029, 01/10/2029, 01/04/2030 y 01/10/2030.</t>
    </r>
  </si>
  <si>
    <r>
      <rPr>
        <b/>
        <sz val="10"/>
        <color indexed="10"/>
        <rFont val="Arial"/>
        <family val="2"/>
      </rPr>
      <t>42</t>
    </r>
    <r>
      <rPr>
        <b/>
        <sz val="10"/>
        <rFont val="Arial"/>
        <family val="2"/>
      </rPr>
      <t xml:space="preserve">/ </t>
    </r>
    <r>
      <rPr>
        <sz val="10"/>
        <rFont val="Arial"/>
        <family val="2"/>
      </rPr>
      <t>El préstamo devengará la siguiente tasa de interés:</t>
    </r>
  </si>
  <si>
    <r>
      <rPr>
        <b/>
        <sz val="10"/>
        <color indexed="10"/>
        <rFont val="Arial"/>
        <family val="2"/>
      </rPr>
      <t>43</t>
    </r>
    <r>
      <rPr>
        <b/>
        <sz val="10"/>
        <rFont val="Arial"/>
        <family val="2"/>
      </rPr>
      <t xml:space="preserve">/ </t>
    </r>
    <r>
      <rPr>
        <sz val="10"/>
        <rFont val="Arial"/>
        <family val="2"/>
      </rPr>
      <t>El plazo total del préstamo es de 25 años; será amortizado de la siguiente manera:</t>
    </r>
  </si>
  <si>
    <r>
      <rPr>
        <b/>
        <sz val="10"/>
        <color indexed="10"/>
        <rFont val="Arial"/>
        <family val="2"/>
      </rPr>
      <t>44</t>
    </r>
    <r>
      <rPr>
        <sz val="10"/>
        <rFont val="Arial"/>
        <family val="2"/>
      </rPr>
      <t>/ Pago Bullet (15.01.27)</t>
    </r>
  </si>
  <si>
    <r>
      <rPr>
        <b/>
        <sz val="10"/>
        <color indexed="10"/>
        <rFont val="Arial"/>
        <family val="2"/>
      </rPr>
      <t>45</t>
    </r>
    <r>
      <rPr>
        <b/>
        <sz val="10"/>
        <rFont val="Arial"/>
        <family val="2"/>
      </rPr>
      <t xml:space="preserve">/ </t>
    </r>
    <r>
      <rPr>
        <sz val="10"/>
        <rFont val="Arial"/>
        <family val="2"/>
      </rPr>
      <t>El plazo total del préstamo es de 21 años; será amortizado de la siguiente manera:</t>
    </r>
  </si>
  <si>
    <r>
      <rPr>
        <b/>
        <sz val="10"/>
        <color indexed="10"/>
        <rFont val="Arial"/>
        <family val="2"/>
      </rPr>
      <t>46</t>
    </r>
    <r>
      <rPr>
        <b/>
        <sz val="10"/>
        <rFont val="Arial"/>
        <family val="2"/>
      </rPr>
      <t xml:space="preserve">/ </t>
    </r>
    <r>
      <rPr>
        <sz val="10"/>
        <rFont val="Arial"/>
        <family val="2"/>
      </rPr>
      <t>El plazo total del préstamo es de 20 años; será amortizado de la siguiente manera:</t>
    </r>
  </si>
  <si>
    <r>
      <rPr>
        <b/>
        <sz val="10"/>
        <color indexed="10"/>
        <rFont val="Arial"/>
        <family val="2"/>
      </rPr>
      <t>47</t>
    </r>
    <r>
      <rPr>
        <b/>
        <sz val="10"/>
        <rFont val="Arial"/>
        <family val="2"/>
      </rPr>
      <t xml:space="preserve">/ </t>
    </r>
    <r>
      <rPr>
        <sz val="10"/>
        <rFont val="Arial"/>
        <family val="2"/>
      </rPr>
      <t>El préstamo devengará la siguiente tasa de interés:</t>
    </r>
  </si>
  <si>
    <r>
      <rPr>
        <b/>
        <sz val="10"/>
        <color indexed="10"/>
        <rFont val="Arial"/>
        <family val="2"/>
      </rPr>
      <t>48</t>
    </r>
    <r>
      <rPr>
        <b/>
        <sz val="10"/>
        <rFont val="Arial"/>
        <family val="2"/>
      </rPr>
      <t xml:space="preserve">/ </t>
    </r>
    <r>
      <rPr>
        <sz val="10"/>
        <rFont val="Arial"/>
        <family val="2"/>
      </rPr>
      <t>Tasa de Interés Fija a ser determinada por el KfW en la fecha de firma del Contrato de Préstamo.</t>
    </r>
  </si>
  <si>
    <r>
      <rPr>
        <b/>
        <sz val="10"/>
        <color indexed="10"/>
        <rFont val="Arial"/>
        <family val="2"/>
      </rPr>
      <t>49</t>
    </r>
    <r>
      <rPr>
        <b/>
        <sz val="10"/>
        <rFont val="Arial"/>
        <family val="2"/>
      </rPr>
      <t>/</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4 años después de la fecha de entrada en vigor del Convenio de Financiación.</t>
    </r>
  </si>
  <si>
    <r>
      <rPr>
        <b/>
        <sz val="10"/>
        <color indexed="10"/>
        <rFont val="Arial"/>
        <family val="2"/>
      </rPr>
      <t>50</t>
    </r>
    <r>
      <rPr>
        <b/>
        <sz val="10"/>
        <rFont val="Arial"/>
        <family val="2"/>
      </rPr>
      <t xml:space="preserve">/ </t>
    </r>
    <r>
      <rPr>
        <sz val="10"/>
        <rFont val="Arial"/>
        <family val="2"/>
      </rPr>
      <t>Pago Bullet: vencimiento 15.06.2028.</t>
    </r>
  </si>
  <si>
    <r>
      <rPr>
        <b/>
        <sz val="10"/>
        <color indexed="10"/>
        <rFont val="Arial"/>
        <family val="2"/>
      </rPr>
      <t>51</t>
    </r>
    <r>
      <rPr>
        <b/>
        <sz val="10"/>
        <rFont val="Arial"/>
        <family val="2"/>
      </rPr>
      <t xml:space="preserve">/ </t>
    </r>
    <r>
      <rPr>
        <sz val="10"/>
        <rFont val="Arial"/>
        <family val="2"/>
      </rPr>
      <t>Se amortizará en 5 cuotas que vencerán el 15/10/2021, 15/04/2022, 15/10/2022, 15/04/2023 y 15/10/2023.</t>
    </r>
  </si>
  <si>
    <r>
      <rPr>
        <b/>
        <sz val="10"/>
        <color indexed="10"/>
        <rFont val="Arial"/>
        <family val="2"/>
      </rPr>
      <t>52</t>
    </r>
    <r>
      <rPr>
        <b/>
        <sz val="10"/>
        <rFont val="Arial"/>
        <family val="2"/>
      </rPr>
      <t xml:space="preserve">/ </t>
    </r>
    <r>
      <rPr>
        <sz val="10"/>
        <rFont val="Arial"/>
        <family val="2"/>
      </rPr>
      <t>La Tasa de Interés aplicable para los primeros ochos años es de Libor a 6 meses + 1.8% anual.</t>
    </r>
  </si>
  <si>
    <r>
      <rPr>
        <b/>
        <sz val="10"/>
        <color indexed="10"/>
        <rFont val="Arial"/>
        <family val="2"/>
      </rPr>
      <t>53</t>
    </r>
    <r>
      <rPr>
        <b/>
        <sz val="10"/>
        <rFont val="Arial"/>
        <family val="2"/>
      </rPr>
      <t xml:space="preserve">/ </t>
    </r>
    <r>
      <rPr>
        <sz val="10"/>
        <rFont val="Arial"/>
        <family val="2"/>
      </rPr>
      <t>Se amortizará en 3 cuotas que vencerán el 15/04/2022, 15/10/2022 y el 15/04/2023.</t>
    </r>
  </si>
  <si>
    <r>
      <rPr>
        <b/>
        <sz val="10"/>
        <color indexed="10"/>
        <rFont val="Arial"/>
        <family val="2"/>
      </rPr>
      <t>54</t>
    </r>
    <r>
      <rPr>
        <b/>
        <sz val="10"/>
        <rFont val="Arial"/>
        <family val="2"/>
      </rPr>
      <t xml:space="preserve">/ </t>
    </r>
    <r>
      <rPr>
        <sz val="10"/>
        <rFont val="Arial"/>
        <family val="2"/>
      </rPr>
      <t>Se amortizará en 2 cuotas que vencerán el 15/04/2022, 15/10/2022.</t>
    </r>
  </si>
  <si>
    <r>
      <rPr>
        <b/>
        <sz val="10"/>
        <color indexed="10"/>
        <rFont val="Arial"/>
        <family val="2"/>
      </rPr>
      <t>55</t>
    </r>
    <r>
      <rPr>
        <b/>
        <sz val="10"/>
        <rFont val="Arial"/>
        <family val="2"/>
      </rPr>
      <t xml:space="preserve">/ </t>
    </r>
    <r>
      <rPr>
        <sz val="10"/>
        <rFont val="Arial"/>
        <family val="2"/>
      </rPr>
      <t>Se amortizará en 5 cuotas que vencerán el 15/11/2021, 15/05/2022, 15/11/2022, 15/05/2023 y 15/11/2023.</t>
    </r>
  </si>
  <si>
    <r>
      <rPr>
        <b/>
        <sz val="10"/>
        <color indexed="10"/>
        <rFont val="Arial"/>
        <family val="2"/>
      </rPr>
      <t>56</t>
    </r>
    <r>
      <rPr>
        <b/>
        <sz val="10"/>
        <rFont val="Arial"/>
        <family val="2"/>
      </rPr>
      <t xml:space="preserve">/ </t>
    </r>
    <r>
      <rPr>
        <sz val="10"/>
        <rFont val="Arial"/>
        <family val="2"/>
      </rPr>
      <t>Se amortizará en 1 cuotas que vencerá el 15/06/2028.</t>
    </r>
  </si>
  <si>
    <r>
      <rPr>
        <b/>
        <sz val="10"/>
        <color indexed="10"/>
        <rFont val="Arial"/>
        <family val="2"/>
      </rPr>
      <t>57</t>
    </r>
    <r>
      <rPr>
        <b/>
        <sz val="10"/>
        <rFont val="Arial"/>
        <family val="2"/>
      </rPr>
      <t xml:space="preserve">/ </t>
    </r>
    <r>
      <rPr>
        <sz val="10"/>
        <rFont val="Arial"/>
        <family val="2"/>
      </rPr>
      <t>Pago Bullet: vencimiento 15.04.2029.</t>
    </r>
  </si>
  <si>
    <r>
      <rPr>
        <b/>
        <sz val="10"/>
        <color indexed="10"/>
        <rFont val="Arial"/>
        <family val="2"/>
      </rPr>
      <t>58</t>
    </r>
    <r>
      <rPr>
        <b/>
        <sz val="10"/>
        <rFont val="Arial"/>
        <family val="2"/>
      </rPr>
      <t xml:space="preserve">/ </t>
    </r>
    <r>
      <rPr>
        <sz val="10"/>
        <rFont val="Arial"/>
        <family val="2"/>
      </rPr>
      <t>Pago Bullet: vencimiento 28.02.2029.</t>
    </r>
  </si>
  <si>
    <r>
      <rPr>
        <b/>
        <sz val="10"/>
        <color indexed="10"/>
        <rFont val="Arial"/>
        <family val="2"/>
      </rPr>
      <t>59</t>
    </r>
    <r>
      <rPr>
        <b/>
        <sz val="10"/>
        <rFont val="Arial"/>
        <family val="2"/>
      </rPr>
      <t>/</t>
    </r>
    <r>
      <rPr>
        <sz val="10"/>
        <rFont val="Arial"/>
        <family val="2"/>
      </rPr>
      <t xml:space="preserve"> En el marco del Fondo de Financiamiento Compensatorio de la CAF, la tasa de interés para los primeros ocho años es de Libor a 6 meses + 1,1% anual .</t>
    </r>
  </si>
  <si>
    <r>
      <rPr>
        <b/>
        <sz val="10"/>
        <color indexed="10"/>
        <rFont val="Arial"/>
        <family val="2"/>
      </rPr>
      <t>60/</t>
    </r>
    <r>
      <rPr>
        <sz val="10"/>
        <rFont val="Arial"/>
        <family val="2"/>
      </rPr>
      <t xml:space="preserve"> El artículo 2º del D.S. Nº 020-2012-EF establece que, a efectos de la emisión de bonos (externa o interna) autorizada, hasta por US$ 1,600.0 millones,  el MEF a través de la DGETP, podrá reasignar los montos de endeudamiento previstos en literal b) del párrafo 4.1 (Sub-Programa "Apoyo a la Balanza de Pagos" de endeudamiento externo) y en el literal b) del párrafo 4.2 de la citada Ley (Sub-Programa "Apoyo a la Balanza de Pagos" de endeudamiento interno). En ese contexto, el Sub-Programa "Apoyo a la Balanza de Pagos" de endeudamiento externo queda recompuesto,  de originalmente US$ 1,010.55 millones a US$ 610.55 millones. Con cargo a la operación de endeudamiento aprobada por D.S. Nº 020-2011-EF se afecta US$ 500,0 millones.</t>
    </r>
  </si>
  <si>
    <r>
      <rPr>
        <b/>
        <sz val="10"/>
        <color indexed="10"/>
        <rFont val="Arial"/>
        <family val="2"/>
      </rPr>
      <t>61/</t>
    </r>
    <r>
      <rPr>
        <b/>
        <sz val="10"/>
        <rFont val="Arial"/>
        <family val="2"/>
      </rPr>
      <t xml:space="preserve"> </t>
    </r>
    <r>
      <rPr>
        <sz val="10"/>
        <rFont val="Arial"/>
        <family val="2"/>
      </rPr>
      <t>Pago bullet que vence el 18.11.2050.</t>
    </r>
  </si>
  <si>
    <r>
      <rPr>
        <b/>
        <sz val="10"/>
        <color indexed="10"/>
        <rFont val="Arial"/>
        <family val="2"/>
      </rPr>
      <t xml:space="preserve">62/ </t>
    </r>
    <r>
      <rPr>
        <sz val="10"/>
        <rFont val="Arial"/>
        <family val="2"/>
      </rPr>
      <t>Para la parte del préstamo que se destine a obras devengará una tasa de 1.7%, y la porción del préstamo que se destine a servicios de consultoría devengará una tasa de 0.01%.</t>
    </r>
  </si>
  <si>
    <r>
      <rPr>
        <b/>
        <sz val="10"/>
        <color indexed="10"/>
        <rFont val="Arial"/>
        <family val="2"/>
      </rPr>
      <t xml:space="preserve">63/ </t>
    </r>
    <r>
      <rPr>
        <sz val="10"/>
        <rFont val="Arial"/>
        <family val="2"/>
      </rPr>
      <t>Para la parte del préstamo que se destine a obras, maq. y equipos devengará una tasa de 0.6%, y la porción del préstamo que se destine a servicios de consultoría devengará una tasa de 0.01%.</t>
    </r>
  </si>
  <si>
    <r>
      <rPr>
        <b/>
        <sz val="10"/>
        <color indexed="10"/>
        <rFont val="Arial"/>
        <family val="2"/>
      </rPr>
      <t xml:space="preserve">64/ </t>
    </r>
    <r>
      <rPr>
        <sz val="10"/>
        <rFont val="Arial"/>
        <family val="2"/>
      </rPr>
      <t>Para la parte del préstamo que se destine a sub-préstamos devengará una tasa de 0.6%, y la porción del préstamo que se destine a servicios de consultoría devengará una tasa de 0.01%.</t>
    </r>
  </si>
  <si>
    <r>
      <rPr>
        <b/>
        <sz val="10"/>
        <color indexed="10"/>
        <rFont val="Arial"/>
        <family val="2"/>
      </rPr>
      <t>65/</t>
    </r>
    <r>
      <rPr>
        <sz val="10"/>
        <rFont val="Arial"/>
        <family val="2"/>
      </rPr>
      <t xml:space="preserve"> Tramo I : EUR 105 782.85 0,75%</t>
    </r>
  </si>
  <si>
    <r>
      <rPr>
        <b/>
        <sz val="10"/>
        <color indexed="10"/>
        <rFont val="Arial"/>
        <family val="2"/>
      </rPr>
      <t>66/</t>
    </r>
    <r>
      <rPr>
        <sz val="10"/>
        <rFont val="Arial"/>
        <family val="2"/>
      </rPr>
      <t xml:space="preserve"> Tramo I : 30 años</t>
    </r>
  </si>
  <si>
    <r>
      <rPr>
        <b/>
        <sz val="10"/>
        <color indexed="10"/>
        <rFont val="Arial"/>
        <family val="2"/>
      </rPr>
      <t>67</t>
    </r>
    <r>
      <rPr>
        <sz val="10"/>
        <color indexed="10"/>
        <rFont val="Arial"/>
        <family val="2"/>
      </rPr>
      <t xml:space="preserve">/ </t>
    </r>
    <r>
      <rPr>
        <sz val="10"/>
        <rFont val="Arial"/>
        <family val="2"/>
      </rPr>
      <t>Para la parte del préstamo que se destine a obras civiles (turismo, cultura, transporte, fortalecimiento institucional) devengará una tasa de interés 1.6%, así como una tasa de inetrés de 1% para la parte del préstamo que se destine a manejo de reiduos sólidos; y una tasa de 0.01% para servicios de consultoría.</t>
    </r>
  </si>
  <si>
    <r>
      <rPr>
        <b/>
        <sz val="10"/>
        <color indexed="10"/>
        <rFont val="Arial"/>
        <family val="2"/>
      </rPr>
      <t>68/</t>
    </r>
    <r>
      <rPr>
        <b/>
        <sz val="10"/>
        <rFont val="Arial"/>
        <family val="2"/>
      </rPr>
      <t xml:space="preserve"> </t>
    </r>
    <r>
      <rPr>
        <sz val="10"/>
        <rFont val="Arial"/>
        <family val="2"/>
      </rPr>
      <t>Pago Bullet-vencimiento 15.09.24.</t>
    </r>
  </si>
  <si>
    <r>
      <rPr>
        <b/>
        <sz val="10"/>
        <color indexed="10"/>
        <rFont val="Arial"/>
        <family val="2"/>
      </rPr>
      <t xml:space="preserve">69/ </t>
    </r>
    <r>
      <rPr>
        <sz val="10"/>
        <rFont val="Arial"/>
        <family val="2"/>
      </rPr>
      <t>Pago Bullet-vencimiento 15.09.27.</t>
    </r>
  </si>
  <si>
    <r>
      <t>70/</t>
    </r>
    <r>
      <rPr>
        <b/>
        <sz val="10"/>
        <rFont val="Arial"/>
        <family val="2"/>
      </rPr>
      <t xml:space="preserve"> </t>
    </r>
    <r>
      <rPr>
        <sz val="10"/>
        <rFont val="Arial"/>
        <family val="2"/>
      </rPr>
      <t>El período de gracia estará en función del pago de la primera cuota de amortización, la cual será a los 5 años después de la fecha de entrada en vigor del Convenio de Financiación.</t>
    </r>
  </si>
  <si>
    <t xml:space="preserve">   i) el plazo de de reembolso se calculará en función al monto disponible de la garantía: si dicho monto es mayor o igual a US$ 45,0 millones, el periódo de amortz. será de 15 años; si es mayor o igual a US$ 30,0 millones, pero menor a US$45,0 millones, será de 10 años; y,  si dicho monto es menor a US$ 30,0 millones, el período de amortiz. será de 5 años.</t>
  </si>
  <si>
    <t>D.S. Nº 353-2013-EF</t>
  </si>
  <si>
    <t>D.S. Nº 355-2013-EF</t>
  </si>
  <si>
    <t>D.S. Nº 356-2013-EF</t>
  </si>
  <si>
    <t>Proyecto "Esquema Cajamarquilla, Nieveria y Cerro Camote -Ampliación de los Sistemas de Agua Potable y Alcantarillado de los Sectores 129, 130, 131, 132, 133, 134 y  135 - Distrito de Lurigancho y San Antonio de Huarochiri".</t>
  </si>
  <si>
    <t>"Programa de Riego y Manejo de Recursos Hidricos en la Sub Region Chanka - Apurímac"</t>
  </si>
  <si>
    <t>"Programa de Reforma de Gestión Municipal I"</t>
  </si>
  <si>
    <t>G.R. de Apurímac</t>
  </si>
  <si>
    <t>D.S. Nº 070-2013-EF</t>
  </si>
  <si>
    <t>D.S. Nº 141-2013-EF</t>
  </si>
  <si>
    <t>D.S. Nº 222-2013-EF</t>
  </si>
  <si>
    <t>D.S. Nº 269-2013-EF</t>
  </si>
  <si>
    <t>D.S. Nº 294-2013-EF</t>
  </si>
  <si>
    <t>D.S. Nº 296-2013-EF</t>
  </si>
  <si>
    <t>D.S. Nº 297-2013-EF</t>
  </si>
  <si>
    <t>D.S. Nº 298-2013-EF</t>
  </si>
  <si>
    <t>D.S. Nº 305-2013-EF</t>
  </si>
  <si>
    <t>D.S. Nº 354-2013-EF</t>
  </si>
  <si>
    <t>Programa de Gestión de Resultados para la Inclusión Social I</t>
  </si>
  <si>
    <t>Programa SWAP Educación</t>
  </si>
  <si>
    <t>Proyecto "Ampliación del Apoyo a las Alianzas Rurales Productivas en la Sierra del Perú - Aliados II, en las Regiones de Apurímac, Ayacucho, Huancavelica, Huánuco, Junín y Pasco".</t>
  </si>
  <si>
    <t xml:space="preserve">Proyecto "Mejoramiento del Sistema Nacional de Control para una Gestión Pública Eficaz e Integra" </t>
  </si>
  <si>
    <t>Programa de Inversión Pública para el Fortalecimeinto de la Gestión Ambiental y Social de los Impactos Indirectos del Corredor Vial Interoceánico Sur - II Etapa.</t>
  </si>
  <si>
    <t>Programa de Gestión de Resultados para la Inclusión Social</t>
  </si>
  <si>
    <t>Programa de Competitividad Agraria III</t>
  </si>
  <si>
    <t>Mejoramiento del Servico de Información Presupuestaria de Planillas del Sector Público</t>
  </si>
  <si>
    <t>Programa Nacional de Innovacion Agraria</t>
  </si>
  <si>
    <t>MED</t>
  </si>
  <si>
    <t>UCPS/MEF</t>
  </si>
  <si>
    <t>INIA</t>
  </si>
  <si>
    <t>8.3 años</t>
  </si>
  <si>
    <r>
      <t xml:space="preserve">71/ </t>
    </r>
    <r>
      <rPr>
        <sz val="10"/>
        <rFont val="Arial"/>
        <family val="2"/>
      </rPr>
      <t>Se pagará en seis cuotas: la primera vencerá el 15/03/2018 y la última15/09/2020.</t>
    </r>
  </si>
  <si>
    <t>71/</t>
  </si>
  <si>
    <r>
      <t>72/</t>
    </r>
    <r>
      <rPr>
        <sz val="10"/>
        <rFont val="Arial"/>
        <family val="2"/>
      </rPr>
      <t xml:space="preserve"> Pago bullet: 15.03.2021</t>
    </r>
  </si>
  <si>
    <t>72/</t>
  </si>
  <si>
    <r>
      <t>73/</t>
    </r>
    <r>
      <rPr>
        <sz val="10"/>
        <rFont val="Arial"/>
        <family val="2"/>
      </rPr>
      <t xml:space="preserve"> La tasa de interés aplicable de los 16 pagos semestrales será de Libor a 6M + 1,15%, de acuerdo con las políticas de operaciones de la CAF.</t>
    </r>
  </si>
  <si>
    <r>
      <t>74/</t>
    </r>
    <r>
      <rPr>
        <sz val="10"/>
        <rFont val="Arial"/>
        <family val="2"/>
      </rPr>
      <t xml:space="preserve"> Pago bullet: 15.03.2019</t>
    </r>
  </si>
  <si>
    <r>
      <t>75/</t>
    </r>
    <r>
      <rPr>
        <sz val="10"/>
        <rFont val="Arial"/>
        <family val="2"/>
      </rPr>
      <t xml:space="preserve"> Pago bullet: 15.04.2019</t>
    </r>
  </si>
  <si>
    <t>74/</t>
  </si>
  <si>
    <t>75/</t>
  </si>
  <si>
    <r>
      <t>76/</t>
    </r>
    <r>
      <rPr>
        <sz val="10"/>
        <rFont val="Arial"/>
        <family val="2"/>
      </rPr>
      <t xml:space="preserve"> Pago bullet: 15.03.2020</t>
    </r>
  </si>
  <si>
    <t>76/</t>
  </si>
  <si>
    <t>D.S. Nº 307-2014-EF</t>
  </si>
  <si>
    <t>D.S. Nº 308-2014-EF</t>
  </si>
  <si>
    <t>Proyecto "Instalación de las centtrales hidroeléctricas Moquegua 1 y 3"</t>
  </si>
  <si>
    <t>Programa de Protección de valles y poblaciones rurales vulnerables ante inundaciones</t>
  </si>
  <si>
    <t>EGESUR</t>
  </si>
  <si>
    <t>MINAGRI</t>
  </si>
  <si>
    <t>D.S. Nº 345-2014-EF</t>
  </si>
  <si>
    <t>D.S. Nº 346-2014-EF</t>
  </si>
  <si>
    <t>Programa de Reforma de Gestión Municipal II</t>
  </si>
  <si>
    <t>Program de Segunda Generación de Reformas  del Sector Saneamiento III</t>
  </si>
  <si>
    <t>MEF-DGETP</t>
  </si>
  <si>
    <t>D.S. Nº 054-2014-EF</t>
  </si>
  <si>
    <t>D.S. Nº 210-2014-EF</t>
  </si>
  <si>
    <t>D.S. Nº 211-2014-EF</t>
  </si>
  <si>
    <t>D.S. Nº 212-2014-EF</t>
  </si>
  <si>
    <t>D.S. Nº 290-2014-EF</t>
  </si>
  <si>
    <t>D.S. Nº 306-2014-EF</t>
  </si>
  <si>
    <t>D.S. Nº 328-2014-EF</t>
  </si>
  <si>
    <t>D.S. Nº 329-2014-EF</t>
  </si>
  <si>
    <t>D.S. Nº 358-2014-EF</t>
  </si>
  <si>
    <t>D.S. Nº 359-2014-EF</t>
  </si>
  <si>
    <t>D.S. Nº 360-2014-EF</t>
  </si>
  <si>
    <t>D.S. Nº 365-2014-EF</t>
  </si>
  <si>
    <t>Obras Hidráulicas Mayores del Proyecto Chavimochic Tercera Etapa</t>
  </si>
  <si>
    <t>Proyectos para la Consolidación de la Gestión Tributaria y Aduanera</t>
  </si>
  <si>
    <t>Proyecto  "Mejoramiento del Transporte en la Ciudad del Cusco"</t>
  </si>
  <si>
    <t>Programa "Consolidación y Diversificaciónb del Producto Turítico Cusco-Valle Sagrado de Los Incas, entre las Provincias del Cusco, Calca y Urubamba de la Región Cusco"</t>
  </si>
  <si>
    <t>Programa de reducción de vulnerabilidad del Estado ante desastres III.</t>
  </si>
  <si>
    <t>Mejoramiento del sistema de información estadística agraria para el desarrollo rural del Perú</t>
  </si>
  <si>
    <t>Programa de Segunda Generación de Reformas del Sector Saneamiento III</t>
  </si>
  <si>
    <t>Programa para la Mejora de Productividad y la Competitividad III</t>
  </si>
  <si>
    <t>Proyecto Construcción de la Línea 2 y Ramal Av. Faucett - Gambetta de la Red Básica del Metro de Lima y Callao Procincias de Lima y Callao, Departamento de Lima</t>
  </si>
  <si>
    <t>Proyecto Optimización de Sistemas de Agua Potable y Alcantarillado, Sectorización, Rehabilitación Redes y Actualización de Catastro - Área de Influencia Planta Huachipa - Área de Drenaje Oquendo, Sinchi Roca, Puente Piedra y Sectores 84, 83, 85 y 212 -Lima</t>
  </si>
  <si>
    <t>Proyecto Catastro, Titulación y Registro de Tierras Rurales en el Perú, Tercera Etapa - PTRT3</t>
  </si>
  <si>
    <t>GR.La Libertad</t>
  </si>
  <si>
    <t>SUNAT/D.UCP DGETP</t>
  </si>
  <si>
    <t>GR Cusco/COPESCO</t>
  </si>
  <si>
    <t>MTC - AATE</t>
  </si>
  <si>
    <t>MINAGRI-AGRO RURAL</t>
  </si>
  <si>
    <t>Libor 3 meses+Margen BID</t>
  </si>
  <si>
    <t>Libor 6 meses+Margen BIRF</t>
  </si>
  <si>
    <t>Libor 6 meses+Margen Fijo BIRF</t>
  </si>
  <si>
    <t>77/</t>
  </si>
  <si>
    <t>79/</t>
  </si>
  <si>
    <t>80/</t>
  </si>
  <si>
    <t>82/</t>
  </si>
  <si>
    <t>83/</t>
  </si>
  <si>
    <t>D.S. Nº 380-2015-EF</t>
  </si>
  <si>
    <t>D.S. Nº 412-2015-EF</t>
  </si>
  <si>
    <t>Programa de Energías Renovables y Eficiencia Energética - Etapa II</t>
  </si>
  <si>
    <t>Proyecto "Optimización de Sistemas de Agua Potable y Alcantarillado, Sectorización, Rehabilitación  Redes y Actualización de Catastro - Área de Influencia Planta Huachipa - Área de Drenaje Oquendo, Sinchi Roca, Puente Piedra y Sectores 84, 83, 85 y 212 - Lima"</t>
  </si>
  <si>
    <t>5años</t>
  </si>
  <si>
    <t>D.S. Nº 365-2015-EF</t>
  </si>
  <si>
    <t>D.S. Nº 413-2015-EF</t>
  </si>
  <si>
    <t>Proyecto "Construcción de la Línea 2 y Ramal Av. Faucett - Gambetta de la Red Básica del Metro de Lima y Callao Provincias de Lima y Callao, Departamento de Lima"</t>
  </si>
  <si>
    <t>Programa de apoyo al transporte subnacional - PATS</t>
  </si>
  <si>
    <t>AATE</t>
  </si>
  <si>
    <t>MTC</t>
  </si>
  <si>
    <t>Lib. 6 M + Marg.  Variable BIRF</t>
  </si>
  <si>
    <t>Libor a 3 M + Margen BID</t>
  </si>
  <si>
    <t>Libor 6 M+Margen Variable BIRF</t>
  </si>
  <si>
    <t>15/</t>
  </si>
  <si>
    <r>
      <rPr>
        <b/>
        <sz val="10"/>
        <color indexed="10"/>
        <rFont val="Arial"/>
        <family val="2"/>
      </rPr>
      <t xml:space="preserve">77/ </t>
    </r>
    <r>
      <rPr>
        <sz val="10"/>
        <rFont val="Arial"/>
        <family val="2"/>
      </rPr>
      <t>0,4% obras civiles; 0,01% servicios de consultoría.</t>
    </r>
  </si>
  <si>
    <r>
      <t>79/</t>
    </r>
    <r>
      <rPr>
        <sz val="10"/>
        <rFont val="Arial"/>
        <family val="2"/>
      </rPr>
      <t xml:space="preserve"> El plazo de gracia es de 5 años, pudiendo varias este periodo de acuerdo con la fecha de firma del contrato de préstamo.</t>
    </r>
  </si>
  <si>
    <r>
      <rPr>
        <b/>
        <sz val="10"/>
        <color indexed="10"/>
        <rFont val="Arial"/>
        <family val="2"/>
      </rPr>
      <t>80</t>
    </r>
    <r>
      <rPr>
        <sz val="10"/>
        <color indexed="10"/>
        <rFont val="Arial"/>
        <family val="2"/>
      </rPr>
      <t>/</t>
    </r>
    <r>
      <rPr>
        <sz val="10"/>
        <rFont val="Arial"/>
        <family val="2"/>
      </rPr>
      <t xml:space="preserve"> La Fecha de vencimiento del préstamo son el 15 de mayo y 15 de noviembre de cada año. El pago de la primera cuota de amortización es a los 60 meses de la firma del contrato de préstamo y si esta fecha no coincide con la fecha del 15  de mayo o 15 de noviembre, la primera cuota será en una de estas dos fechas inmediatamente anterior a los 60 meses a partir de la suscripción del acotado contrato.  </t>
    </r>
  </si>
  <si>
    <r>
      <t>81/</t>
    </r>
    <r>
      <rPr>
        <sz val="10"/>
        <rFont val="Arial"/>
        <family val="2"/>
      </rPr>
      <t xml:space="preserve"> Dicha tasa tendrá un descuento de 0,80 puntos porcentuales de acuerdo a la politica de CAF, con lo cual la tasa sería de Libor a 6 meses mas un margen de 1,05% anual.</t>
    </r>
  </si>
  <si>
    <r>
      <t>82</t>
    </r>
    <r>
      <rPr>
        <b/>
        <sz val="10"/>
        <rFont val="Arial"/>
        <family val="2"/>
      </rPr>
      <t>/</t>
    </r>
    <r>
      <rPr>
        <sz val="10"/>
        <rFont val="Arial"/>
        <family val="2"/>
      </rPr>
      <t xml:space="preserve"> El plazo de gracia es de 5.5 años, pudiendo varias este periodo de acuerdo con la fecha de firma del contrato de préstamo.</t>
    </r>
  </si>
  <si>
    <r>
      <rPr>
        <b/>
        <sz val="10"/>
        <color indexed="10"/>
        <rFont val="Arial"/>
        <family val="2"/>
      </rPr>
      <t>83/</t>
    </r>
    <r>
      <rPr>
        <sz val="10"/>
        <rFont val="Arial"/>
        <family val="2"/>
      </rPr>
      <t xml:space="preserve"> La Fecha de vencimiento del préstamo son el 15 de abril y 15 de octubre de cada año. El pago de la primera cuota de amortización es a los 66 meses de la firma del contrato de préstamo y si esta fecha no coincide con la fecha del 15  de abril o 15 de octubre, la primera cuota será en una de estas dos fechas inmediatamente anterior a los 66 meses a partir de la suscripción del acotado contrato.  </t>
    </r>
  </si>
  <si>
    <r>
      <t>84</t>
    </r>
    <r>
      <rPr>
        <b/>
        <sz val="10"/>
        <rFont val="Arial"/>
        <family val="2"/>
      </rPr>
      <t>/</t>
    </r>
    <r>
      <rPr>
        <sz val="10"/>
        <rFont val="Arial"/>
        <family val="2"/>
      </rPr>
      <t xml:space="preserve"> Según el artículo 1 del D.S. Nº 380-2015-EF, préstamo del KfW es en Dólares Americanos equivalentes a € 40,0 millones. Los Dólares Americanos han sido estimados con el Tpo Cruce de la SBS de la fecha de promulgación de citado Decreto Supremo.</t>
    </r>
  </si>
  <si>
    <t>84/</t>
  </si>
  <si>
    <t>Proy. Paso de Frontera Desagüadero (Perú-Bolivia) y Componentes Transversales en el Marco del Programa "Pasos de Frontera Perú - IIRSA"</t>
  </si>
  <si>
    <t>D.S. Nº 256-2016-EF</t>
  </si>
  <si>
    <t>D.S. Nº 379-2016-EF</t>
  </si>
  <si>
    <t>AFD</t>
  </si>
  <si>
    <t>Proyecto "Construcción de la Línea 2 y Ramal Elmer Faucett - Gambetta de la Red Básica del Metro de Lima y Callao Provincia de Lima y Callao, Departamento de Lima"</t>
  </si>
  <si>
    <t>D.S. Nº 255-2016-EF</t>
  </si>
  <si>
    <t>D.S. Nº 343-2016-EF</t>
  </si>
  <si>
    <t>D.S. Nº 396-2016-EF</t>
  </si>
  <si>
    <t>D.S. Nº 397-2016-EF</t>
  </si>
  <si>
    <t>D.S. Nº 398-2016-EF</t>
  </si>
  <si>
    <t>D.S. Nº 101-2016-EF</t>
  </si>
  <si>
    <t>D.S. Nº 172-2016-EF</t>
  </si>
  <si>
    <t>D.S. Nº 196-2016-EF</t>
  </si>
  <si>
    <t>D.S. Nº 240-2016-EF</t>
  </si>
  <si>
    <t>Proyecto "Mejoramiento de los servicos de facilitación del comercio exterior a través de la Ventanilla Única del Comercio Exterior (VUCE). Segunda Etapa-San Isidro-Lima-Lima"</t>
  </si>
  <si>
    <t xml:space="preserve">Proyecto "Mejoramiento y ampliación de los Servicios del Centro de Empleo para la inserción laboral formal de los jovenes en la Regiones de Arequipa, Ica, Lambayeque, La Libertad, Piura, San Martín y en Lima Metropolitana". </t>
  </si>
  <si>
    <t>Obras hidráulicas mayores del proyecto Chavimochic Tercera Etapa</t>
  </si>
  <si>
    <t xml:space="preserve">Proyecto "Mejoramiento de los niveles de innovación productiva a nivel nacional". </t>
  </si>
  <si>
    <t>Proyecto "Mejoramiento de los servicios públicos para el desarrollo territorial sostenible en el área de Influencia delos ríos Apurímac, Ene, y Mantaro: Proyecto de desarrollo territorial sostenible".</t>
  </si>
  <si>
    <t>Cofinanciamiento de la Concesión del Primer Componente Obras Mayores de Afianzamiento Hidrico y de Infraestructura para irrigación de las Pampas de Siguas del Proyecto Majes Siguas II Etapa.</t>
  </si>
  <si>
    <t>Programa nacional de innovación en Pesca y Acuicultura</t>
  </si>
  <si>
    <t>Proyecto "Mejoramiento y ampliación de los servicios del Sistema Nacional de Ciencia, Tecnología e Innovación Tecnológica"</t>
  </si>
  <si>
    <t>Programa "Mejoramiento y ampliación de los servicios de calidad ambiental a nivel nacional"</t>
  </si>
  <si>
    <t>MTPE</t>
  </si>
  <si>
    <t>GR La Libertad/PECH</t>
  </si>
  <si>
    <t>PRODUCE</t>
  </si>
  <si>
    <t>GR Arequipa</t>
  </si>
  <si>
    <t>Tasa FIDA Variable</t>
  </si>
  <si>
    <t xml:space="preserve">Libor a 6M+ 2,05% </t>
  </si>
  <si>
    <t>Libor a 6M + Margen Fijo BIRF</t>
  </si>
  <si>
    <t>Libor a 6M + Margen BIRF</t>
  </si>
  <si>
    <t>9,5 años</t>
  </si>
  <si>
    <t xml:space="preserve">   Ley Nº 30374</t>
  </si>
  <si>
    <t>Bonistas</t>
  </si>
  <si>
    <t>Emisión de Bonos Globales Apoyo Balanza Pagos</t>
  </si>
  <si>
    <r>
      <rPr>
        <b/>
        <sz val="10"/>
        <color indexed="10"/>
        <rFont val="Arial"/>
        <family val="2"/>
      </rPr>
      <t>78</t>
    </r>
    <r>
      <rPr>
        <b/>
        <sz val="10"/>
        <rFont val="Arial"/>
        <family val="2"/>
      </rPr>
      <t xml:space="preserve">/ </t>
    </r>
    <r>
      <rPr>
        <sz val="10"/>
        <rFont val="Arial"/>
        <family val="2"/>
      </rPr>
      <t>La tasa de interés aplicable para los diesiséis (16) primeros pagos semestrales será de Libor a 6M + 1,35%, de acuerdo con las políticas de operaciones de la CAF.</t>
    </r>
  </si>
  <si>
    <r>
      <t xml:space="preserve">20/ </t>
    </r>
    <r>
      <rPr>
        <sz val="10"/>
        <rFont val="Arial"/>
        <family val="2"/>
      </rPr>
      <t>Tipo de cabio EUR/USD de 1.1794, establecido en</t>
    </r>
    <r>
      <rPr>
        <b/>
        <sz val="10"/>
        <rFont val="Arial"/>
        <family val="2"/>
      </rPr>
      <t xml:space="preserve"> </t>
    </r>
    <r>
      <rPr>
        <sz val="10"/>
        <rFont val="Arial"/>
        <family val="2"/>
      </rPr>
      <t>el contrato de préstamo</t>
    </r>
  </si>
  <si>
    <r>
      <rPr>
        <b/>
        <sz val="10"/>
        <color indexed="10"/>
        <rFont val="Arial"/>
        <family val="2"/>
      </rPr>
      <t>85</t>
    </r>
    <r>
      <rPr>
        <sz val="10"/>
        <color indexed="10"/>
        <rFont val="Arial"/>
        <family val="2"/>
      </rPr>
      <t>/</t>
    </r>
    <r>
      <rPr>
        <sz val="9"/>
        <rFont val="Arial"/>
        <family val="2"/>
      </rPr>
      <t xml:space="preserve"> </t>
    </r>
    <r>
      <rPr>
        <sz val="10"/>
        <rFont val="Arial"/>
        <family val="2"/>
      </rPr>
      <t xml:space="preserve">Cuando la suma de ambas variable (Euribor 6M + 1,01%) sean menores a 0,25%, la tasa de interés será 0,25% anual.  </t>
    </r>
  </si>
  <si>
    <r>
      <t>30</t>
    </r>
    <r>
      <rPr>
        <b/>
        <sz val="10"/>
        <rFont val="Arial"/>
        <family val="2"/>
      </rPr>
      <t xml:space="preserve">/ </t>
    </r>
    <r>
      <rPr>
        <sz val="10"/>
        <rFont val="Arial"/>
        <family val="2"/>
      </rPr>
      <t>Fija a ser determinada a la fecha de firma del Contrato</t>
    </r>
  </si>
  <si>
    <r>
      <rPr>
        <b/>
        <sz val="10"/>
        <color indexed="10"/>
        <rFont val="Arial"/>
        <family val="2"/>
      </rPr>
      <t>86</t>
    </r>
    <r>
      <rPr>
        <b/>
        <sz val="9"/>
        <color indexed="10"/>
        <rFont val="Arial"/>
        <family val="2"/>
      </rPr>
      <t>/</t>
    </r>
    <r>
      <rPr>
        <sz val="9"/>
        <rFont val="Arial"/>
        <family val="2"/>
      </rPr>
      <t xml:space="preserve"> Tasa de interés nominal anual fijada en la fecha de emisión.</t>
    </r>
  </si>
  <si>
    <t>86/</t>
  </si>
  <si>
    <r>
      <rPr>
        <b/>
        <sz val="10"/>
        <color indexed="10"/>
        <rFont val="Arial"/>
        <family val="2"/>
      </rPr>
      <t>87</t>
    </r>
    <r>
      <rPr>
        <b/>
        <sz val="9"/>
        <color indexed="10"/>
        <rFont val="Arial"/>
        <family val="2"/>
      </rPr>
      <t>/</t>
    </r>
    <r>
      <rPr>
        <b/>
        <sz val="9"/>
        <rFont val="Arial"/>
        <family val="2"/>
      </rPr>
      <t xml:space="preserve"> </t>
    </r>
    <r>
      <rPr>
        <sz val="9"/>
        <rFont val="Arial"/>
        <family val="2"/>
      </rPr>
      <t xml:space="preserve">Se amortizará de acuerdo a las características de la  serie emitida. </t>
    </r>
  </si>
  <si>
    <t>87/</t>
  </si>
  <si>
    <r>
      <rPr>
        <b/>
        <sz val="9"/>
        <color indexed="10"/>
        <rFont val="Arial"/>
        <family val="2"/>
      </rPr>
      <t>88/</t>
    </r>
    <r>
      <rPr>
        <b/>
        <sz val="9"/>
        <rFont val="Arial"/>
        <family val="2"/>
      </rPr>
      <t xml:space="preserve"> </t>
    </r>
    <r>
      <rPr>
        <sz val="9"/>
        <rFont val="Arial"/>
        <family val="2"/>
      </rPr>
      <t>El préstamo será cancelado en una cuota que vencerá el 15/10/2025.</t>
    </r>
  </si>
  <si>
    <t>88/</t>
  </si>
  <si>
    <r>
      <rPr>
        <b/>
        <sz val="9"/>
        <color indexed="10"/>
        <rFont val="Arial"/>
        <family val="2"/>
      </rPr>
      <t>89/</t>
    </r>
    <r>
      <rPr>
        <b/>
        <sz val="9"/>
        <rFont val="Arial"/>
        <family val="2"/>
      </rPr>
      <t xml:space="preserve"> </t>
    </r>
    <r>
      <rPr>
        <sz val="9"/>
        <rFont val="Arial"/>
        <family val="2"/>
      </rPr>
      <t>El préstamo será cancelado en dos (02) cuotas que vencerán el 15/04/2025 y 15/10/2025.</t>
    </r>
  </si>
  <si>
    <t>89/</t>
  </si>
  <si>
    <r>
      <rPr>
        <b/>
        <sz val="9"/>
        <color indexed="10"/>
        <rFont val="Arial"/>
        <family val="2"/>
      </rPr>
      <t>90/</t>
    </r>
    <r>
      <rPr>
        <b/>
        <sz val="9"/>
        <rFont val="Arial"/>
        <family val="2"/>
      </rPr>
      <t xml:space="preserve"> </t>
    </r>
    <r>
      <rPr>
        <sz val="9"/>
        <rFont val="Arial"/>
        <family val="2"/>
      </rPr>
      <t>La tasa aplicable para los primeros 16 pagos semestrales de intereses es tasa Libor a 6M+1,45% anual, aplicable por la CAF de acuerdo a su politica de operaciones.</t>
    </r>
  </si>
  <si>
    <r>
      <rPr>
        <b/>
        <sz val="9"/>
        <color indexed="10"/>
        <rFont val="Arial"/>
        <family val="2"/>
      </rPr>
      <t>91/</t>
    </r>
    <r>
      <rPr>
        <b/>
        <sz val="9"/>
        <rFont val="Arial"/>
        <family val="2"/>
      </rPr>
      <t xml:space="preserve"> </t>
    </r>
    <r>
      <rPr>
        <sz val="9"/>
        <rFont val="Arial"/>
        <family val="2"/>
      </rPr>
      <t>El préstamo será cancelado en una (01)) cuota que vencerá el 15/10/2027.</t>
    </r>
  </si>
  <si>
    <t>91/</t>
  </si>
  <si>
    <t>PCM/CONCYTEC</t>
  </si>
  <si>
    <t>MINAM/OEFA</t>
  </si>
  <si>
    <t>T.C. Del día de promulgación de la Norma Legal</t>
  </si>
  <si>
    <r>
      <t xml:space="preserve"> D.S. 021-2002-EF </t>
    </r>
    <r>
      <rPr>
        <b/>
        <sz val="10"/>
        <color indexed="10"/>
        <rFont val="Arial"/>
        <family val="2"/>
      </rPr>
      <t>11/</t>
    </r>
  </si>
  <si>
    <r>
      <t xml:space="preserve">LIB.6M+  </t>
    </r>
    <r>
      <rPr>
        <sz val="10"/>
        <color indexed="10"/>
        <rFont val="Arial"/>
        <family val="2"/>
      </rPr>
      <t xml:space="preserve"> </t>
    </r>
    <r>
      <rPr>
        <b/>
        <sz val="10"/>
        <color indexed="10"/>
        <rFont val="Arial"/>
        <family val="2"/>
      </rPr>
      <t>12/</t>
    </r>
  </si>
  <si>
    <r>
      <t xml:space="preserve">BID </t>
    </r>
    <r>
      <rPr>
        <b/>
        <sz val="10"/>
        <color indexed="10"/>
        <rFont val="Arial"/>
        <family val="2"/>
      </rPr>
      <t>13/</t>
    </r>
  </si>
  <si>
    <r>
      <t xml:space="preserve">LIB.6M+   </t>
    </r>
    <r>
      <rPr>
        <b/>
        <sz val="10"/>
        <color indexed="10"/>
        <rFont val="Arial"/>
        <family val="2"/>
      </rPr>
      <t>14/</t>
    </r>
  </si>
  <si>
    <r>
      <t xml:space="preserve">LIB.6M-   </t>
    </r>
    <r>
      <rPr>
        <b/>
        <sz val="10"/>
        <color indexed="10"/>
        <rFont val="Arial"/>
        <family val="2"/>
      </rPr>
      <t>14/</t>
    </r>
  </si>
  <si>
    <t xml:space="preserve">        15/</t>
  </si>
  <si>
    <r>
      <t xml:space="preserve">Lib.3 m+Marg BID </t>
    </r>
    <r>
      <rPr>
        <b/>
        <sz val="10"/>
        <rFont val="Arial"/>
        <family val="2"/>
      </rPr>
      <t>3/</t>
    </r>
  </si>
  <si>
    <r>
      <t>18</t>
    </r>
    <r>
      <rPr>
        <sz val="10"/>
        <color indexed="10"/>
        <rFont val="Arial"/>
        <family val="2"/>
      </rPr>
      <t>/</t>
    </r>
  </si>
  <si>
    <r>
      <t>19</t>
    </r>
    <r>
      <rPr>
        <sz val="10"/>
        <color indexed="10"/>
        <rFont val="Arial"/>
        <family val="2"/>
      </rPr>
      <t>/</t>
    </r>
  </si>
  <si>
    <r>
      <t xml:space="preserve">  28 años </t>
    </r>
    <r>
      <rPr>
        <b/>
        <sz val="10"/>
        <color indexed="10"/>
        <rFont val="Arial"/>
        <family val="2"/>
      </rPr>
      <t>15/</t>
    </r>
  </si>
  <si>
    <r>
      <t xml:space="preserve">Libor 6 meses+2.35% </t>
    </r>
    <r>
      <rPr>
        <b/>
        <sz val="10"/>
        <color indexed="10"/>
        <rFont val="Arial"/>
        <family val="2"/>
      </rPr>
      <t>52/</t>
    </r>
  </si>
  <si>
    <r>
      <t xml:space="preserve">Libor 6 m+2,1% </t>
    </r>
    <r>
      <rPr>
        <b/>
        <sz val="10"/>
        <color indexed="10"/>
        <rFont val="Arial"/>
        <family val="2"/>
      </rPr>
      <t>59/</t>
    </r>
  </si>
  <si>
    <r>
      <t>D.S. Nº 020-2012-EF</t>
    </r>
    <r>
      <rPr>
        <sz val="10"/>
        <color indexed="10"/>
        <rFont val="Arial"/>
        <family val="2"/>
      </rPr>
      <t xml:space="preserve"> </t>
    </r>
    <r>
      <rPr>
        <b/>
        <sz val="10"/>
        <color indexed="10"/>
        <rFont val="Arial"/>
        <family val="2"/>
      </rPr>
      <t>60/</t>
    </r>
  </si>
  <si>
    <r>
      <t xml:space="preserve">PNSR </t>
    </r>
    <r>
      <rPr>
        <b/>
        <sz val="10"/>
        <rFont val="Arial"/>
        <family val="2"/>
      </rPr>
      <t xml:space="preserve"> </t>
    </r>
    <r>
      <rPr>
        <sz val="10"/>
        <rFont val="Arial"/>
        <family val="2"/>
      </rPr>
      <t>-  MVCS</t>
    </r>
  </si>
  <si>
    <r>
      <t xml:space="preserve">Lobor 6 M+ 2,35% </t>
    </r>
    <r>
      <rPr>
        <b/>
        <sz val="10"/>
        <color indexed="10"/>
        <rFont val="Arial"/>
        <family val="2"/>
      </rPr>
      <t>73/</t>
    </r>
  </si>
  <si>
    <r>
      <t>Libor 6 M+ 2,55%</t>
    </r>
    <r>
      <rPr>
        <b/>
        <sz val="10"/>
        <rFont val="Arial"/>
        <family val="2"/>
      </rPr>
      <t xml:space="preserve"> </t>
    </r>
    <r>
      <rPr>
        <b/>
        <sz val="10"/>
        <color indexed="10"/>
        <rFont val="Arial"/>
        <family val="2"/>
      </rPr>
      <t>78/</t>
    </r>
  </si>
  <si>
    <r>
      <t>Libor 6 M+ 1.85%</t>
    </r>
    <r>
      <rPr>
        <b/>
        <sz val="10"/>
        <rFont val="Arial"/>
        <family val="2"/>
      </rPr>
      <t xml:space="preserve"> </t>
    </r>
    <r>
      <rPr>
        <b/>
        <sz val="10"/>
        <color indexed="10"/>
        <rFont val="Arial"/>
        <family val="2"/>
      </rPr>
      <t>81</t>
    </r>
    <r>
      <rPr>
        <sz val="10"/>
        <color indexed="10"/>
        <rFont val="Arial"/>
        <family val="2"/>
      </rPr>
      <t>/</t>
    </r>
  </si>
  <si>
    <r>
      <t xml:space="preserve">EURIBOR 6M+1,01 </t>
    </r>
    <r>
      <rPr>
        <b/>
        <sz val="10"/>
        <color indexed="10"/>
        <rFont val="Arial"/>
        <family val="2"/>
      </rPr>
      <t>85/</t>
    </r>
  </si>
  <si>
    <r>
      <t xml:space="preserve">Libor a 6M+ 1,95% </t>
    </r>
    <r>
      <rPr>
        <b/>
        <sz val="10"/>
        <color indexed="10"/>
        <rFont val="Arial"/>
        <family val="2"/>
      </rPr>
      <t>90/</t>
    </r>
  </si>
  <si>
    <r>
      <t xml:space="preserve">15/ </t>
    </r>
    <r>
      <rPr>
        <sz val="10"/>
        <color indexed="8"/>
        <rFont val="Arial"/>
        <family val="2"/>
      </rPr>
      <t>Pago Bullet</t>
    </r>
  </si>
  <si>
    <r>
      <t xml:space="preserve">16/ </t>
    </r>
    <r>
      <rPr>
        <sz val="10"/>
        <rFont val="Arial"/>
        <family val="2"/>
      </rPr>
      <t>La fecha de pago de la primera cuota de amortización será el 01.01.08, computado a partir de la fecha de en vigor  del Contrato de Préstamo (se estima sea el 11.10.04).</t>
    </r>
  </si>
  <si>
    <r>
      <t xml:space="preserve">17/ </t>
    </r>
    <r>
      <rPr>
        <sz val="10"/>
        <rFont val="Arial"/>
        <family val="2"/>
      </rPr>
      <t>Todo el principal se paga al final del periodo (10 años)</t>
    </r>
  </si>
  <si>
    <r>
      <t xml:space="preserve">18/ </t>
    </r>
    <r>
      <rPr>
        <sz val="10"/>
        <rFont val="Arial"/>
        <family val="2"/>
      </rPr>
      <t>Tasa de interés anual establecida por el BID</t>
    </r>
  </si>
  <si>
    <r>
      <t xml:space="preserve">19/ </t>
    </r>
    <r>
      <rPr>
        <sz val="10"/>
        <rFont val="Arial"/>
        <family val="2"/>
      </rPr>
      <t>Será reembolsado integramente con cargo al primer desembolso del préstamo a ser acordado con ell BID para financiar el proyecto "Programa de Apoyo del Sector Sanitario", hasta por US$ 50,0 millones</t>
    </r>
  </si>
  <si>
    <r>
      <t xml:space="preserve">23/ </t>
    </r>
    <r>
      <rPr>
        <sz val="10"/>
        <rFont val="Arial"/>
        <family val="2"/>
      </rPr>
      <t>Será cancelado en una sola cuota que vencerá el 15.02.2017</t>
    </r>
  </si>
  <si>
    <r>
      <t>2</t>
    </r>
    <r>
      <rPr>
        <b/>
        <sz val="10"/>
        <color indexed="10"/>
        <rFont val="Arial"/>
        <family val="2"/>
      </rPr>
      <t>6/</t>
    </r>
    <r>
      <rPr>
        <b/>
        <sz val="10"/>
        <rFont val="Arial"/>
        <family val="2"/>
      </rPr>
      <t xml:space="preserve"> </t>
    </r>
    <r>
      <rPr>
        <sz val="10"/>
        <rFont val="Arial"/>
        <family val="2"/>
      </rPr>
      <t>Tasa T.I.C.R.</t>
    </r>
    <r>
      <rPr>
        <sz val="10"/>
        <rFont val="Arial"/>
        <family val="2"/>
      </rPr>
      <t>( Tasa de Interés Comercial de Referencia)</t>
    </r>
  </si>
  <si>
    <r>
      <t>2</t>
    </r>
    <r>
      <rPr>
        <b/>
        <sz val="10"/>
        <color indexed="10"/>
        <rFont val="Arial"/>
        <family val="2"/>
      </rPr>
      <t>7/</t>
    </r>
    <r>
      <rPr>
        <b/>
        <sz val="10"/>
        <color indexed="8"/>
        <rFont val="Arial"/>
        <family val="2"/>
      </rPr>
      <t xml:space="preserve"> </t>
    </r>
    <r>
      <rPr>
        <sz val="10"/>
        <color indexed="8"/>
        <rFont val="Arial"/>
        <family val="2"/>
      </rPr>
      <t>Sujeto a una dispensa (Waiver) a ser determinada por el BIRF de tiempo en tiempo.</t>
    </r>
  </si>
  <si>
    <t>CONCERTACIONES DE DEUDA PUBLICA EXTERNA  1990-2017</t>
  </si>
  <si>
    <t>D.S. Nº 233-2017-EF</t>
  </si>
  <si>
    <t>D.S. Nº 236-2017-EF</t>
  </si>
  <si>
    <t>Proyecto "Gestión integrada de los recursos hídricos en diez cuencas"</t>
  </si>
  <si>
    <t>Proyecto "Mejoramiento de la Carretera Huánuco-Conococha, Sector: Huánuco - La Unión - Huallanca, Ruta PE - 3N".</t>
  </si>
  <si>
    <t>ANA</t>
  </si>
  <si>
    <t>MTC/Provías Nacional</t>
  </si>
  <si>
    <t>Libor 6M+ Margen Fijo BIRF</t>
  </si>
  <si>
    <r>
      <rPr>
        <b/>
        <sz val="9"/>
        <color indexed="10"/>
        <rFont val="Arial"/>
        <family val="2"/>
      </rPr>
      <t>92/</t>
    </r>
    <r>
      <rPr>
        <sz val="9"/>
        <rFont val="Arial"/>
        <family val="2"/>
      </rPr>
      <t>Cuotas semestrales que vencen el 15/10/2022, 15/04/2023, 15/10/2023, 15/04/2024.</t>
    </r>
  </si>
  <si>
    <r>
      <rPr>
        <b/>
        <sz val="9"/>
        <color indexed="10"/>
        <rFont val="Arial"/>
        <family val="2"/>
      </rPr>
      <t>93/</t>
    </r>
    <r>
      <rPr>
        <b/>
        <sz val="9"/>
        <rFont val="Arial"/>
        <family val="2"/>
      </rPr>
      <t xml:space="preserve"> </t>
    </r>
    <r>
      <rPr>
        <sz val="9"/>
        <rFont val="Arial"/>
        <family val="2"/>
      </rPr>
      <t>El préstamo será cancelado en una cuota que vencerá el 15/04/2027.</t>
    </r>
  </si>
  <si>
    <r>
      <rPr>
        <sz val="9"/>
        <rFont val="Arial"/>
        <family val="2"/>
      </rPr>
      <t xml:space="preserve"> 2 años</t>
    </r>
    <r>
      <rPr>
        <b/>
        <sz val="9"/>
        <color indexed="10"/>
        <rFont val="Arial"/>
        <family val="2"/>
      </rPr>
      <t xml:space="preserve"> 92/</t>
    </r>
  </si>
  <si>
    <t>93/</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</si>
</sst>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_);\(&quot;S/.&quot;\ #,##0\)"/>
    <numFmt numFmtId="173" formatCode="&quot;S/.&quot;\ #,##0_);[Red]\(&quot;S/.&quot;\ #,##0\)"/>
    <numFmt numFmtId="174" formatCode="&quot;S/.&quot;\ #,##0.00_);\(&quot;S/.&quot;\ #,##0.00\)"/>
    <numFmt numFmtId="175" formatCode="&quot;S/.&quot;\ #,##0.00_);[Red]\(&quot;S/.&quot;\ #,##0.00\)"/>
    <numFmt numFmtId="176" formatCode="_(&quot;S/.&quot;\ * #,##0_);_(&quot;S/.&quot;\ * \(#,##0\);_(&quot;S/.&quot;\ * &quot;-&quot;_);_(@_)"/>
    <numFmt numFmtId="177" formatCode="_(* #,##0_);_(* \(#,##0\);_(* &quot;-&quot;_);_(@_)"/>
    <numFmt numFmtId="178" formatCode="_(&quot;S/.&quot;\ * #,##0.00_);_(&quot;S/.&quot;\ * \(#,##0.00\);_(&quot;S/.&quot;\ *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Pts&quot;;\-#,##0\ &quot;Pts&quot;"/>
    <numFmt numFmtId="195" formatCode="#,##0\ &quot;Pts&quot;;[Red]\-#,##0\ &quot;Pts&quot;"/>
    <numFmt numFmtId="196" formatCode="#,##0.00\ &quot;Pts&quot;;\-#,##0.00\ &quot;Pts&quot;"/>
    <numFmt numFmtId="197" formatCode="#,##0.00\ &quot;Pts&quot;;[Red]\-#,##0.00\ &quot;Pts&quot;"/>
    <numFmt numFmtId="198" formatCode="_-* #,##0\ &quot;Pts&quot;_-;\-* #,##0\ &quot;Pts&quot;_-;_-* &quot;-&quot;\ &quot;Pts&quot;_-;_-@_-"/>
    <numFmt numFmtId="199" formatCode="_-* #,##0\ _P_t_s_-;\-* #,##0\ _P_t_s_-;_-* &quot;-&quot;\ _P_t_s_-;_-@_-"/>
    <numFmt numFmtId="200" formatCode="_-* #,##0.00\ &quot;Pts&quot;_-;\-* #,##0.00\ &quot;Pts&quot;_-;_-* &quot;-&quot;??\ &quot;Pts&quot;_-;_-@_-"/>
    <numFmt numFmtId="201" formatCode="_-* #,##0.00\ _P_t_s_-;\-* #,##0.00\ _P_t_s_-;_-* &quot;-&quot;??\ _P_t_s_-;_-@_-"/>
    <numFmt numFmtId="202" formatCode="_-* #,##0\ _P_t_a_-;\-* #,##0\ _P_t_a_-;_-* &quot;-&quot;\ _P_t_a_-;_-@_-"/>
    <numFmt numFmtId="203" formatCode="_-* #,##0.00\ _P_t_a_-;\-* #,##0.00\ _P_t_a_-;_-* &quot;-&quot;??\ _P_t_a_-;_-@_-"/>
    <numFmt numFmtId="204" formatCode="&quot;$&quot;\ #,##0_);\(&quot;$&quot;\ #,##0\)"/>
    <numFmt numFmtId="205" formatCode="&quot;$&quot;\ #,##0_);[Red]\(&quot;$&quot;\ #,##0\)"/>
    <numFmt numFmtId="206" formatCode="&quot;$&quot;\ #,##0.00_);\(&quot;$&quot;\ #,##0.00\)"/>
    <numFmt numFmtId="207" formatCode="&quot;$&quot;\ #,##0.00_);[Red]\(&quot;$&quot;\ #,##0.00\)"/>
    <numFmt numFmtId="208" formatCode="_(&quot;$&quot;\ * #,##0_);_(&quot;$&quot;\ * \(#,##0\);_(&quot;$&quot;\ * &quot;-&quot;_);_(@_)"/>
    <numFmt numFmtId="209" formatCode="_(&quot;$&quot;\ * #,##0.00_);_(&quot;$&quot;\ * \(#,##0.00\);_(&quot;$&quot;\ * &quot;-&quot;??_);_(@_)"/>
    <numFmt numFmtId="210" formatCode="dd\-mmm\-yy_)"/>
    <numFmt numFmtId="211" formatCode="_(* #,##0_);_(* \(#,##0\);_(* &quot;-&quot;??_);_(@_)"/>
    <numFmt numFmtId="212" formatCode="#,##0.0"/>
    <numFmt numFmtId="213" formatCode="d\-mmm\-yyyy"/>
    <numFmt numFmtId="214" formatCode="#,##0.000000"/>
    <numFmt numFmtId="215" formatCode="_ * #,##0_ ;_ * \-#,##0_ ;_ * &quot;-&quot;??_ ;_ @_ "/>
    <numFmt numFmtId="216" formatCode="#,##0.000"/>
    <numFmt numFmtId="217" formatCode="#,##0.0000"/>
    <numFmt numFmtId="218" formatCode="0.000%"/>
    <numFmt numFmtId="219" formatCode="0.0%"/>
    <numFmt numFmtId="220" formatCode="&quot;Sí&quot;;&quot;Sí&quot;;&quot;No&quot;"/>
    <numFmt numFmtId="221" formatCode="&quot;Verdadero&quot;;&quot;Verdadero&quot;;&quot;Falso&quot;"/>
    <numFmt numFmtId="222" formatCode="&quot;Activado&quot;;&quot;Activado&quot;;&quot;Desactivado&quot;"/>
    <numFmt numFmtId="223" formatCode="0.000000"/>
    <numFmt numFmtId="224" formatCode="[$-C0A]d\-mmm\-yyyy;@"/>
    <numFmt numFmtId="225" formatCode="[$€-2]\ #,##0.00_);[Red]\([$€-2]\ #,##0.00\)"/>
  </numFmts>
  <fonts count="65">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b/>
      <u val="single"/>
      <sz val="10"/>
      <name val="Arial"/>
      <family val="2"/>
    </font>
    <font>
      <b/>
      <sz val="14"/>
      <name val="Arial"/>
      <family val="2"/>
    </font>
    <font>
      <sz val="10"/>
      <color indexed="12"/>
      <name val="Arial"/>
      <family val="2"/>
    </font>
    <font>
      <sz val="9"/>
      <name val="Arial"/>
      <family val="2"/>
    </font>
    <font>
      <b/>
      <u val="single"/>
      <sz val="10"/>
      <color indexed="12"/>
      <name val="Arial"/>
      <family val="2"/>
    </font>
    <font>
      <b/>
      <u val="single"/>
      <sz val="12"/>
      <color indexed="12"/>
      <name val="Arial"/>
      <family val="2"/>
    </font>
    <font>
      <b/>
      <sz val="10"/>
      <color indexed="12"/>
      <name val="Arial"/>
      <family val="2"/>
    </font>
    <font>
      <b/>
      <u val="single"/>
      <sz val="14"/>
      <color indexed="12"/>
      <name val="Arial"/>
      <family val="2"/>
    </font>
    <font>
      <b/>
      <u val="single"/>
      <sz val="14"/>
      <name val="Arial"/>
      <family val="2"/>
    </font>
    <font>
      <b/>
      <sz val="11"/>
      <name val="Arial"/>
      <family val="2"/>
    </font>
    <font>
      <b/>
      <sz val="10"/>
      <color indexed="10"/>
      <name val="Arial"/>
      <family val="2"/>
    </font>
    <font>
      <b/>
      <sz val="10"/>
      <color indexed="20"/>
      <name val="Arial"/>
      <family val="2"/>
    </font>
    <font>
      <sz val="10"/>
      <color indexed="8"/>
      <name val="Arial"/>
      <family val="2"/>
    </font>
    <font>
      <sz val="10"/>
      <color indexed="10"/>
      <name val="Arial"/>
      <family val="2"/>
    </font>
    <font>
      <b/>
      <sz val="9"/>
      <color indexed="10"/>
      <name val="Arial"/>
      <family val="2"/>
    </font>
    <font>
      <sz val="9"/>
      <color indexed="10"/>
      <name val="Arial"/>
      <family val="2"/>
    </font>
    <font>
      <u val="single"/>
      <sz val="10"/>
      <color indexed="12"/>
      <name val="Arial"/>
      <family val="2"/>
    </font>
    <font>
      <u val="single"/>
      <sz val="10"/>
      <color indexed="36"/>
      <name val="Arial"/>
      <family val="2"/>
    </font>
    <font>
      <b/>
      <sz val="9"/>
      <name val="Arial"/>
      <family val="2"/>
    </font>
    <font>
      <b/>
      <u val="single"/>
      <sz val="11"/>
      <color indexed="12"/>
      <name val="Arial"/>
      <family val="2"/>
    </font>
    <font>
      <b/>
      <sz val="10"/>
      <color indexed="8"/>
      <name val="Arial"/>
      <family val="2"/>
    </font>
    <font>
      <u val="single"/>
      <sz val="10"/>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FF0000"/>
      <name val="Arial"/>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double"/>
      <top>
        <color indexed="63"/>
      </top>
      <bottom style="double"/>
    </border>
    <border>
      <left style="medium"/>
      <right>
        <color indexed="63"/>
      </right>
      <top>
        <color indexed="63"/>
      </top>
      <bottom>
        <color indexed="63"/>
      </bottom>
    </border>
    <border>
      <left style="double"/>
      <right style="thin"/>
      <top style="double"/>
      <bottom>
        <color indexed="63"/>
      </bottom>
    </border>
    <border>
      <left style="double"/>
      <right style="thin"/>
      <top>
        <color indexed="63"/>
      </top>
      <bottom style="double"/>
    </border>
    <border>
      <left style="medium"/>
      <right>
        <color indexed="63"/>
      </right>
      <top>
        <color indexed="63"/>
      </top>
      <bottom style="double"/>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border>
    <border>
      <left style="double">
        <color indexed="8"/>
      </left>
      <right style="double"/>
      <top style="double">
        <color indexed="8"/>
      </top>
      <bottom>
        <color indexed="63"/>
      </bottom>
    </border>
    <border>
      <left style="double">
        <color indexed="8"/>
      </left>
      <right style="double"/>
      <top>
        <color indexed="63"/>
      </top>
      <bottom>
        <color indexed="63"/>
      </bottom>
    </border>
    <border>
      <left style="double">
        <color indexed="8"/>
      </left>
      <right style="double"/>
      <top>
        <color indexed="63"/>
      </top>
      <bottom style="double"/>
    </border>
    <border>
      <left style="double"/>
      <right style="double"/>
      <top style="double">
        <color indexed="8"/>
      </top>
      <bottom>
        <color indexed="63"/>
      </bottom>
    </border>
    <border>
      <left/>
      <right/>
      <top style="thin">
        <color theme="0" tint="-0.149959996342659"/>
      </top>
      <bottom style="thin">
        <color theme="0" tint="-0.24993999302387238"/>
      </bottom>
    </border>
    <border>
      <left style="double"/>
      <right style="double"/>
      <top style="thin">
        <color theme="0" tint="-0.24993999302387238"/>
      </top>
      <bottom style="thin">
        <color theme="0" tint="-0.24993999302387238"/>
      </bottom>
    </border>
    <border>
      <left style="double"/>
      <right style="double"/>
      <top style="thin">
        <color theme="0" tint="-0.24993999302387238"/>
      </top>
      <bottom style="double"/>
    </border>
    <border>
      <left/>
      <right style="double"/>
      <top style="thin">
        <color theme="0" tint="-0.24993999302387238"/>
      </top>
      <bottom style="thin">
        <color theme="0" tint="-0.24993999302387238"/>
      </bottom>
    </border>
    <border>
      <left/>
      <right style="double"/>
      <top style="thin">
        <color theme="0" tint="-0.24993999302387238"/>
      </top>
      <bottom style="double"/>
    </border>
    <border>
      <left/>
      <right/>
      <top style="thin">
        <color theme="0" tint="-0.149959996342659"/>
      </top>
      <bottom style="double"/>
    </border>
    <border>
      <left/>
      <right/>
      <top style="thin">
        <color theme="0" tint="-0.24993999302387238"/>
      </top>
      <bottom style="thin">
        <color theme="0" tint="-0.24993999302387238"/>
      </bottom>
    </border>
    <border>
      <left>
        <color indexed="63"/>
      </left>
      <right style="double"/>
      <top style="thin">
        <color theme="0" tint="-0.149959996342659"/>
      </top>
      <bottom style="thin">
        <color theme="0" tint="-0.24993999302387238"/>
      </bottom>
    </border>
    <border>
      <left style="double"/>
      <right style="double"/>
      <top style="thin">
        <color theme="0" tint="-0.149959996342659"/>
      </top>
      <bottom style="thin">
        <color theme="0" tint="-0.149959996342659"/>
      </bottom>
    </border>
    <border>
      <left style="double"/>
      <right style="double"/>
      <top style="thin">
        <color theme="0" tint="-0.149959996342659"/>
      </top>
      <bottom style="thin">
        <color theme="0" tint="-0.24993999302387238"/>
      </bottom>
    </border>
    <border>
      <left/>
      <right/>
      <top style="thin">
        <color theme="0" tint="-0.149959996342659"/>
      </top>
      <bottom style="thin">
        <color theme="0" tint="-0.149959996342659"/>
      </bottom>
    </border>
    <border>
      <left style="double"/>
      <right/>
      <top style="thin">
        <color theme="0" tint="-0.24993999302387238"/>
      </top>
      <bottom style="thin">
        <color theme="0" tint="-0.24993999302387238"/>
      </bottom>
    </border>
    <border>
      <left style="double"/>
      <right/>
      <top style="thin">
        <color theme="0" tint="-0.149959996342659"/>
      </top>
      <bottom style="thin">
        <color theme="0" tint="-0.24993999302387238"/>
      </bottom>
    </border>
    <border>
      <left style="double"/>
      <right style="double"/>
      <top style="thin">
        <color theme="0" tint="-0.24993999302387238"/>
      </top>
      <bottom>
        <color indexed="63"/>
      </bottom>
    </border>
    <border>
      <left/>
      <right/>
      <top style="thin">
        <color theme="0" tint="-0.24993999302387238"/>
      </top>
      <bottom>
        <color indexed="63"/>
      </bottom>
    </border>
    <border>
      <left/>
      <right/>
      <top style="thin">
        <color theme="0" tint="-0.149959996342659"/>
      </top>
      <bottom>
        <color indexed="63"/>
      </bottom>
    </border>
    <border>
      <left style="double"/>
      <right style="double"/>
      <top>
        <color indexed="63"/>
      </top>
      <bottom style="thin">
        <color theme="0" tint="-0.24993999302387238"/>
      </bottom>
    </border>
    <border>
      <left>
        <color indexed="63"/>
      </left>
      <right style="double"/>
      <top style="thin">
        <color theme="0" tint="-0.149959996342659"/>
      </top>
      <bottom>
        <color indexed="63"/>
      </bottom>
    </border>
    <border>
      <left style="double"/>
      <right/>
      <top style="thin">
        <color theme="0" tint="-0.149959996342659"/>
      </top>
      <bottom style="thin">
        <color theme="0" tint="-0.149959996342659"/>
      </bottom>
    </border>
    <border>
      <left>
        <color indexed="63"/>
      </left>
      <right style="double"/>
      <top style="thin">
        <color theme="0" tint="-0.149959996342659"/>
      </top>
      <bottom style="thin">
        <color theme="0" tint="-0.149959996342659"/>
      </bottom>
    </border>
    <border>
      <left style="double"/>
      <right style="double"/>
      <top/>
      <bottom style="thin">
        <color theme="0" tint="-0.149959996342659"/>
      </bottom>
    </border>
    <border>
      <left/>
      <right/>
      <top/>
      <bottom style="thin">
        <color theme="0" tint="-0.149959996342659"/>
      </bottom>
    </border>
    <border>
      <left style="double"/>
      <right>
        <color indexed="63"/>
      </right>
      <top/>
      <bottom style="thin">
        <color theme="0" tint="-0.149959996342659"/>
      </bottom>
    </border>
    <border>
      <left style="double"/>
      <right/>
      <top style="thin">
        <color theme="0" tint="-0.24993999302387238"/>
      </top>
      <bottom style="double"/>
    </border>
    <border>
      <left style="double"/>
      <right/>
      <top style="thin">
        <color theme="0" tint="-0.149959996342659"/>
      </top>
      <bottom style="double"/>
    </border>
    <border>
      <left/>
      <right/>
      <top style="thin">
        <color theme="0" tint="-0.24993999302387238"/>
      </top>
      <bottom style="double"/>
    </border>
    <border>
      <left style="double"/>
      <right/>
      <top style="thin">
        <color theme="0" tint="-0.149959996342659"/>
      </top>
      <bottom style="thin">
        <color theme="0" tint="-0.14993000030517578"/>
      </bottom>
    </border>
    <border>
      <left style="double"/>
      <right>
        <color indexed="63"/>
      </right>
      <top style="thin">
        <color theme="0" tint="-0.149959996342659"/>
      </top>
      <bottom>
        <color indexed="63"/>
      </bottom>
    </border>
    <border>
      <left>
        <color indexed="63"/>
      </left>
      <right style="double"/>
      <top style="thin">
        <color theme="0" tint="-0.149959996342659"/>
      </top>
      <bottom style="double"/>
    </border>
    <border>
      <left style="double"/>
      <right/>
      <top style="thin">
        <color theme="0" tint="-0.24993999302387238"/>
      </top>
      <bottom>
        <color indexed="63"/>
      </bottom>
    </border>
    <border>
      <left/>
      <right style="double"/>
      <top style="thin">
        <color theme="0" tint="-0.24993999302387238"/>
      </top>
      <bottom>
        <color indexed="63"/>
      </bottom>
    </border>
    <border>
      <left style="double"/>
      <right>
        <color indexed="63"/>
      </right>
      <top>
        <color indexed="63"/>
      </top>
      <bottom style="thin"/>
    </border>
    <border>
      <left style="double"/>
      <right style="double"/>
      <top>
        <color indexed="63"/>
      </top>
      <bottom style="thin"/>
    </border>
    <border>
      <left>
        <color indexed="63"/>
      </left>
      <right>
        <color indexed="63"/>
      </right>
      <top>
        <color indexed="63"/>
      </top>
      <bottom style="thin"/>
    </border>
    <border>
      <left>
        <color indexed="63"/>
      </left>
      <right style="double"/>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820">
    <xf numFmtId="0" fontId="0" fillId="0" borderId="0" xfId="0" applyAlignment="1">
      <alignment/>
    </xf>
    <xf numFmtId="0" fontId="4" fillId="0" borderId="0" xfId="0" applyFont="1" applyAlignment="1">
      <alignment horizontal="centerContinuous"/>
    </xf>
    <xf numFmtId="0" fontId="5" fillId="0" borderId="0" xfId="0" applyFont="1" applyAlignment="1">
      <alignment/>
    </xf>
    <xf numFmtId="0" fontId="0" fillId="0" borderId="10" xfId="0" applyBorder="1" applyAlignment="1" applyProtection="1">
      <alignment horizontal="left"/>
      <protection/>
    </xf>
    <xf numFmtId="0" fontId="0" fillId="0" borderId="10" xfId="0" applyBorder="1" applyAlignment="1">
      <alignment/>
    </xf>
    <xf numFmtId="0" fontId="0" fillId="0" borderId="10" xfId="0" applyBorder="1" applyAlignment="1" applyProtection="1">
      <alignment horizontal="center"/>
      <protection/>
    </xf>
    <xf numFmtId="0" fontId="0" fillId="0" borderId="0" xfId="0" applyBorder="1" applyAlignment="1" applyProtection="1">
      <alignment horizontal="left"/>
      <protection/>
    </xf>
    <xf numFmtId="0" fontId="0" fillId="0" borderId="0" xfId="0" applyBorder="1" applyAlignment="1">
      <alignment horizontal="left"/>
    </xf>
    <xf numFmtId="0" fontId="0" fillId="0" borderId="0" xfId="0" applyBorder="1" applyAlignment="1">
      <alignment/>
    </xf>
    <xf numFmtId="0" fontId="0" fillId="0" borderId="0" xfId="0" applyBorder="1" applyAlignment="1" applyProtection="1">
      <alignment horizontal="center"/>
      <protection/>
    </xf>
    <xf numFmtId="0" fontId="0" fillId="0" borderId="10" xfId="0" applyBorder="1" applyAlignment="1" applyProtection="1">
      <alignment/>
      <protection/>
    </xf>
    <xf numFmtId="0" fontId="0" fillId="0" borderId="0" xfId="0" applyBorder="1" applyAlignment="1" applyProtection="1">
      <alignment/>
      <protection/>
    </xf>
    <xf numFmtId="15" fontId="0" fillId="0" borderId="0" xfId="0" applyNumberFormat="1" applyAlignment="1">
      <alignment/>
    </xf>
    <xf numFmtId="3" fontId="0" fillId="0" borderId="0" xfId="0" applyNumberFormat="1" applyAlignment="1">
      <alignment/>
    </xf>
    <xf numFmtId="0" fontId="0" fillId="0" borderId="10" xfId="0" applyBorder="1" applyAlignment="1">
      <alignment/>
    </xf>
    <xf numFmtId="0" fontId="0" fillId="0" borderId="0" xfId="0" applyAlignment="1">
      <alignment horizontal="center"/>
    </xf>
    <xf numFmtId="0" fontId="0" fillId="0" borderId="10" xfId="0" applyBorder="1" applyAlignment="1">
      <alignment horizontal="center"/>
    </xf>
    <xf numFmtId="2" fontId="0" fillId="0" borderId="0" xfId="0" applyNumberFormat="1" applyAlignment="1">
      <alignment/>
    </xf>
    <xf numFmtId="0" fontId="0" fillId="0" borderId="11"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3" fontId="0" fillId="0" borderId="0" xfId="0" applyNumberFormat="1" applyFont="1" applyBorder="1" applyAlignment="1">
      <alignment/>
    </xf>
    <xf numFmtId="0" fontId="0" fillId="0" borderId="0" xfId="0" applyFont="1" applyBorder="1" applyAlignment="1" quotePrefix="1">
      <alignment/>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0" fillId="0" borderId="11" xfId="0" applyBorder="1" applyAlignment="1">
      <alignment/>
    </xf>
    <xf numFmtId="0" fontId="0" fillId="0" borderId="12" xfId="0" applyBorder="1" applyAlignment="1">
      <alignment/>
    </xf>
    <xf numFmtId="3" fontId="0" fillId="0" borderId="0" xfId="0" applyNumberFormat="1" applyBorder="1" applyAlignment="1" applyProtection="1">
      <alignment/>
      <protection/>
    </xf>
    <xf numFmtId="3" fontId="0" fillId="0" borderId="10" xfId="0" applyNumberFormat="1" applyBorder="1" applyAlignment="1" applyProtection="1">
      <alignment/>
      <protection/>
    </xf>
    <xf numFmtId="3" fontId="0" fillId="0" borderId="10" xfId="0" applyNumberFormat="1" applyBorder="1" applyAlignment="1">
      <alignment/>
    </xf>
    <xf numFmtId="0" fontId="0" fillId="0" borderId="13" xfId="0" applyBorder="1" applyAlignment="1">
      <alignment/>
    </xf>
    <xf numFmtId="3" fontId="0" fillId="0" borderId="0" xfId="0" applyNumberFormat="1" applyBorder="1" applyAlignment="1">
      <alignment/>
    </xf>
    <xf numFmtId="3" fontId="0" fillId="0" borderId="0" xfId="49" applyNumberFormat="1" applyFont="1" applyBorder="1" applyAlignment="1">
      <alignment/>
    </xf>
    <xf numFmtId="0" fontId="0" fillId="0" borderId="0" xfId="0" applyBorder="1" applyAlignment="1">
      <alignment/>
    </xf>
    <xf numFmtId="0" fontId="0" fillId="0" borderId="0" xfId="0" applyBorder="1" applyAlignment="1">
      <alignment horizontal="center"/>
    </xf>
    <xf numFmtId="0" fontId="0" fillId="0" borderId="10" xfId="0" applyFont="1" applyBorder="1" applyAlignment="1">
      <alignment/>
    </xf>
    <xf numFmtId="0" fontId="0" fillId="0" borderId="10" xfId="0" applyFont="1" applyBorder="1" applyAlignment="1">
      <alignment horizontal="center"/>
    </xf>
    <xf numFmtId="3" fontId="0" fillId="0" borderId="10" xfId="0" applyNumberFormat="1" applyFont="1" applyBorder="1" applyAlignment="1">
      <alignment/>
    </xf>
    <xf numFmtId="3" fontId="0" fillId="0" borderId="13" xfId="0" applyNumberFormat="1" applyBorder="1" applyAlignment="1" applyProtection="1">
      <alignment/>
      <protection/>
    </xf>
    <xf numFmtId="3" fontId="0" fillId="0" borderId="13" xfId="0" applyNumberFormat="1" applyBorder="1" applyAlignment="1">
      <alignment/>
    </xf>
    <xf numFmtId="3" fontId="0" fillId="0" borderId="13" xfId="0" applyNumberFormat="1" applyFont="1" applyBorder="1" applyAlignment="1">
      <alignment/>
    </xf>
    <xf numFmtId="3" fontId="0" fillId="0" borderId="13" xfId="49" applyNumberFormat="1" applyFont="1" applyBorder="1" applyAlignment="1">
      <alignment/>
    </xf>
    <xf numFmtId="0" fontId="0" fillId="0" borderId="0" xfId="0" applyFont="1" applyFill="1" applyBorder="1" applyAlignment="1">
      <alignment/>
    </xf>
    <xf numFmtId="0" fontId="9" fillId="0" borderId="0" xfId="0" applyFont="1" applyBorder="1" applyAlignment="1">
      <alignment horizontal="center"/>
    </xf>
    <xf numFmtId="0" fontId="9" fillId="0" borderId="0" xfId="0" applyFont="1" applyBorder="1" applyAlignment="1">
      <alignment horizontal="left"/>
    </xf>
    <xf numFmtId="3" fontId="9" fillId="0" borderId="0" xfId="0" applyNumberFormat="1" applyFont="1" applyBorder="1" applyAlignment="1">
      <alignment/>
    </xf>
    <xf numFmtId="212" fontId="9" fillId="0" borderId="0" xfId="0" applyNumberFormat="1" applyFont="1" applyBorder="1" applyAlignment="1">
      <alignment horizontal="center"/>
    </xf>
    <xf numFmtId="3" fontId="0" fillId="0" borderId="0" xfId="0" applyNumberFormat="1" applyFont="1" applyBorder="1" applyAlignment="1" applyProtection="1">
      <alignment/>
      <protection/>
    </xf>
    <xf numFmtId="37" fontId="0" fillId="0" borderId="0" xfId="0" applyNumberFormat="1" applyBorder="1" applyAlignment="1" applyProtection="1">
      <alignment horizontal="left"/>
      <protection/>
    </xf>
    <xf numFmtId="3" fontId="0" fillId="0" borderId="0" xfId="0" applyNumberFormat="1" applyBorder="1" applyAlignment="1">
      <alignment horizontal="center"/>
    </xf>
    <xf numFmtId="0" fontId="4" fillId="0" borderId="0" xfId="0" applyFont="1" applyAlignment="1">
      <alignment horizontal="center"/>
    </xf>
    <xf numFmtId="0" fontId="0" fillId="0" borderId="0" xfId="0" applyBorder="1" applyAlignment="1" applyProtection="1" quotePrefix="1">
      <alignment horizontal="center"/>
      <protection/>
    </xf>
    <xf numFmtId="0" fontId="0" fillId="0" borderId="0" xfId="0" applyFont="1" applyBorder="1" applyAlignment="1" quotePrefix="1">
      <alignment horizontal="center"/>
    </xf>
    <xf numFmtId="0" fontId="0" fillId="0" borderId="0" xfId="0" applyBorder="1" applyAlignment="1" quotePrefix="1">
      <alignment horizontal="center"/>
    </xf>
    <xf numFmtId="15" fontId="4" fillId="0" borderId="0" xfId="0" applyNumberFormat="1" applyFont="1" applyAlignment="1">
      <alignment horizontal="centerContinuous"/>
    </xf>
    <xf numFmtId="3" fontId="0" fillId="0" borderId="14" xfId="0" applyNumberFormat="1" applyBorder="1" applyAlignment="1" applyProtection="1">
      <alignment/>
      <protection/>
    </xf>
    <xf numFmtId="3" fontId="0" fillId="0" borderId="14" xfId="0" applyNumberFormat="1" applyFont="1" applyBorder="1" applyAlignment="1">
      <alignment/>
    </xf>
    <xf numFmtId="3" fontId="9" fillId="0" borderId="13" xfId="0" applyNumberFormat="1" applyFont="1" applyBorder="1" applyAlignment="1">
      <alignment/>
    </xf>
    <xf numFmtId="0" fontId="0" fillId="0" borderId="13" xfId="0" applyFont="1" applyBorder="1" applyAlignment="1">
      <alignment/>
    </xf>
    <xf numFmtId="0" fontId="0" fillId="0" borderId="15" xfId="0" applyBorder="1" applyAlignment="1">
      <alignment/>
    </xf>
    <xf numFmtId="15" fontId="0" fillId="0" borderId="15" xfId="0" applyNumberFormat="1" applyBorder="1" applyAlignment="1">
      <alignment/>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xf>
    <xf numFmtId="0" fontId="0" fillId="0" borderId="18" xfId="0" applyBorder="1" applyAlignment="1">
      <alignment/>
    </xf>
    <xf numFmtId="0" fontId="0" fillId="0" borderId="11" xfId="0" applyFont="1" applyBorder="1" applyAlignment="1">
      <alignment horizontal="center"/>
    </xf>
    <xf numFmtId="0" fontId="0" fillId="0" borderId="12" xfId="0" applyFont="1" applyBorder="1" applyAlignment="1">
      <alignment/>
    </xf>
    <xf numFmtId="210" fontId="0" fillId="0" borderId="13" xfId="0" applyNumberFormat="1" applyBorder="1" applyAlignment="1" applyProtection="1">
      <alignment/>
      <protection/>
    </xf>
    <xf numFmtId="210" fontId="0" fillId="0" borderId="14" xfId="0" applyNumberFormat="1" applyBorder="1" applyAlignment="1" applyProtection="1">
      <alignment/>
      <protection/>
    </xf>
    <xf numFmtId="0" fontId="0" fillId="0" borderId="13" xfId="0" applyBorder="1" applyAlignment="1" applyProtection="1">
      <alignment horizontal="center"/>
      <protection/>
    </xf>
    <xf numFmtId="210" fontId="0" fillId="0" borderId="13" xfId="0" applyNumberFormat="1" applyBorder="1" applyAlignment="1" applyProtection="1">
      <alignment horizontal="center"/>
      <protection/>
    </xf>
    <xf numFmtId="15" fontId="0" fillId="0" borderId="13" xfId="0" applyNumberFormat="1" applyBorder="1" applyAlignment="1">
      <alignment/>
    </xf>
    <xf numFmtId="15" fontId="0" fillId="0" borderId="13" xfId="0" applyNumberFormat="1" applyBorder="1" applyAlignment="1" applyProtection="1">
      <alignment horizontal="center"/>
      <protection/>
    </xf>
    <xf numFmtId="210" fontId="0" fillId="0" borderId="14" xfId="0" applyNumberFormat="1" applyBorder="1" applyAlignment="1" applyProtection="1">
      <alignment horizontal="center"/>
      <protection/>
    </xf>
    <xf numFmtId="0" fontId="0" fillId="0" borderId="14" xfId="0" applyBorder="1" applyAlignment="1">
      <alignment/>
    </xf>
    <xf numFmtId="0" fontId="0" fillId="0" borderId="13" xfId="0" applyBorder="1" applyAlignment="1" applyProtection="1">
      <alignment horizontal="left"/>
      <protection/>
    </xf>
    <xf numFmtId="0" fontId="0" fillId="0" borderId="14" xfId="0" applyBorder="1" applyAlignment="1" applyProtection="1">
      <alignment horizontal="left"/>
      <protection/>
    </xf>
    <xf numFmtId="37" fontId="0" fillId="0" borderId="11" xfId="0" applyNumberFormat="1" applyBorder="1" applyAlignment="1" applyProtection="1">
      <alignment horizontal="left"/>
      <protection/>
    </xf>
    <xf numFmtId="0" fontId="0" fillId="0" borderId="13" xfId="0" applyFont="1" applyBorder="1" applyAlignment="1">
      <alignment horizontal="center"/>
    </xf>
    <xf numFmtId="0" fontId="0" fillId="0" borderId="14" xfId="0" applyFont="1" applyBorder="1" applyAlignment="1">
      <alignment horizontal="center"/>
    </xf>
    <xf numFmtId="0" fontId="9" fillId="0" borderId="13"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0" xfId="0" applyBorder="1" applyAlignment="1" applyProtection="1">
      <alignment horizontal="left"/>
      <protection/>
    </xf>
    <xf numFmtId="0" fontId="0" fillId="0" borderId="21" xfId="0" applyBorder="1" applyAlignment="1" applyProtection="1">
      <alignment horizontal="left"/>
      <protection/>
    </xf>
    <xf numFmtId="0" fontId="0" fillId="0" borderId="21" xfId="0" applyBorder="1" applyAlignment="1">
      <alignment/>
    </xf>
    <xf numFmtId="0" fontId="0" fillId="0" borderId="20" xfId="0" applyFont="1"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18" fontId="0" fillId="0" borderId="13" xfId="0" applyNumberFormat="1" applyBorder="1" applyAlignment="1" applyProtection="1">
      <alignment horizontal="center"/>
      <protection/>
    </xf>
    <xf numFmtId="0" fontId="0" fillId="0" borderId="14" xfId="0" applyBorder="1" applyAlignment="1" applyProtection="1">
      <alignment horizontal="center"/>
      <protection/>
    </xf>
    <xf numFmtId="0" fontId="0" fillId="0" borderId="14" xfId="0" applyBorder="1" applyAlignment="1">
      <alignment horizontal="center"/>
    </xf>
    <xf numFmtId="3" fontId="11" fillId="0" borderId="13" xfId="0" applyNumberFormat="1" applyFont="1" applyBorder="1" applyAlignment="1" applyProtection="1">
      <alignment/>
      <protection/>
    </xf>
    <xf numFmtId="0" fontId="12" fillId="0" borderId="0" xfId="0" applyFont="1" applyAlignment="1">
      <alignment/>
    </xf>
    <xf numFmtId="0" fontId="12" fillId="0" borderId="0" xfId="0" applyFont="1" applyBorder="1" applyAlignment="1">
      <alignment horizontal="left"/>
    </xf>
    <xf numFmtId="0" fontId="12" fillId="0" borderId="0" xfId="0" applyFont="1" applyBorder="1" applyAlignment="1" applyProtection="1">
      <alignment horizontal="left"/>
      <protection/>
    </xf>
    <xf numFmtId="210" fontId="12" fillId="0" borderId="13" xfId="0" applyNumberFormat="1" applyFont="1" applyBorder="1" applyAlignment="1" applyProtection="1">
      <alignment/>
      <protection/>
    </xf>
    <xf numFmtId="0" fontId="12" fillId="0" borderId="0" xfId="0" applyFont="1" applyBorder="1" applyAlignment="1">
      <alignment/>
    </xf>
    <xf numFmtId="0" fontId="12" fillId="0" borderId="11" xfId="0" applyFont="1" applyBorder="1" applyAlignment="1" applyProtection="1">
      <alignment horizontal="left"/>
      <protection/>
    </xf>
    <xf numFmtId="0" fontId="12" fillId="0" borderId="13" xfId="0" applyFont="1" applyBorder="1" applyAlignment="1" applyProtection="1">
      <alignment horizontal="left"/>
      <protection/>
    </xf>
    <xf numFmtId="0" fontId="12" fillId="0" borderId="20" xfId="0" applyFont="1" applyBorder="1" applyAlignment="1" applyProtection="1">
      <alignment horizontal="left"/>
      <protection/>
    </xf>
    <xf numFmtId="0" fontId="12" fillId="0" borderId="0" xfId="0" applyFont="1" applyBorder="1" applyAlignment="1" applyProtection="1">
      <alignment horizontal="center"/>
      <protection/>
    </xf>
    <xf numFmtId="0" fontId="12" fillId="0" borderId="13" xfId="0" applyFont="1" applyBorder="1" applyAlignment="1" applyProtection="1">
      <alignment horizontal="center"/>
      <protection/>
    </xf>
    <xf numFmtId="3" fontId="12"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0" fontId="12" fillId="0" borderId="0" xfId="0" applyFont="1" applyFill="1" applyBorder="1" applyAlignment="1">
      <alignment horizontal="center"/>
    </xf>
    <xf numFmtId="0" fontId="12" fillId="0" borderId="13" xfId="0" applyFont="1" applyFill="1" applyBorder="1" applyAlignment="1">
      <alignment horizontal="center"/>
    </xf>
    <xf numFmtId="0" fontId="12" fillId="0" borderId="11" xfId="0" applyFont="1" applyFill="1" applyBorder="1" applyAlignment="1">
      <alignment horizontal="center"/>
    </xf>
    <xf numFmtId="0" fontId="12" fillId="0" borderId="20" xfId="0" applyFont="1" applyFill="1" applyBorder="1" applyAlignment="1">
      <alignment horizontal="center"/>
    </xf>
    <xf numFmtId="3" fontId="12" fillId="0" borderId="0" xfId="0" applyNumberFormat="1" applyFont="1" applyFill="1" applyBorder="1" applyAlignment="1">
      <alignment horizontal="right"/>
    </xf>
    <xf numFmtId="3" fontId="11" fillId="0" borderId="13" xfId="0" applyNumberFormat="1" applyFont="1" applyFill="1" applyBorder="1" applyAlignment="1">
      <alignment horizontal="right"/>
    </xf>
    <xf numFmtId="0" fontId="12" fillId="0" borderId="0" xfId="0" applyFont="1" applyBorder="1" applyAlignment="1" applyProtection="1">
      <alignment/>
      <protection/>
    </xf>
    <xf numFmtId="0" fontId="12" fillId="0" borderId="0" xfId="0" applyFont="1" applyBorder="1" applyAlignment="1">
      <alignment/>
    </xf>
    <xf numFmtId="0" fontId="12" fillId="0" borderId="11" xfId="0" applyFont="1" applyBorder="1" applyAlignment="1">
      <alignment/>
    </xf>
    <xf numFmtId="0" fontId="12" fillId="0" borderId="20" xfId="0" applyFont="1" applyBorder="1" applyAlignment="1">
      <alignment/>
    </xf>
    <xf numFmtId="0" fontId="12" fillId="0" borderId="0" xfId="0" applyFont="1" applyBorder="1" applyAlignment="1">
      <alignment horizontal="center"/>
    </xf>
    <xf numFmtId="0" fontId="12" fillId="0" borderId="13" xfId="0" applyFont="1" applyBorder="1" applyAlignment="1">
      <alignment horizontal="center"/>
    </xf>
    <xf numFmtId="3" fontId="11" fillId="0" borderId="13" xfId="0" applyNumberFormat="1" applyFont="1" applyBorder="1" applyAlignment="1">
      <alignment/>
    </xf>
    <xf numFmtId="0" fontId="12" fillId="0" borderId="13" xfId="0" applyFont="1" applyBorder="1" applyAlignment="1">
      <alignment/>
    </xf>
    <xf numFmtId="3" fontId="12" fillId="0" borderId="0" xfId="0" applyNumberFormat="1" applyFont="1" applyBorder="1" applyAlignment="1">
      <alignment/>
    </xf>
    <xf numFmtId="210" fontId="1" fillId="0" borderId="13" xfId="0" applyNumberFormat="1" applyFont="1" applyBorder="1" applyAlignment="1" applyProtection="1">
      <alignment horizontal="center"/>
      <protection/>
    </xf>
    <xf numFmtId="0" fontId="0" fillId="33" borderId="20" xfId="0" applyFill="1" applyBorder="1" applyAlignment="1" applyProtection="1">
      <alignment horizontal="left"/>
      <protection/>
    </xf>
    <xf numFmtId="0" fontId="0" fillId="0" borderId="0" xfId="0" applyFill="1" applyBorder="1" applyAlignment="1" applyProtection="1">
      <alignment horizontal="left"/>
      <protection/>
    </xf>
    <xf numFmtId="0" fontId="0" fillId="0" borderId="20" xfId="0" applyFill="1" applyBorder="1" applyAlignment="1" applyProtection="1">
      <alignment horizontal="left"/>
      <protection/>
    </xf>
    <xf numFmtId="0" fontId="0" fillId="0" borderId="20" xfId="0" applyFont="1" applyBorder="1" applyAlignment="1">
      <alignment horizontal="left"/>
    </xf>
    <xf numFmtId="0" fontId="0" fillId="0" borderId="21" xfId="0" applyFont="1" applyBorder="1" applyAlignment="1">
      <alignment horizontal="left"/>
    </xf>
    <xf numFmtId="0" fontId="12" fillId="0" borderId="20" xfId="0" applyFont="1" applyBorder="1" applyAlignment="1">
      <alignment horizontal="left"/>
    </xf>
    <xf numFmtId="0" fontId="9" fillId="0" borderId="20" xfId="0" applyFont="1" applyBorder="1" applyAlignment="1">
      <alignment horizontal="left"/>
    </xf>
    <xf numFmtId="0" fontId="0" fillId="0" borderId="13" xfId="0" applyFill="1" applyBorder="1" applyAlignment="1" applyProtection="1">
      <alignment horizontal="left"/>
      <protection/>
    </xf>
    <xf numFmtId="15" fontId="1" fillId="34" borderId="22" xfId="0" applyNumberFormat="1" applyFont="1" applyFill="1" applyBorder="1" applyAlignment="1">
      <alignment horizontal="center"/>
    </xf>
    <xf numFmtId="0" fontId="1" fillId="34" borderId="22" xfId="0" applyFont="1" applyFill="1" applyBorder="1" applyAlignment="1">
      <alignment horizontal="center"/>
    </xf>
    <xf numFmtId="0" fontId="1" fillId="34" borderId="23" xfId="0" applyFont="1" applyFill="1" applyBorder="1" applyAlignment="1">
      <alignment horizontal="center"/>
    </xf>
    <xf numFmtId="0" fontId="1" fillId="34" borderId="24" xfId="0" applyFont="1" applyFill="1" applyBorder="1" applyAlignment="1">
      <alignment horizontal="center"/>
    </xf>
    <xf numFmtId="0" fontId="1" fillId="34" borderId="19" xfId="0" applyFont="1" applyFill="1" applyBorder="1" applyAlignment="1">
      <alignment horizontal="center"/>
    </xf>
    <xf numFmtId="0" fontId="1" fillId="34" borderId="25" xfId="0" applyFont="1" applyFill="1" applyBorder="1" applyAlignment="1">
      <alignment horizontal="center"/>
    </xf>
    <xf numFmtId="15" fontId="1" fillId="34" borderId="26" xfId="0" applyNumberFormat="1" applyFont="1" applyFill="1" applyBorder="1" applyAlignment="1">
      <alignment horizontal="center"/>
    </xf>
    <xf numFmtId="0" fontId="1" fillId="34" borderId="26" xfId="0" applyFont="1"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0" fontId="1" fillId="34" borderId="21" xfId="0" applyFont="1" applyFill="1" applyBorder="1" applyAlignment="1">
      <alignment horizontal="center"/>
    </xf>
    <xf numFmtId="0" fontId="1" fillId="34" borderId="29" xfId="0" applyFont="1" applyFill="1" applyBorder="1" applyAlignment="1">
      <alignment horizontal="center"/>
    </xf>
    <xf numFmtId="3" fontId="0" fillId="0" borderId="0" xfId="0" applyNumberFormat="1" applyFill="1" applyBorder="1" applyAlignment="1" applyProtection="1">
      <alignment/>
      <protection/>
    </xf>
    <xf numFmtId="3" fontId="0" fillId="0" borderId="13" xfId="0" applyNumberFormat="1" applyFill="1" applyBorder="1" applyAlignment="1" applyProtection="1">
      <alignment/>
      <protection/>
    </xf>
    <xf numFmtId="0" fontId="0" fillId="0" borderId="11" xfId="0" applyFill="1" applyBorder="1" applyAlignment="1" applyProtection="1">
      <alignment horizontal="left"/>
      <protection/>
    </xf>
    <xf numFmtId="0" fontId="0" fillId="0" borderId="11" xfId="0" applyFill="1" applyBorder="1" applyAlignment="1">
      <alignment/>
    </xf>
    <xf numFmtId="0" fontId="0" fillId="0" borderId="11" xfId="0" applyFont="1" applyFill="1" applyBorder="1" applyAlignment="1">
      <alignment/>
    </xf>
    <xf numFmtId="3" fontId="6" fillId="0" borderId="13" xfId="0" applyNumberFormat="1" applyFont="1" applyBorder="1" applyAlignment="1" applyProtection="1">
      <alignment/>
      <protection/>
    </xf>
    <xf numFmtId="3" fontId="6" fillId="0" borderId="13" xfId="0" applyNumberFormat="1" applyFont="1" applyBorder="1" applyAlignment="1">
      <alignment/>
    </xf>
    <xf numFmtId="0" fontId="0" fillId="35" borderId="13" xfId="0" applyFont="1" applyFill="1" applyBorder="1" applyAlignment="1">
      <alignment/>
    </xf>
    <xf numFmtId="0" fontId="4" fillId="0" borderId="0" xfId="0" applyFont="1" applyAlignment="1">
      <alignment/>
    </xf>
    <xf numFmtId="0" fontId="0" fillId="0" borderId="15" xfId="0" applyBorder="1" applyAlignment="1">
      <alignment/>
    </xf>
    <xf numFmtId="0" fontId="0" fillId="0" borderId="16" xfId="0" applyBorder="1" applyAlignment="1">
      <alignment/>
    </xf>
    <xf numFmtId="0" fontId="13" fillId="0" borderId="11" xfId="0" applyFont="1" applyBorder="1" applyAlignment="1" applyProtection="1">
      <alignment/>
      <protection/>
    </xf>
    <xf numFmtId="0" fontId="6" fillId="0" borderId="11" xfId="0" applyFont="1" applyBorder="1" applyAlignment="1" applyProtection="1">
      <alignment/>
      <protection/>
    </xf>
    <xf numFmtId="0" fontId="0" fillId="0" borderId="11" xfId="0" applyBorder="1" applyAlignment="1" applyProtection="1">
      <alignment/>
      <protection/>
    </xf>
    <xf numFmtId="0" fontId="1" fillId="0" borderId="11" xfId="0" applyFont="1" applyBorder="1" applyAlignment="1" applyProtection="1">
      <alignment/>
      <protection/>
    </xf>
    <xf numFmtId="0" fontId="8" fillId="0" borderId="11" xfId="0" applyFont="1" applyBorder="1" applyAlignment="1" applyProtection="1">
      <alignment/>
      <protection/>
    </xf>
    <xf numFmtId="0" fontId="8" fillId="0" borderId="11" xfId="0" applyFont="1" applyFill="1" applyBorder="1" applyAlignment="1" applyProtection="1">
      <alignment/>
      <protection/>
    </xf>
    <xf numFmtId="0" fontId="0" fillId="0" borderId="12" xfId="0" applyBorder="1" applyAlignment="1" applyProtection="1">
      <alignment/>
      <protection/>
    </xf>
    <xf numFmtId="0" fontId="0" fillId="0" borderId="11" xfId="0" applyFill="1" applyBorder="1" applyAlignment="1" applyProtection="1">
      <alignment/>
      <protection/>
    </xf>
    <xf numFmtId="0" fontId="1" fillId="0" borderId="11" xfId="0" applyFont="1" applyFill="1" applyBorder="1" applyAlignment="1" applyProtection="1">
      <alignment/>
      <protection/>
    </xf>
    <xf numFmtId="0" fontId="13" fillId="0" borderId="11" xfId="0" applyFont="1" applyFill="1" applyBorder="1" applyAlignment="1">
      <alignment/>
    </xf>
    <xf numFmtId="0" fontId="0" fillId="0" borderId="11" xfId="0" applyBorder="1" applyAlignment="1">
      <alignment/>
    </xf>
    <xf numFmtId="0" fontId="1" fillId="0" borderId="11" xfId="0" applyFont="1" applyBorder="1" applyAlignment="1">
      <alignment/>
    </xf>
    <xf numFmtId="0" fontId="13" fillId="0" borderId="11"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Alignment="1">
      <alignment/>
    </xf>
    <xf numFmtId="0" fontId="0" fillId="0" borderId="16" xfId="0" applyBorder="1" applyAlignment="1">
      <alignment horizontal="center"/>
    </xf>
    <xf numFmtId="10" fontId="12" fillId="0" borderId="11" xfId="0" applyNumberFormat="1" applyFont="1" applyBorder="1" applyAlignment="1" applyProtection="1">
      <alignment horizontal="center"/>
      <protection/>
    </xf>
    <xf numFmtId="10" fontId="0" fillId="0" borderId="11" xfId="0" applyNumberFormat="1" applyBorder="1" applyAlignment="1" applyProtection="1">
      <alignment horizontal="center"/>
      <protection/>
    </xf>
    <xf numFmtId="0" fontId="0" fillId="0" borderId="11" xfId="0" applyBorder="1" applyAlignment="1" applyProtection="1">
      <alignment horizontal="center"/>
      <protection/>
    </xf>
    <xf numFmtId="10" fontId="0" fillId="0" borderId="12" xfId="0" applyNumberFormat="1" applyBorder="1" applyAlignment="1" applyProtection="1">
      <alignment horizontal="center"/>
      <protection/>
    </xf>
    <xf numFmtId="10" fontId="0" fillId="0" borderId="11" xfId="0" applyNumberFormat="1" applyBorder="1" applyAlignment="1">
      <alignment horizontal="center"/>
    </xf>
    <xf numFmtId="9" fontId="0" fillId="0" borderId="11" xfId="0" applyNumberFormat="1" applyBorder="1" applyAlignment="1" applyProtection="1">
      <alignment horizontal="center"/>
      <protection/>
    </xf>
    <xf numFmtId="0" fontId="0" fillId="0" borderId="11" xfId="0" applyBorder="1" applyAlignment="1">
      <alignment horizontal="center"/>
    </xf>
    <xf numFmtId="0" fontId="0" fillId="0" borderId="12" xfId="0" applyBorder="1" applyAlignment="1">
      <alignment horizontal="center"/>
    </xf>
    <xf numFmtId="0" fontId="12" fillId="0" borderId="11" xfId="0" applyFont="1" applyBorder="1" applyAlignment="1">
      <alignment horizontal="center"/>
    </xf>
    <xf numFmtId="9" fontId="0" fillId="0" borderId="11" xfId="0" applyNumberFormat="1" applyBorder="1" applyAlignment="1">
      <alignment horizontal="center"/>
    </xf>
    <xf numFmtId="10" fontId="0" fillId="0" borderId="11" xfId="0" applyNumberFormat="1" applyFont="1" applyBorder="1" applyAlignment="1">
      <alignment horizontal="center"/>
    </xf>
    <xf numFmtId="9" fontId="0" fillId="0" borderId="11" xfId="0" applyNumberFormat="1" applyFont="1" applyBorder="1" applyAlignment="1">
      <alignment horizontal="center"/>
    </xf>
    <xf numFmtId="10" fontId="9" fillId="0" borderId="11" xfId="0" applyNumberFormat="1" applyFont="1" applyBorder="1" applyAlignment="1">
      <alignment horizontal="center"/>
    </xf>
    <xf numFmtId="0" fontId="9" fillId="0" borderId="11" xfId="0" applyFont="1" applyBorder="1" applyAlignment="1">
      <alignment horizontal="center"/>
    </xf>
    <xf numFmtId="0" fontId="15" fillId="0" borderId="0" xfId="0" applyFont="1" applyAlignment="1">
      <alignment/>
    </xf>
    <xf numFmtId="0" fontId="0" fillId="0" borderId="12" xfId="0" applyFont="1" applyFill="1" applyBorder="1" applyAlignment="1">
      <alignment/>
    </xf>
    <xf numFmtId="0" fontId="0" fillId="0" borderId="14" xfId="0" applyFont="1" applyBorder="1" applyAlignment="1">
      <alignment/>
    </xf>
    <xf numFmtId="0" fontId="9" fillId="0" borderId="10" xfId="0" applyFont="1" applyBorder="1" applyAlignment="1">
      <alignment horizontal="left"/>
    </xf>
    <xf numFmtId="3" fontId="16" fillId="0" borderId="0" xfId="0" applyNumberFormat="1" applyFont="1" applyBorder="1" applyAlignment="1" quotePrefix="1">
      <alignment/>
    </xf>
    <xf numFmtId="0" fontId="1" fillId="0" borderId="11" xfId="0" applyFont="1" applyBorder="1" applyAlignment="1" applyProtection="1">
      <alignment horizontal="left"/>
      <protection/>
    </xf>
    <xf numFmtId="0" fontId="1" fillId="0" borderId="0" xfId="0" applyFont="1" applyBorder="1" applyAlignment="1" applyProtection="1">
      <alignment horizontal="left"/>
      <protection/>
    </xf>
    <xf numFmtId="3" fontId="0" fillId="0" borderId="0" xfId="0" applyNumberFormat="1" applyBorder="1" applyAlignment="1">
      <alignment horizontal="right"/>
    </xf>
    <xf numFmtId="0" fontId="9" fillId="0" borderId="11" xfId="0" applyFont="1" applyBorder="1" applyAlignment="1">
      <alignment horizontal="left"/>
    </xf>
    <xf numFmtId="0" fontId="9" fillId="0" borderId="17" xfId="0" applyFont="1" applyBorder="1" applyAlignment="1">
      <alignment horizontal="left"/>
    </xf>
    <xf numFmtId="4" fontId="17" fillId="0" borderId="17" xfId="0" applyNumberFormat="1" applyFont="1" applyBorder="1" applyAlignment="1">
      <alignment horizontal="right"/>
    </xf>
    <xf numFmtId="3" fontId="0" fillId="0" borderId="17" xfId="0" applyNumberFormat="1" applyBorder="1" applyAlignment="1">
      <alignment/>
    </xf>
    <xf numFmtId="0" fontId="0" fillId="0" borderId="0" xfId="0" applyBorder="1" applyAlignment="1" quotePrefix="1">
      <alignment/>
    </xf>
    <xf numFmtId="212" fontId="9" fillId="0" borderId="16" xfId="0" applyNumberFormat="1" applyFont="1" applyBorder="1" applyAlignment="1">
      <alignment horizontal="center"/>
    </xf>
    <xf numFmtId="212" fontId="9" fillId="0" borderId="11" xfId="0" applyNumberFormat="1" applyFont="1" applyBorder="1" applyAlignment="1">
      <alignment horizontal="center"/>
    </xf>
    <xf numFmtId="9" fontId="9" fillId="0" borderId="18" xfId="0" applyNumberFormat="1" applyFont="1" applyBorder="1" applyAlignment="1">
      <alignment horizontal="left"/>
    </xf>
    <xf numFmtId="9" fontId="9" fillId="0" borderId="13" xfId="0" applyNumberFormat="1" applyFont="1" applyBorder="1" applyAlignment="1">
      <alignment horizontal="left"/>
    </xf>
    <xf numFmtId="3" fontId="0" fillId="0" borderId="13" xfId="0" applyNumberFormat="1" applyBorder="1" applyAlignment="1">
      <alignment horizontal="right"/>
    </xf>
    <xf numFmtId="4" fontId="17" fillId="0" borderId="0" xfId="0" applyNumberFormat="1" applyFont="1" applyBorder="1" applyAlignment="1">
      <alignment horizontal="right"/>
    </xf>
    <xf numFmtId="0" fontId="1" fillId="0" borderId="12" xfId="0" applyFont="1" applyBorder="1" applyAlignment="1">
      <alignment/>
    </xf>
    <xf numFmtId="9" fontId="9" fillId="0" borderId="11" xfId="55" applyFont="1" applyBorder="1" applyAlignment="1">
      <alignment horizontal="center"/>
    </xf>
    <xf numFmtId="0" fontId="6" fillId="0" borderId="11" xfId="0" applyFont="1" applyBorder="1" applyAlignment="1">
      <alignment horizontal="left"/>
    </xf>
    <xf numFmtId="0" fontId="9" fillId="0" borderId="13" xfId="0" applyFont="1" applyBorder="1" applyAlignment="1">
      <alignment horizontal="left"/>
    </xf>
    <xf numFmtId="0" fontId="9" fillId="0" borderId="13" xfId="0" applyFont="1" applyBorder="1" applyAlignment="1" quotePrefix="1">
      <alignment horizontal="left"/>
    </xf>
    <xf numFmtId="4" fontId="17" fillId="0" borderId="11" xfId="0" applyNumberFormat="1" applyFont="1" applyBorder="1" applyAlignment="1">
      <alignment horizontal="right"/>
    </xf>
    <xf numFmtId="0" fontId="16" fillId="0" borderId="0" xfId="0" applyFont="1" applyAlignment="1">
      <alignment/>
    </xf>
    <xf numFmtId="0" fontId="13" fillId="0" borderId="11" xfId="0" applyFont="1" applyBorder="1" applyAlignment="1">
      <alignment horizontal="right"/>
    </xf>
    <xf numFmtId="0" fontId="0" fillId="0" borderId="11" xfId="0" applyBorder="1" applyAlignment="1">
      <alignment horizontal="left"/>
    </xf>
    <xf numFmtId="0" fontId="1" fillId="0" borderId="11" xfId="0" applyFont="1" applyBorder="1" applyAlignment="1">
      <alignment horizontal="left"/>
    </xf>
    <xf numFmtId="0" fontId="6" fillId="0" borderId="11" xfId="0" applyFont="1" applyBorder="1" applyAlignment="1" applyProtection="1">
      <alignment horizontal="left"/>
      <protection/>
    </xf>
    <xf numFmtId="10" fontId="16" fillId="0" borderId="11" xfId="0" applyNumberFormat="1" applyFont="1" applyBorder="1" applyAlignment="1" applyProtection="1">
      <alignment horizontal="center"/>
      <protection/>
    </xf>
    <xf numFmtId="219" fontId="0" fillId="0" borderId="11" xfId="0" applyNumberFormat="1" applyBorder="1" applyAlignment="1" applyProtection="1">
      <alignment horizontal="center"/>
      <protection/>
    </xf>
    <xf numFmtId="218" fontId="9" fillId="0" borderId="0" xfId="0" applyNumberFormat="1" applyFont="1" applyBorder="1" applyAlignment="1">
      <alignment horizontal="center"/>
    </xf>
    <xf numFmtId="9" fontId="9" fillId="0" borderId="13" xfId="0" applyNumberFormat="1" applyFont="1" applyBorder="1" applyAlignment="1">
      <alignment horizontal="center"/>
    </xf>
    <xf numFmtId="4" fontId="0" fillId="0" borderId="0" xfId="0" applyNumberFormat="1" applyFont="1" applyBorder="1" applyAlignment="1">
      <alignment horizontal="center"/>
    </xf>
    <xf numFmtId="4" fontId="1" fillId="0" borderId="0" xfId="0" applyNumberFormat="1"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13" fillId="0" borderId="30" xfId="0" applyFont="1" applyBorder="1" applyAlignment="1">
      <alignment/>
    </xf>
    <xf numFmtId="0" fontId="6" fillId="0" borderId="30" xfId="0" applyFont="1" applyBorder="1" applyAlignment="1">
      <alignment/>
    </xf>
    <xf numFmtId="0" fontId="0" fillId="0" borderId="30" xfId="0" applyFont="1" applyBorder="1" applyAlignment="1">
      <alignment/>
    </xf>
    <xf numFmtId="0" fontId="1" fillId="0" borderId="30" xfId="0" applyFont="1" applyBorder="1" applyAlignment="1">
      <alignment/>
    </xf>
    <xf numFmtId="0" fontId="0" fillId="0" borderId="30" xfId="0" applyFont="1" applyBorder="1" applyAlignment="1">
      <alignment/>
    </xf>
    <xf numFmtId="0" fontId="13" fillId="0" borderId="16" xfId="0" applyFont="1" applyBorder="1" applyAlignment="1" applyProtection="1">
      <alignment/>
      <protection/>
    </xf>
    <xf numFmtId="0" fontId="12" fillId="0" borderId="17" xfId="0" applyFont="1" applyBorder="1" applyAlignment="1">
      <alignment horizontal="left"/>
    </xf>
    <xf numFmtId="0" fontId="12" fillId="0" borderId="17" xfId="0" applyFont="1" applyBorder="1" applyAlignment="1" applyProtection="1">
      <alignment horizontal="left"/>
      <protection/>
    </xf>
    <xf numFmtId="210" fontId="12" fillId="0" borderId="18" xfId="0" applyNumberFormat="1" applyFont="1" applyBorder="1" applyAlignment="1" applyProtection="1">
      <alignment/>
      <protection/>
    </xf>
    <xf numFmtId="0" fontId="12" fillId="0" borderId="16" xfId="0" applyFont="1" applyBorder="1" applyAlignment="1" applyProtection="1">
      <alignment horizontal="left"/>
      <protection/>
    </xf>
    <xf numFmtId="0" fontId="12" fillId="0" borderId="18" xfId="0" applyFont="1" applyBorder="1" applyAlignment="1" applyProtection="1">
      <alignment horizontal="left"/>
      <protection/>
    </xf>
    <xf numFmtId="0" fontId="12" fillId="0" borderId="19" xfId="0" applyFont="1" applyBorder="1" applyAlignment="1" applyProtection="1">
      <alignment horizontal="left"/>
      <protection/>
    </xf>
    <xf numFmtId="10" fontId="12" fillId="0" borderId="16" xfId="0" applyNumberFormat="1" applyFont="1" applyBorder="1" applyAlignment="1" applyProtection="1">
      <alignment horizontal="center"/>
      <protection/>
    </xf>
    <xf numFmtId="0" fontId="12" fillId="0" borderId="17" xfId="0" applyFont="1" applyBorder="1" applyAlignment="1">
      <alignment/>
    </xf>
    <xf numFmtId="0" fontId="12" fillId="0" borderId="17" xfId="0" applyFont="1" applyBorder="1" applyAlignment="1" applyProtection="1">
      <alignment horizontal="center"/>
      <protection/>
    </xf>
    <xf numFmtId="0" fontId="12" fillId="0" borderId="18" xfId="0" applyFont="1" applyBorder="1" applyAlignment="1" applyProtection="1">
      <alignment horizontal="center"/>
      <protection/>
    </xf>
    <xf numFmtId="3" fontId="12" fillId="0" borderId="17" xfId="0" applyNumberFormat="1" applyFont="1" applyBorder="1" applyAlignment="1" applyProtection="1">
      <alignment/>
      <protection/>
    </xf>
    <xf numFmtId="3" fontId="11" fillId="0" borderId="18" xfId="0" applyNumberFormat="1" applyFont="1" applyBorder="1" applyAlignment="1" applyProtection="1">
      <alignment/>
      <protection/>
    </xf>
    <xf numFmtId="0" fontId="8" fillId="0" borderId="12" xfId="0" applyFont="1" applyBorder="1" applyAlignment="1" applyProtection="1">
      <alignment/>
      <protection/>
    </xf>
    <xf numFmtId="0" fontId="0" fillId="0" borderId="10" xfId="0" applyBorder="1" applyAlignment="1" quotePrefix="1">
      <alignment horizontal="center"/>
    </xf>
    <xf numFmtId="14" fontId="0" fillId="0" borderId="14" xfId="0" applyNumberFormat="1" applyBorder="1" applyAlignment="1" applyProtection="1">
      <alignment horizontal="center"/>
      <protection/>
    </xf>
    <xf numFmtId="10" fontId="0" fillId="0" borderId="12" xfId="0" applyNumberFormat="1" applyBorder="1" applyAlignment="1" applyProtection="1" quotePrefix="1">
      <alignment horizontal="center"/>
      <protection/>
    </xf>
    <xf numFmtId="0" fontId="0" fillId="0" borderId="10" xfId="0" applyFill="1" applyBorder="1" applyAlignment="1" applyProtection="1">
      <alignment horizontal="left"/>
      <protection/>
    </xf>
    <xf numFmtId="0" fontId="12" fillId="0" borderId="17" xfId="0" applyFont="1" applyBorder="1" applyAlignment="1" applyProtection="1">
      <alignment/>
      <protection/>
    </xf>
    <xf numFmtId="15" fontId="0" fillId="0" borderId="14" xfId="0" applyNumberFormat="1" applyBorder="1" applyAlignment="1">
      <alignment/>
    </xf>
    <xf numFmtId="3" fontId="0" fillId="0" borderId="14" xfId="49" applyNumberFormat="1" applyFont="1" applyBorder="1" applyAlignment="1">
      <alignment/>
    </xf>
    <xf numFmtId="0" fontId="0" fillId="0" borderId="12" xfId="0" applyFill="1" applyBorder="1" applyAlignment="1">
      <alignment/>
    </xf>
    <xf numFmtId="3" fontId="0" fillId="0" borderId="10" xfId="49" applyNumberFormat="1" applyFont="1" applyBorder="1" applyAlignment="1">
      <alignment/>
    </xf>
    <xf numFmtId="10" fontId="0" fillId="0" borderId="12" xfId="0" applyNumberFormat="1" applyFont="1" applyBorder="1" applyAlignment="1">
      <alignment horizontal="center"/>
    </xf>
    <xf numFmtId="0" fontId="0" fillId="0" borderId="10" xfId="0" applyFont="1" applyBorder="1" applyAlignment="1" quotePrefix="1">
      <alignment horizontal="center"/>
    </xf>
    <xf numFmtId="0" fontId="13" fillId="0" borderId="16" xfId="0" applyFont="1" applyBorder="1" applyAlignment="1">
      <alignment/>
    </xf>
    <xf numFmtId="3" fontId="11" fillId="0" borderId="18" xfId="0" applyNumberFormat="1" applyFont="1" applyBorder="1" applyAlignment="1">
      <alignment/>
    </xf>
    <xf numFmtId="0" fontId="0" fillId="0" borderId="12" xfId="0" applyBorder="1" applyAlignment="1">
      <alignment horizontal="left"/>
    </xf>
    <xf numFmtId="0" fontId="0" fillId="0" borderId="12" xfId="0" applyBorder="1" applyAlignment="1">
      <alignment/>
    </xf>
    <xf numFmtId="3" fontId="0" fillId="0" borderId="14" xfId="0" applyNumberFormat="1" applyBorder="1" applyAlignment="1">
      <alignment/>
    </xf>
    <xf numFmtId="0" fontId="9" fillId="0" borderId="12" xfId="0" applyFont="1" applyBorder="1" applyAlignment="1">
      <alignment/>
    </xf>
    <xf numFmtId="212" fontId="9" fillId="0" borderId="0" xfId="0" applyNumberFormat="1" applyFont="1" applyFill="1" applyBorder="1" applyAlignment="1">
      <alignment horizontal="center"/>
    </xf>
    <xf numFmtId="0" fontId="1" fillId="34" borderId="31" xfId="0" applyFont="1" applyFill="1" applyBorder="1" applyAlignment="1">
      <alignment horizontal="center"/>
    </xf>
    <xf numFmtId="0" fontId="1" fillId="34" borderId="32" xfId="0" applyFont="1" applyFill="1" applyBorder="1" applyAlignment="1">
      <alignment horizontal="center"/>
    </xf>
    <xf numFmtId="0" fontId="0" fillId="0" borderId="33" xfId="0" applyFont="1" applyBorder="1" applyAlignment="1">
      <alignment/>
    </xf>
    <xf numFmtId="0" fontId="0" fillId="0" borderId="14" xfId="0" applyFont="1" applyBorder="1" applyAlignment="1" quotePrefix="1">
      <alignment/>
    </xf>
    <xf numFmtId="0" fontId="0" fillId="0" borderId="10" xfId="0" applyFill="1" applyBorder="1" applyAlignment="1">
      <alignment horizontal="center"/>
    </xf>
    <xf numFmtId="9" fontId="9" fillId="0" borderId="0" xfId="55" applyFont="1" applyBorder="1" applyAlignment="1">
      <alignment horizontal="center"/>
    </xf>
    <xf numFmtId="0" fontId="16" fillId="0" borderId="13" xfId="0" applyFont="1" applyBorder="1" applyAlignment="1">
      <alignment/>
    </xf>
    <xf numFmtId="4" fontId="9" fillId="0" borderId="0" xfId="0" applyNumberFormat="1" applyFont="1" applyBorder="1" applyAlignment="1">
      <alignment horizontal="right"/>
    </xf>
    <xf numFmtId="0" fontId="6" fillId="0" borderId="11" xfId="0" applyFont="1" applyBorder="1" applyAlignment="1">
      <alignment/>
    </xf>
    <xf numFmtId="0" fontId="0" fillId="0" borderId="17" xfId="0" applyFill="1" applyBorder="1" applyAlignment="1">
      <alignment/>
    </xf>
    <xf numFmtId="0" fontId="0" fillId="0" borderId="17" xfId="0" applyFill="1" applyBorder="1" applyAlignment="1">
      <alignment horizontal="center"/>
    </xf>
    <xf numFmtId="0" fontId="1" fillId="0" borderId="12" xfId="0" applyFont="1" applyBorder="1" applyAlignment="1" applyProtection="1">
      <alignment horizontal="left"/>
      <protection/>
    </xf>
    <xf numFmtId="0" fontId="1" fillId="0" borderId="10" xfId="0" applyFont="1" applyBorder="1" applyAlignment="1" applyProtection="1">
      <alignment horizontal="left"/>
      <protection/>
    </xf>
    <xf numFmtId="0" fontId="0" fillId="0" borderId="21" xfId="0" applyFill="1" applyBorder="1" applyAlignment="1" applyProtection="1">
      <alignment horizontal="left"/>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12" fillId="0" borderId="19" xfId="0" applyFont="1" applyBorder="1" applyAlignment="1" applyProtection="1">
      <alignment horizontal="center"/>
      <protection/>
    </xf>
    <xf numFmtId="0" fontId="12" fillId="0" borderId="34" xfId="0" applyFont="1" applyBorder="1" applyAlignment="1" applyProtection="1">
      <alignment horizontal="center"/>
      <protection/>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12" fillId="0" borderId="20" xfId="0" applyFont="1" applyBorder="1" applyAlignment="1" applyProtection="1">
      <alignment horizontal="center"/>
      <protection/>
    </xf>
    <xf numFmtId="0" fontId="12" fillId="0" borderId="19" xfId="0" applyFont="1" applyFill="1" applyBorder="1" applyAlignment="1">
      <alignment horizontal="center"/>
    </xf>
    <xf numFmtId="0" fontId="0" fillId="0" borderId="20" xfId="0" applyBorder="1" applyAlignment="1">
      <alignment horizontal="center"/>
    </xf>
    <xf numFmtId="0" fontId="12" fillId="0" borderId="19" xfId="0" applyFont="1" applyBorder="1" applyAlignment="1">
      <alignment horizontal="center"/>
    </xf>
    <xf numFmtId="0" fontId="0" fillId="0" borderId="21" xfId="0" applyBorder="1" applyAlignment="1">
      <alignment horizontal="center"/>
    </xf>
    <xf numFmtId="0" fontId="0" fillId="0" borderId="21" xfId="0" applyFont="1" applyBorder="1" applyAlignment="1">
      <alignment horizontal="center"/>
    </xf>
    <xf numFmtId="0" fontId="9" fillId="0" borderId="20" xfId="0" applyFont="1" applyBorder="1" applyAlignment="1">
      <alignment horizontal="center"/>
    </xf>
    <xf numFmtId="0" fontId="0" fillId="0" borderId="19" xfId="0"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xf>
    <xf numFmtId="0" fontId="9" fillId="0" borderId="10" xfId="0" applyFont="1" applyBorder="1" applyAlignment="1">
      <alignment horizontal="center"/>
    </xf>
    <xf numFmtId="9" fontId="9" fillId="0" borderId="10" xfId="55" applyFont="1" applyBorder="1" applyAlignment="1">
      <alignment horizontal="center"/>
    </xf>
    <xf numFmtId="4" fontId="9" fillId="0" borderId="10" xfId="0" applyNumberFormat="1" applyFont="1" applyBorder="1" applyAlignment="1">
      <alignment horizontal="right"/>
    </xf>
    <xf numFmtId="9" fontId="0" fillId="0" borderId="0" xfId="55" applyFont="1" applyBorder="1" applyAlignment="1">
      <alignment horizontal="center"/>
    </xf>
    <xf numFmtId="4" fontId="0" fillId="0" borderId="0" xfId="0" applyNumberFormat="1" applyFont="1" applyBorder="1" applyAlignment="1">
      <alignment horizontal="right"/>
    </xf>
    <xf numFmtId="14" fontId="0" fillId="0" borderId="20" xfId="0" applyNumberFormat="1" applyFont="1" applyBorder="1" applyAlignment="1">
      <alignment horizontal="left"/>
    </xf>
    <xf numFmtId="9" fontId="0" fillId="0" borderId="13" xfId="55" applyFont="1" applyBorder="1" applyAlignment="1">
      <alignment horizontal="center"/>
    </xf>
    <xf numFmtId="0" fontId="9" fillId="0" borderId="16" xfId="0" applyFont="1" applyBorder="1" applyAlignment="1">
      <alignment/>
    </xf>
    <xf numFmtId="0" fontId="16" fillId="0" borderId="0" xfId="0" applyFont="1" applyBorder="1" applyAlignment="1">
      <alignment horizontal="center"/>
    </xf>
    <xf numFmtId="0" fontId="16" fillId="0" borderId="13" xfId="0" applyFont="1" applyBorder="1" applyAlignment="1">
      <alignment horizontal="center"/>
    </xf>
    <xf numFmtId="4" fontId="16" fillId="0" borderId="13" xfId="0" applyNumberFormat="1" applyFont="1" applyBorder="1" applyAlignment="1">
      <alignment horizontal="center"/>
    </xf>
    <xf numFmtId="0" fontId="25" fillId="0" borderId="11" xfId="0" applyFont="1" applyBorder="1" applyAlignment="1">
      <alignment horizontal="center"/>
    </xf>
    <xf numFmtId="0" fontId="9" fillId="0" borderId="19" xfId="0" applyFont="1" applyBorder="1" applyAlignment="1">
      <alignment horizontal="center"/>
    </xf>
    <xf numFmtId="14" fontId="0" fillId="0" borderId="19" xfId="0" applyNumberFormat="1" applyFont="1" applyBorder="1" applyAlignment="1">
      <alignment horizontal="left"/>
    </xf>
    <xf numFmtId="0" fontId="0" fillId="0" borderId="16" xfId="0" applyFont="1" applyBorder="1" applyAlignment="1" quotePrefix="1">
      <alignment horizontal="center"/>
    </xf>
    <xf numFmtId="9" fontId="16" fillId="0" borderId="0" xfId="55" applyFont="1" applyBorder="1" applyAlignment="1">
      <alignment horizontal="center"/>
    </xf>
    <xf numFmtId="9" fontId="16" fillId="0" borderId="13" xfId="55" applyFont="1" applyBorder="1" applyAlignment="1">
      <alignment horizontal="center"/>
    </xf>
    <xf numFmtId="3" fontId="0" fillId="0" borderId="18" xfId="0" applyNumberFormat="1" applyFont="1" applyBorder="1" applyAlignment="1">
      <alignment/>
    </xf>
    <xf numFmtId="3" fontId="27" fillId="0" borderId="0" xfId="0" applyNumberFormat="1" applyFont="1" applyAlignment="1">
      <alignment/>
    </xf>
    <xf numFmtId="3" fontId="0" fillId="0" borderId="0" xfId="0" applyNumberFormat="1" applyFont="1" applyAlignment="1">
      <alignment/>
    </xf>
    <xf numFmtId="9" fontId="0" fillId="0" borderId="0" xfId="55" applyFont="1" applyBorder="1" applyAlignment="1">
      <alignment horizontal="center"/>
    </xf>
    <xf numFmtId="0" fontId="9" fillId="0" borderId="0" xfId="0" applyFont="1" applyFill="1" applyBorder="1" applyAlignment="1">
      <alignment horizontal="center"/>
    </xf>
    <xf numFmtId="0" fontId="0" fillId="0" borderId="11" xfId="0" applyFont="1" applyBorder="1" applyAlignment="1">
      <alignment horizontal="center"/>
    </xf>
    <xf numFmtId="0" fontId="0" fillId="0" borderId="19" xfId="0" applyFont="1" applyBorder="1" applyAlignment="1" quotePrefix="1">
      <alignment/>
    </xf>
    <xf numFmtId="0" fontId="0" fillId="0" borderId="20" xfId="0" applyFont="1" applyBorder="1" applyAlignment="1" quotePrefix="1">
      <alignment/>
    </xf>
    <xf numFmtId="0" fontId="0" fillId="0" borderId="21" xfId="0" applyFont="1" applyBorder="1" applyAlignment="1" quotePrefix="1">
      <alignment/>
    </xf>
    <xf numFmtId="15" fontId="0" fillId="0" borderId="19" xfId="0" applyNumberFormat="1" applyBorder="1" applyAlignment="1">
      <alignment horizontal="center"/>
    </xf>
    <xf numFmtId="15" fontId="0" fillId="0" borderId="20" xfId="0" applyNumberFormat="1" applyBorder="1" applyAlignment="1">
      <alignment horizontal="center"/>
    </xf>
    <xf numFmtId="213" fontId="9" fillId="0" borderId="20" xfId="0" applyNumberFormat="1" applyFont="1" applyBorder="1" applyAlignment="1">
      <alignment horizontal="center"/>
    </xf>
    <xf numFmtId="213" fontId="9" fillId="0" borderId="21" xfId="0" applyNumberFormat="1" applyFont="1" applyBorder="1" applyAlignment="1">
      <alignment horizontal="center"/>
    </xf>
    <xf numFmtId="213" fontId="9" fillId="0" borderId="19" xfId="0" applyNumberFormat="1" applyFont="1" applyBorder="1" applyAlignment="1">
      <alignment horizontal="center"/>
    </xf>
    <xf numFmtId="15" fontId="0" fillId="0" borderId="21" xfId="0" applyNumberFormat="1" applyBorder="1" applyAlignment="1">
      <alignment horizontal="center"/>
    </xf>
    <xf numFmtId="4" fontId="0" fillId="0" borderId="0" xfId="0" applyNumberFormat="1" applyFont="1" applyBorder="1" applyAlignment="1">
      <alignment horizontal="center"/>
    </xf>
    <xf numFmtId="0" fontId="9" fillId="0" borderId="20" xfId="0" applyFont="1" applyFill="1" applyBorder="1" applyAlignment="1">
      <alignment horizontal="center"/>
    </xf>
    <xf numFmtId="0" fontId="0" fillId="0" borderId="0" xfId="0" applyFont="1" applyBorder="1" applyAlignment="1">
      <alignment horizontal="center"/>
    </xf>
    <xf numFmtId="3" fontId="0" fillId="0" borderId="13" xfId="0" applyNumberFormat="1" applyFont="1" applyBorder="1" applyAlignment="1">
      <alignment/>
    </xf>
    <xf numFmtId="15" fontId="0" fillId="0" borderId="19" xfId="0" applyNumberFormat="1" applyBorder="1" applyAlignment="1">
      <alignment/>
    </xf>
    <xf numFmtId="15" fontId="12" fillId="0" borderId="20" xfId="0" applyNumberFormat="1" applyFont="1" applyBorder="1" applyAlignment="1" applyProtection="1">
      <alignment/>
      <protection/>
    </xf>
    <xf numFmtId="15" fontId="0" fillId="0" borderId="20" xfId="0" applyNumberFormat="1" applyBorder="1" applyAlignment="1" applyProtection="1">
      <alignment/>
      <protection/>
    </xf>
    <xf numFmtId="15" fontId="0" fillId="0" borderId="21" xfId="0" applyNumberFormat="1" applyBorder="1" applyAlignment="1" applyProtection="1">
      <alignment/>
      <protection/>
    </xf>
    <xf numFmtId="15" fontId="12" fillId="0" borderId="19" xfId="0" applyNumberFormat="1" applyFont="1" applyBorder="1" applyAlignment="1" applyProtection="1">
      <alignment/>
      <protection/>
    </xf>
    <xf numFmtId="15" fontId="0" fillId="0" borderId="20" xfId="0" applyNumberFormat="1" applyBorder="1" applyAlignment="1" applyProtection="1">
      <alignment horizontal="center"/>
      <protection/>
    </xf>
    <xf numFmtId="15" fontId="0" fillId="0" borderId="21" xfId="0" applyNumberFormat="1" applyBorder="1" applyAlignment="1" applyProtection="1">
      <alignment horizontal="center"/>
      <protection/>
    </xf>
    <xf numFmtId="15" fontId="12" fillId="0" borderId="19" xfId="0" applyNumberFormat="1" applyFont="1" applyBorder="1" applyAlignment="1" applyProtection="1">
      <alignment horizontal="center"/>
      <protection/>
    </xf>
    <xf numFmtId="15" fontId="12" fillId="0" borderId="37" xfId="0" applyNumberFormat="1" applyFont="1" applyBorder="1" applyAlignment="1" applyProtection="1">
      <alignment/>
      <protection/>
    </xf>
    <xf numFmtId="15" fontId="0" fillId="0" borderId="38" xfId="0" applyNumberFormat="1" applyBorder="1" applyAlignment="1" applyProtection="1">
      <alignment/>
      <protection/>
    </xf>
    <xf numFmtId="15" fontId="0" fillId="0" borderId="38" xfId="0" applyNumberFormat="1" applyBorder="1" applyAlignment="1" applyProtection="1">
      <alignment horizontal="center"/>
      <protection/>
    </xf>
    <xf numFmtId="15" fontId="0" fillId="0" borderId="39" xfId="0" applyNumberFormat="1" applyBorder="1" applyAlignment="1" applyProtection="1">
      <alignment horizontal="center"/>
      <protection/>
    </xf>
    <xf numFmtId="15" fontId="0" fillId="0" borderId="20" xfId="0" applyNumberFormat="1" applyFill="1" applyBorder="1" applyAlignment="1" applyProtection="1">
      <alignment horizontal="center"/>
      <protection/>
    </xf>
    <xf numFmtId="15" fontId="12" fillId="0" borderId="19" xfId="0" applyNumberFormat="1" applyFont="1" applyFill="1" applyBorder="1" applyAlignment="1">
      <alignment horizontal="center"/>
    </xf>
    <xf numFmtId="15" fontId="0" fillId="0" borderId="20" xfId="0" applyNumberFormat="1" applyBorder="1" applyAlignment="1">
      <alignment/>
    </xf>
    <xf numFmtId="15" fontId="12" fillId="0" borderId="19" xfId="0" applyNumberFormat="1" applyFont="1" applyBorder="1" applyAlignment="1">
      <alignment horizontal="right"/>
    </xf>
    <xf numFmtId="15" fontId="0" fillId="0" borderId="20" xfId="0" applyNumberFormat="1" applyBorder="1" applyAlignment="1">
      <alignment horizontal="right"/>
    </xf>
    <xf numFmtId="15" fontId="0" fillId="0" borderId="20" xfId="0" applyNumberFormat="1" applyFont="1" applyBorder="1" applyAlignment="1">
      <alignment horizontal="right"/>
    </xf>
    <xf numFmtId="15" fontId="0" fillId="0" borderId="21" xfId="0" applyNumberFormat="1" applyFont="1" applyBorder="1" applyAlignment="1">
      <alignment horizontal="right"/>
    </xf>
    <xf numFmtId="15" fontId="12" fillId="0" borderId="19" xfId="0" applyNumberFormat="1" applyFont="1" applyBorder="1" applyAlignment="1">
      <alignment horizontal="center"/>
    </xf>
    <xf numFmtId="15" fontId="0" fillId="0" borderId="20" xfId="0" applyNumberFormat="1" applyFont="1" applyBorder="1" applyAlignment="1">
      <alignment horizontal="center"/>
    </xf>
    <xf numFmtId="15" fontId="0" fillId="0" borderId="21" xfId="0" applyNumberFormat="1" applyFont="1" applyBorder="1" applyAlignment="1">
      <alignment horizontal="center"/>
    </xf>
    <xf numFmtId="15" fontId="12" fillId="0" borderId="19" xfId="0" applyNumberFormat="1" applyFont="1" applyBorder="1" applyAlignment="1">
      <alignment/>
    </xf>
    <xf numFmtId="0" fontId="0" fillId="0" borderId="20" xfId="0" applyFill="1" applyBorder="1" applyAlignment="1" applyProtection="1">
      <alignment horizontal="center"/>
      <protection/>
    </xf>
    <xf numFmtId="0" fontId="0" fillId="0" borderId="21" xfId="0" applyFill="1" applyBorder="1" applyAlignment="1" applyProtection="1">
      <alignment horizontal="center"/>
      <protection/>
    </xf>
    <xf numFmtId="0" fontId="12" fillId="0" borderId="40" xfId="0" applyFont="1" applyBorder="1" applyAlignment="1" applyProtection="1">
      <alignment horizontal="center"/>
      <protection/>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12" xfId="0" applyFill="1" applyBorder="1" applyAlignment="1">
      <alignment horizontal="center"/>
    </xf>
    <xf numFmtId="0" fontId="9" fillId="0" borderId="41" xfId="0" applyFont="1" applyFill="1" applyBorder="1" applyAlignment="1">
      <alignment horizontal="center"/>
    </xf>
    <xf numFmtId="0" fontId="0" fillId="0" borderId="0" xfId="0" applyFont="1" applyBorder="1" applyAlignment="1" quotePrefix="1">
      <alignment horizontal="center"/>
    </xf>
    <xf numFmtId="3" fontId="9" fillId="0" borderId="0" xfId="0" applyNumberFormat="1" applyFont="1" applyFill="1" applyBorder="1" applyAlignment="1">
      <alignment horizontal="right"/>
    </xf>
    <xf numFmtId="213" fontId="9" fillId="0" borderId="20" xfId="0" applyNumberFormat="1" applyFont="1" applyFill="1" applyBorder="1" applyAlignment="1">
      <alignment horizontal="center"/>
    </xf>
    <xf numFmtId="0" fontId="0" fillId="0" borderId="0" xfId="0" applyFill="1" applyAlignment="1">
      <alignment/>
    </xf>
    <xf numFmtId="3" fontId="0" fillId="0" borderId="0" xfId="0" applyNumberFormat="1" applyFont="1" applyFill="1" applyBorder="1" applyAlignment="1">
      <alignment/>
    </xf>
    <xf numFmtId="3" fontId="27" fillId="0" borderId="0" xfId="0" applyNumberFormat="1" applyFont="1" applyFill="1" applyAlignment="1">
      <alignment/>
    </xf>
    <xf numFmtId="0" fontId="10" fillId="0" borderId="20" xfId="0" applyFont="1" applyBorder="1" applyAlignment="1" applyProtection="1">
      <alignment horizontal="center"/>
      <protection/>
    </xf>
    <xf numFmtId="0" fontId="6" fillId="0" borderId="20" xfId="0" applyFont="1" applyBorder="1" applyAlignment="1" applyProtection="1">
      <alignment horizontal="center"/>
      <protection/>
    </xf>
    <xf numFmtId="0" fontId="10" fillId="0" borderId="19" xfId="0" applyFont="1" applyBorder="1" applyAlignment="1" applyProtection="1">
      <alignment horizontal="center"/>
      <protection/>
    </xf>
    <xf numFmtId="0" fontId="0" fillId="0" borderId="20" xfId="0" applyFont="1" applyBorder="1" applyAlignment="1" applyProtection="1">
      <alignment horizontal="left"/>
      <protection/>
    </xf>
    <xf numFmtId="0" fontId="10" fillId="0" borderId="40" xfId="0" applyFont="1" applyBorder="1" applyAlignment="1" applyProtection="1">
      <alignment horizontal="center"/>
      <protection/>
    </xf>
    <xf numFmtId="0" fontId="10" fillId="0" borderId="19" xfId="0" applyFont="1" applyFill="1" applyBorder="1" applyAlignment="1">
      <alignment horizontal="center"/>
    </xf>
    <xf numFmtId="0" fontId="10" fillId="0" borderId="19"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0" fontId="12" fillId="0" borderId="19" xfId="0" applyFont="1" applyBorder="1" applyAlignment="1">
      <alignment/>
    </xf>
    <xf numFmtId="0" fontId="9" fillId="0" borderId="20" xfId="0" applyFont="1" applyBorder="1" applyAlignment="1">
      <alignment/>
    </xf>
    <xf numFmtId="0" fontId="0" fillId="0" borderId="13" xfId="0" applyBorder="1" applyAlignment="1">
      <alignment horizontal="left"/>
    </xf>
    <xf numFmtId="0" fontId="0" fillId="0" borderId="14" xfId="0" applyBorder="1" applyAlignment="1">
      <alignment horizontal="left"/>
    </xf>
    <xf numFmtId="0" fontId="0" fillId="0" borderId="13"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0" xfId="0" applyFont="1" applyBorder="1" applyAlignment="1" quotePrefix="1">
      <alignment horizontal="left" wrapText="1"/>
    </xf>
    <xf numFmtId="0" fontId="0" fillId="0" borderId="20" xfId="0" applyFont="1" applyBorder="1" applyAlignment="1">
      <alignment horizontal="left"/>
    </xf>
    <xf numFmtId="0" fontId="0" fillId="0" borderId="20" xfId="0" applyFont="1" applyBorder="1" applyAlignment="1">
      <alignment horizontal="left" wrapText="1"/>
    </xf>
    <xf numFmtId="0" fontId="0" fillId="0" borderId="12" xfId="0" applyFont="1" applyBorder="1" applyAlignment="1">
      <alignment horizontal="left"/>
    </xf>
    <xf numFmtId="15"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0" fontId="62" fillId="0" borderId="0" xfId="0" applyFont="1" applyAlignment="1" quotePrefix="1">
      <alignment/>
    </xf>
    <xf numFmtId="9" fontId="9" fillId="0" borderId="41" xfId="55" applyFont="1" applyFill="1" applyBorder="1" applyAlignment="1">
      <alignment horizontal="center"/>
    </xf>
    <xf numFmtId="0" fontId="9" fillId="0" borderId="11" xfId="0" applyFont="1" applyFill="1" applyBorder="1" applyAlignment="1">
      <alignment horizontal="center"/>
    </xf>
    <xf numFmtId="0" fontId="9" fillId="0" borderId="42" xfId="0" applyFont="1" applyFill="1" applyBorder="1" applyAlignment="1">
      <alignment horizontal="left" wrapText="1"/>
    </xf>
    <xf numFmtId="0" fontId="9" fillId="0" borderId="12" xfId="0" applyFont="1" applyFill="1" applyBorder="1" applyAlignment="1">
      <alignment horizontal="center"/>
    </xf>
    <xf numFmtId="213" fontId="9" fillId="0" borderId="21" xfId="0" applyNumberFormat="1" applyFont="1" applyFill="1" applyBorder="1" applyAlignment="1">
      <alignment horizontal="center"/>
    </xf>
    <xf numFmtId="0" fontId="9" fillId="0" borderId="10" xfId="0" applyFont="1" applyFill="1" applyBorder="1" applyAlignment="1">
      <alignment horizontal="center"/>
    </xf>
    <xf numFmtId="9" fontId="9" fillId="0" borderId="10" xfId="55" applyFont="1" applyFill="1" applyBorder="1" applyAlignment="1">
      <alignment horizontal="center"/>
    </xf>
    <xf numFmtId="0" fontId="9" fillId="0" borderId="43" xfId="0" applyFont="1" applyFill="1" applyBorder="1" applyAlignment="1">
      <alignment horizontal="left" wrapText="1"/>
    </xf>
    <xf numFmtId="0" fontId="9" fillId="0" borderId="19" xfId="0" applyFont="1" applyFill="1" applyBorder="1" applyAlignment="1">
      <alignment horizontal="center"/>
    </xf>
    <xf numFmtId="0" fontId="9" fillId="0" borderId="42" xfId="0" applyFont="1" applyFill="1" applyBorder="1" applyAlignment="1">
      <alignment horizontal="center"/>
    </xf>
    <xf numFmtId="0" fontId="9" fillId="0" borderId="17" xfId="0" applyFont="1" applyFill="1" applyBorder="1" applyAlignment="1">
      <alignment horizontal="center"/>
    </xf>
    <xf numFmtId="9" fontId="9" fillId="0" borderId="18" xfId="55" applyFont="1" applyFill="1" applyBorder="1" applyAlignment="1">
      <alignment horizontal="center"/>
    </xf>
    <xf numFmtId="9" fontId="9" fillId="0" borderId="13" xfId="55" applyFont="1" applyFill="1" applyBorder="1" applyAlignment="1">
      <alignment horizontal="center"/>
    </xf>
    <xf numFmtId="0" fontId="9" fillId="0" borderId="19" xfId="0" applyFont="1" applyFill="1" applyBorder="1" applyAlignment="1">
      <alignment horizontal="left" wrapText="1"/>
    </xf>
    <xf numFmtId="0" fontId="9" fillId="0" borderId="20" xfId="0" applyFont="1" applyFill="1" applyBorder="1" applyAlignment="1">
      <alignment horizontal="left" wrapText="1"/>
    </xf>
    <xf numFmtId="4" fontId="0" fillId="0" borderId="0" xfId="0" applyNumberFormat="1" applyFont="1" applyAlignment="1">
      <alignment/>
    </xf>
    <xf numFmtId="0" fontId="0" fillId="0" borderId="0" xfId="0" applyFont="1" applyAlignment="1">
      <alignment wrapText="1"/>
    </xf>
    <xf numFmtId="213" fontId="9" fillId="0" borderId="13" xfId="0" applyNumberFormat="1" applyFont="1" applyFill="1" applyBorder="1" applyAlignment="1">
      <alignment horizontal="center"/>
    </xf>
    <xf numFmtId="213" fontId="9" fillId="0" borderId="44" xfId="0" applyNumberFormat="1" applyFont="1" applyFill="1" applyBorder="1" applyAlignment="1" quotePrefix="1">
      <alignment horizontal="center"/>
    </xf>
    <xf numFmtId="0" fontId="9" fillId="0" borderId="43" xfId="0" applyFont="1" applyFill="1" applyBorder="1" applyAlignment="1">
      <alignment horizontal="center"/>
    </xf>
    <xf numFmtId="213" fontId="9" fillId="0" borderId="18" xfId="0" applyNumberFormat="1" applyFont="1" applyFill="1" applyBorder="1" applyAlignment="1">
      <alignment horizontal="center"/>
    </xf>
    <xf numFmtId="213" fontId="9" fillId="0" borderId="45" xfId="0" applyNumberFormat="1" applyFont="1" applyFill="1" applyBorder="1" applyAlignment="1" quotePrefix="1">
      <alignment horizontal="center"/>
    </xf>
    <xf numFmtId="0" fontId="9" fillId="0" borderId="46" xfId="0" applyFont="1" applyFill="1" applyBorder="1" applyAlignment="1">
      <alignment horizontal="center"/>
    </xf>
    <xf numFmtId="0" fontId="63" fillId="0" borderId="0" xfId="0" applyFont="1" applyAlignment="1" quotePrefix="1">
      <alignment/>
    </xf>
    <xf numFmtId="0" fontId="0" fillId="0" borderId="20" xfId="0" applyFont="1" applyFill="1" applyBorder="1" applyAlignment="1">
      <alignment horizontal="left"/>
    </xf>
    <xf numFmtId="0" fontId="0" fillId="0" borderId="11" xfId="0" applyFont="1" applyFill="1" applyBorder="1" applyAlignment="1">
      <alignment horizontal="left"/>
    </xf>
    <xf numFmtId="213" fontId="9" fillId="0" borderId="0" xfId="0" applyNumberFormat="1" applyFont="1" applyFill="1" applyBorder="1" applyAlignment="1" quotePrefix="1">
      <alignment horizontal="center"/>
    </xf>
    <xf numFmtId="0" fontId="9" fillId="0" borderId="0" xfId="0" applyFont="1" applyFill="1" applyBorder="1" applyAlignment="1">
      <alignment horizontal="left" wrapText="1"/>
    </xf>
    <xf numFmtId="4" fontId="9" fillId="0" borderId="47" xfId="0" applyNumberFormat="1" applyFont="1" applyFill="1" applyBorder="1" applyAlignment="1">
      <alignment horizontal="right"/>
    </xf>
    <xf numFmtId="0" fontId="24" fillId="0" borderId="0" xfId="0" applyFont="1" applyAlignment="1" quotePrefix="1">
      <alignment/>
    </xf>
    <xf numFmtId="0" fontId="9" fillId="0" borderId="0" xfId="0" applyFont="1" applyAlignment="1">
      <alignment/>
    </xf>
    <xf numFmtId="9" fontId="16" fillId="0" borderId="11" xfId="55" applyFont="1" applyFill="1" applyBorder="1" applyAlignment="1">
      <alignment horizontal="center"/>
    </xf>
    <xf numFmtId="0" fontId="0" fillId="0" borderId="20" xfId="0" applyFont="1" applyFill="1" applyBorder="1" applyAlignment="1">
      <alignment horizontal="left" wrapText="1"/>
    </xf>
    <xf numFmtId="3" fontId="9" fillId="0" borderId="48" xfId="0" applyNumberFormat="1" applyFont="1" applyFill="1" applyBorder="1" applyAlignment="1">
      <alignment horizontal="right"/>
    </xf>
    <xf numFmtId="0" fontId="0" fillId="0" borderId="20" xfId="0" applyFont="1" applyBorder="1" applyAlignment="1">
      <alignment horizontal="center"/>
    </xf>
    <xf numFmtId="0" fontId="0" fillId="0" borderId="13" xfId="0" applyFont="1" applyBorder="1" applyAlignment="1">
      <alignment/>
    </xf>
    <xf numFmtId="0" fontId="0" fillId="0" borderId="0" xfId="0" applyFont="1" applyBorder="1" applyAlignment="1">
      <alignment/>
    </xf>
    <xf numFmtId="212" fontId="0" fillId="0" borderId="11" xfId="0" applyNumberFormat="1" applyFont="1" applyBorder="1" applyAlignment="1">
      <alignment horizontal="center"/>
    </xf>
    <xf numFmtId="0" fontId="0" fillId="0" borderId="13" xfId="0" applyFont="1" applyBorder="1" applyAlignment="1">
      <alignment horizontal="center"/>
    </xf>
    <xf numFmtId="0" fontId="0" fillId="0" borderId="11" xfId="0" applyFont="1" applyBorder="1" applyAlignment="1">
      <alignment horizontal="left"/>
    </xf>
    <xf numFmtId="0" fontId="0" fillId="0" borderId="0" xfId="0" applyFont="1" applyBorder="1" applyAlignment="1">
      <alignment horizontal="left"/>
    </xf>
    <xf numFmtId="9" fontId="0" fillId="0" borderId="13" xfId="0" applyNumberFormat="1" applyFont="1" applyBorder="1" applyAlignment="1">
      <alignment horizontal="left"/>
    </xf>
    <xf numFmtId="3" fontId="0" fillId="0" borderId="0" xfId="0" applyNumberFormat="1" applyFont="1" applyBorder="1" applyAlignment="1">
      <alignment/>
    </xf>
    <xf numFmtId="15" fontId="0" fillId="0" borderId="20" xfId="0" applyNumberFormat="1" applyFont="1" applyBorder="1" applyAlignment="1">
      <alignment horizontal="center"/>
    </xf>
    <xf numFmtId="0" fontId="0" fillId="0" borderId="13" xfId="0" applyFont="1" applyBorder="1" applyAlignment="1">
      <alignment horizontal="left"/>
    </xf>
    <xf numFmtId="212" fontId="0" fillId="0" borderId="11" xfId="0" applyNumberFormat="1" applyFont="1" applyBorder="1" applyAlignment="1">
      <alignment horizontal="left"/>
    </xf>
    <xf numFmtId="218" fontId="0" fillId="0" borderId="11" xfId="0" applyNumberFormat="1" applyFont="1" applyBorder="1" applyAlignment="1">
      <alignment horizontal="center"/>
    </xf>
    <xf numFmtId="0" fontId="10" fillId="0" borderId="11" xfId="0" applyFont="1" applyBorder="1" applyAlignment="1">
      <alignment/>
    </xf>
    <xf numFmtId="213" fontId="0" fillId="0" borderId="20" xfId="0" applyNumberFormat="1" applyFont="1" applyBorder="1" applyAlignment="1">
      <alignment horizontal="center"/>
    </xf>
    <xf numFmtId="0" fontId="0" fillId="0" borderId="11" xfId="0" applyFont="1" applyBorder="1" applyAlignment="1">
      <alignment/>
    </xf>
    <xf numFmtId="9" fontId="0" fillId="0" borderId="11" xfId="55" applyFont="1" applyBorder="1" applyAlignment="1">
      <alignment horizontal="center"/>
    </xf>
    <xf numFmtId="0" fontId="0" fillId="0" borderId="11" xfId="0" applyFont="1" applyBorder="1" applyAlignment="1">
      <alignment/>
    </xf>
    <xf numFmtId="0" fontId="0" fillId="0" borderId="13" xfId="0" applyFont="1" applyBorder="1" applyAlignment="1" quotePrefix="1">
      <alignment horizontal="left"/>
    </xf>
    <xf numFmtId="0" fontId="0" fillId="0" borderId="12" xfId="0" applyFont="1" applyBorder="1" applyAlignment="1">
      <alignment/>
    </xf>
    <xf numFmtId="15" fontId="0" fillId="0" borderId="21" xfId="0" applyNumberFormat="1" applyFont="1" applyBorder="1" applyAlignment="1">
      <alignment horizontal="center"/>
    </xf>
    <xf numFmtId="0" fontId="0" fillId="0" borderId="14" xfId="0" applyFont="1" applyBorder="1" applyAlignment="1">
      <alignment/>
    </xf>
    <xf numFmtId="0" fontId="0" fillId="0" borderId="10" xfId="0" applyFont="1" applyBorder="1" applyAlignment="1">
      <alignment/>
    </xf>
    <xf numFmtId="0" fontId="0" fillId="0" borderId="21" xfId="0" applyFont="1" applyBorder="1" applyAlignment="1">
      <alignment horizontal="center"/>
    </xf>
    <xf numFmtId="0" fontId="0" fillId="0" borderId="14" xfId="0" applyFont="1" applyBorder="1" applyAlignment="1">
      <alignment horizontal="left"/>
    </xf>
    <xf numFmtId="0" fontId="0" fillId="0" borderId="12" xfId="0" applyFont="1" applyBorder="1" applyAlignment="1">
      <alignment/>
    </xf>
    <xf numFmtId="0" fontId="0" fillId="0" borderId="14" xfId="0" applyFont="1" applyBorder="1" applyAlignment="1">
      <alignment horizontal="center"/>
    </xf>
    <xf numFmtId="9" fontId="0" fillId="0" borderId="12" xfId="55" applyFont="1" applyBorder="1" applyAlignment="1">
      <alignment horizontal="center"/>
    </xf>
    <xf numFmtId="0" fontId="0" fillId="0" borderId="10" xfId="0" applyFont="1" applyBorder="1" applyAlignment="1" quotePrefix="1">
      <alignment horizontal="center"/>
    </xf>
    <xf numFmtId="0" fontId="0" fillId="0" borderId="12" xfId="0" applyFont="1" applyBorder="1" applyAlignment="1">
      <alignment horizontal="center"/>
    </xf>
    <xf numFmtId="3" fontId="0" fillId="0" borderId="10" xfId="0" applyNumberFormat="1" applyFont="1" applyBorder="1" applyAlignment="1">
      <alignment/>
    </xf>
    <xf numFmtId="3" fontId="0" fillId="0" borderId="14" xfId="0" applyNumberFormat="1" applyFont="1" applyBorder="1" applyAlignment="1">
      <alignment/>
    </xf>
    <xf numFmtId="0" fontId="8" fillId="0" borderId="21" xfId="0" applyFont="1" applyBorder="1" applyAlignment="1" applyProtection="1">
      <alignment/>
      <protection/>
    </xf>
    <xf numFmtId="0" fontId="0" fillId="0" borderId="13" xfId="0" applyFont="1" applyFill="1" applyBorder="1" applyAlignment="1">
      <alignment/>
    </xf>
    <xf numFmtId="0" fontId="0" fillId="0" borderId="20" xfId="0" applyFont="1" applyFill="1" applyBorder="1" applyAlignment="1">
      <alignment horizontal="center"/>
    </xf>
    <xf numFmtId="0" fontId="0" fillId="0" borderId="20" xfId="0" applyFont="1" applyBorder="1" applyAlignment="1" quotePrefix="1">
      <alignment/>
    </xf>
    <xf numFmtId="0" fontId="0" fillId="0" borderId="0" xfId="0" applyFont="1" applyFill="1" applyBorder="1" applyAlignment="1">
      <alignment horizontal="center"/>
    </xf>
    <xf numFmtId="0" fontId="0" fillId="0" borderId="13" xfId="0" applyFont="1" applyFill="1" applyBorder="1" applyAlignment="1">
      <alignment horizontal="center"/>
    </xf>
    <xf numFmtId="212" fontId="0" fillId="0" borderId="0" xfId="0" applyNumberFormat="1" applyFont="1" applyBorder="1" applyAlignment="1">
      <alignment horizontal="center"/>
    </xf>
    <xf numFmtId="218" fontId="0" fillId="0" borderId="0" xfId="55" applyNumberFormat="1" applyFont="1" applyBorder="1" applyAlignment="1">
      <alignment horizontal="center"/>
    </xf>
    <xf numFmtId="3" fontId="0" fillId="0" borderId="0" xfId="0" applyNumberFormat="1" applyFont="1" applyBorder="1" applyAlignment="1">
      <alignment horizontal="center"/>
    </xf>
    <xf numFmtId="219" fontId="0" fillId="0" borderId="0" xfId="55" applyNumberFormat="1" applyFont="1" applyBorder="1" applyAlignment="1">
      <alignment horizontal="center"/>
    </xf>
    <xf numFmtId="3" fontId="0" fillId="0" borderId="0" xfId="0" applyNumberFormat="1" applyFont="1" applyBorder="1" applyAlignment="1">
      <alignment horizontal="right"/>
    </xf>
    <xf numFmtId="9" fontId="0" fillId="0" borderId="0" xfId="0" applyNumberFormat="1" applyFont="1" applyBorder="1" applyAlignment="1">
      <alignment horizontal="center"/>
    </xf>
    <xf numFmtId="4" fontId="0" fillId="0" borderId="0" xfId="0" applyNumberFormat="1" applyFont="1" applyBorder="1" applyAlignment="1">
      <alignment horizontal="right"/>
    </xf>
    <xf numFmtId="219" fontId="16" fillId="0" borderId="0" xfId="55" applyNumberFormat="1" applyFont="1" applyBorder="1" applyAlignment="1">
      <alignment horizontal="center"/>
    </xf>
    <xf numFmtId="213" fontId="0" fillId="0" borderId="21" xfId="0" applyNumberFormat="1" applyFont="1" applyBorder="1" applyAlignment="1">
      <alignment horizontal="center"/>
    </xf>
    <xf numFmtId="0" fontId="0" fillId="0" borderId="21" xfId="0" applyFont="1" applyFill="1" applyBorder="1" applyAlignment="1">
      <alignment horizontal="center"/>
    </xf>
    <xf numFmtId="0" fontId="0" fillId="0" borderId="21" xfId="0" applyFont="1" applyBorder="1" applyAlignment="1" quotePrefix="1">
      <alignment/>
    </xf>
    <xf numFmtId="0" fontId="0" fillId="0" borderId="10" xfId="0" applyFont="1" applyBorder="1" applyAlignment="1">
      <alignment horizontal="center"/>
    </xf>
    <xf numFmtId="9" fontId="0" fillId="0" borderId="10" xfId="55" applyFont="1" applyBorder="1" applyAlignment="1">
      <alignment horizontal="center"/>
    </xf>
    <xf numFmtId="3" fontId="0" fillId="0" borderId="10" xfId="0" applyNumberFormat="1" applyFont="1" applyBorder="1" applyAlignment="1">
      <alignment horizontal="right"/>
    </xf>
    <xf numFmtId="0" fontId="0" fillId="0" borderId="0" xfId="0" applyFont="1" applyFill="1" applyBorder="1" applyAlignment="1">
      <alignment/>
    </xf>
    <xf numFmtId="0" fontId="18" fillId="0" borderId="13" xfId="0" applyFont="1" applyBorder="1" applyAlignment="1">
      <alignment horizontal="center"/>
    </xf>
    <xf numFmtId="0" fontId="0" fillId="0" borderId="11" xfId="0" applyFont="1" applyFill="1" applyBorder="1" applyAlignment="1">
      <alignment/>
    </xf>
    <xf numFmtId="213" fontId="0" fillId="0" borderId="20" xfId="0" applyNumberFormat="1" applyFont="1" applyFill="1" applyBorder="1" applyAlignment="1">
      <alignment horizontal="center"/>
    </xf>
    <xf numFmtId="0" fontId="0" fillId="0" borderId="20" xfId="0" applyFont="1" applyFill="1" applyBorder="1" applyAlignment="1" quotePrefix="1">
      <alignment/>
    </xf>
    <xf numFmtId="212" fontId="0" fillId="0" borderId="0" xfId="0" applyNumberFormat="1" applyFont="1" applyFill="1" applyBorder="1" applyAlignment="1">
      <alignment horizontal="center"/>
    </xf>
    <xf numFmtId="9" fontId="0" fillId="0" borderId="0" xfId="55"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xf>
    <xf numFmtId="9" fontId="16" fillId="0" borderId="0" xfId="55" applyFont="1" applyFill="1" applyBorder="1" applyAlignment="1">
      <alignment horizontal="center"/>
    </xf>
    <xf numFmtId="3" fontId="0" fillId="0" borderId="13" xfId="0" applyNumberFormat="1" applyFont="1" applyFill="1" applyBorder="1" applyAlignment="1">
      <alignment/>
    </xf>
    <xf numFmtId="213" fontId="0" fillId="0" borderId="11" xfId="0" applyNumberFormat="1" applyFont="1" applyBorder="1" applyAlignment="1">
      <alignment horizontal="center"/>
    </xf>
    <xf numFmtId="0" fontId="0" fillId="0" borderId="11" xfId="0" applyFont="1" applyBorder="1" applyAlignment="1" quotePrefix="1">
      <alignment horizontal="center"/>
    </xf>
    <xf numFmtId="4" fontId="0" fillId="0" borderId="13" xfId="0" applyNumberFormat="1" applyFont="1" applyBorder="1" applyAlignment="1">
      <alignment horizontal="center"/>
    </xf>
    <xf numFmtId="0" fontId="0" fillId="0" borderId="11" xfId="0" applyFont="1" applyFill="1" applyBorder="1" applyAlignment="1" quotePrefix="1">
      <alignment horizontal="center"/>
    </xf>
    <xf numFmtId="213" fontId="0" fillId="0" borderId="11" xfId="0" applyNumberFormat="1" applyFont="1" applyFill="1" applyBorder="1" applyAlignment="1">
      <alignment horizontal="center"/>
    </xf>
    <xf numFmtId="0" fontId="0" fillId="0" borderId="11" xfId="0" applyFont="1" applyFill="1" applyBorder="1" applyAlignment="1">
      <alignment horizontal="center"/>
    </xf>
    <xf numFmtId="14" fontId="0" fillId="0" borderId="20" xfId="0" applyNumberFormat="1" applyFont="1" applyFill="1" applyBorder="1" applyAlignment="1">
      <alignment horizontal="left"/>
    </xf>
    <xf numFmtId="0" fontId="0" fillId="0" borderId="0" xfId="0" applyFont="1" applyFill="1" applyAlignment="1">
      <alignment/>
    </xf>
    <xf numFmtId="4" fontId="0" fillId="0" borderId="13" xfId="0" applyNumberFormat="1" applyFont="1" applyFill="1" applyBorder="1" applyAlignment="1">
      <alignment horizontal="center"/>
    </xf>
    <xf numFmtId="3" fontId="0" fillId="0" borderId="0" xfId="0" applyNumberFormat="1" applyFont="1" applyFill="1" applyBorder="1" applyAlignment="1">
      <alignment horizontal="right"/>
    </xf>
    <xf numFmtId="14" fontId="0" fillId="0" borderId="20" xfId="0" applyNumberFormat="1" applyFont="1" applyBorder="1" applyAlignment="1">
      <alignment horizontal="left"/>
    </xf>
    <xf numFmtId="0" fontId="0" fillId="0" borderId="0" xfId="0" applyFont="1" applyFill="1" applyBorder="1" applyAlignment="1">
      <alignment horizontal="left"/>
    </xf>
    <xf numFmtId="9" fontId="0" fillId="0" borderId="13" xfId="55" applyFont="1" applyBorder="1" applyAlignment="1">
      <alignment horizontal="center"/>
    </xf>
    <xf numFmtId="14" fontId="0" fillId="0" borderId="11" xfId="0" applyNumberFormat="1" applyFont="1" applyBorder="1" applyAlignment="1">
      <alignment horizontal="center"/>
    </xf>
    <xf numFmtId="0" fontId="0" fillId="0" borderId="12" xfId="0" applyFont="1" applyBorder="1" applyAlignment="1" quotePrefix="1">
      <alignment horizontal="center"/>
    </xf>
    <xf numFmtId="213" fontId="0" fillId="0" borderId="12" xfId="0" applyNumberFormat="1" applyFont="1" applyBorder="1" applyAlignment="1">
      <alignment horizontal="center"/>
    </xf>
    <xf numFmtId="14" fontId="0" fillId="0" borderId="21" xfId="0" applyNumberFormat="1" applyFont="1" applyBorder="1" applyAlignment="1">
      <alignment horizontal="left"/>
    </xf>
    <xf numFmtId="0" fontId="0" fillId="0" borderId="21" xfId="0" applyFont="1" applyBorder="1" applyAlignment="1">
      <alignment horizontal="left"/>
    </xf>
    <xf numFmtId="9" fontId="0" fillId="0" borderId="14" xfId="55" applyFont="1" applyBorder="1" applyAlignment="1">
      <alignment horizontal="center"/>
    </xf>
    <xf numFmtId="0" fontId="0" fillId="0" borderId="20" xfId="0" applyFont="1" applyBorder="1" applyAlignment="1">
      <alignment/>
    </xf>
    <xf numFmtId="0" fontId="16" fillId="0" borderId="0" xfId="0" applyFont="1" applyFill="1" applyBorder="1" applyAlignment="1">
      <alignment horizontal="center"/>
    </xf>
    <xf numFmtId="0" fontId="0" fillId="0" borderId="20" xfId="0" applyFont="1" applyFill="1" applyBorder="1" applyAlignment="1">
      <alignment/>
    </xf>
    <xf numFmtId="14" fontId="0" fillId="0" borderId="11" xfId="0" applyNumberFormat="1" applyFont="1" applyFill="1" applyBorder="1" applyAlignment="1">
      <alignment horizontal="left"/>
    </xf>
    <xf numFmtId="9" fontId="0" fillId="0" borderId="13" xfId="55" applyFont="1" applyFill="1" applyBorder="1" applyAlignment="1">
      <alignment horizontal="center"/>
    </xf>
    <xf numFmtId="0" fontId="63" fillId="0" borderId="11" xfId="0" applyFont="1" applyFill="1" applyBorder="1" applyAlignment="1">
      <alignment horizontal="center" wrapText="1"/>
    </xf>
    <xf numFmtId="0" fontId="0" fillId="0" borderId="0" xfId="0" applyFont="1" applyFill="1" applyBorder="1" applyAlignment="1">
      <alignment horizontal="center" wrapText="1"/>
    </xf>
    <xf numFmtId="3" fontId="0" fillId="0" borderId="13" xfId="0" applyNumberFormat="1" applyFont="1" applyFill="1" applyBorder="1" applyAlignment="1">
      <alignment horizontal="right"/>
    </xf>
    <xf numFmtId="0" fontId="0" fillId="0" borderId="49" xfId="0" applyFont="1" applyFill="1" applyBorder="1" applyAlignment="1">
      <alignment horizontal="center"/>
    </xf>
    <xf numFmtId="0" fontId="0" fillId="0" borderId="50" xfId="0" applyFont="1" applyFill="1" applyBorder="1" applyAlignment="1">
      <alignment horizontal="center"/>
    </xf>
    <xf numFmtId="0" fontId="0" fillId="0" borderId="51" xfId="0" applyFont="1" applyFill="1" applyBorder="1" applyAlignment="1">
      <alignment horizontal="center"/>
    </xf>
    <xf numFmtId="0" fontId="0" fillId="0" borderId="41" xfId="0" applyFont="1" applyFill="1" applyBorder="1" applyAlignment="1">
      <alignment horizontal="center"/>
    </xf>
    <xf numFmtId="0" fontId="0" fillId="0" borderId="50" xfId="0" applyFont="1" applyFill="1" applyBorder="1" applyAlignment="1">
      <alignment horizontal="left"/>
    </xf>
    <xf numFmtId="0" fontId="0" fillId="0" borderId="52" xfId="0" applyFont="1" applyFill="1" applyBorder="1" applyAlignment="1">
      <alignment horizontal="center"/>
    </xf>
    <xf numFmtId="213" fontId="0" fillId="0" borderId="42" xfId="0" applyNumberFormat="1" applyFont="1" applyFill="1" applyBorder="1" applyAlignment="1" quotePrefix="1">
      <alignment horizontal="center"/>
    </xf>
    <xf numFmtId="0" fontId="0" fillId="0" borderId="42" xfId="0" applyFont="1" applyFill="1" applyBorder="1" applyAlignment="1">
      <alignment horizontal="left" wrapText="1"/>
    </xf>
    <xf numFmtId="9" fontId="0" fillId="0" borderId="41" xfId="55" applyFont="1" applyFill="1" applyBorder="1" applyAlignment="1">
      <alignment horizontal="center"/>
    </xf>
    <xf numFmtId="0" fontId="0" fillId="0" borderId="47" xfId="0" applyFont="1" applyFill="1" applyBorder="1" applyAlignment="1">
      <alignment horizontal="center"/>
    </xf>
    <xf numFmtId="9" fontId="0" fillId="0" borderId="47" xfId="55" applyFont="1" applyFill="1" applyBorder="1" applyAlignment="1">
      <alignment horizontal="center"/>
    </xf>
    <xf numFmtId="213" fontId="0" fillId="0" borderId="42" xfId="0" applyNumberFormat="1" applyFont="1" applyFill="1" applyBorder="1" applyAlignment="1">
      <alignment horizontal="center"/>
    </xf>
    <xf numFmtId="4" fontId="0" fillId="0" borderId="44" xfId="0" applyNumberFormat="1" applyFont="1" applyFill="1" applyBorder="1" applyAlignment="1">
      <alignment horizontal="right"/>
    </xf>
    <xf numFmtId="0" fontId="0" fillId="0" borderId="42" xfId="0" applyFont="1" applyFill="1" applyBorder="1" applyAlignment="1">
      <alignment horizontal="center"/>
    </xf>
    <xf numFmtId="0" fontId="0" fillId="0" borderId="48" xfId="0" applyFont="1" applyFill="1" applyBorder="1" applyAlignment="1">
      <alignment horizontal="center"/>
    </xf>
    <xf numFmtId="0" fontId="0" fillId="0" borderId="53" xfId="0" applyFont="1" applyFill="1" applyBorder="1" applyAlignment="1">
      <alignment horizontal="center" wrapText="1"/>
    </xf>
    <xf numFmtId="0" fontId="62" fillId="0" borderId="41" xfId="0" applyFont="1" applyFill="1" applyBorder="1" applyAlignment="1">
      <alignment horizontal="center"/>
    </xf>
    <xf numFmtId="9" fontId="62" fillId="0" borderId="41" xfId="55" applyFont="1" applyFill="1" applyBorder="1" applyAlignment="1">
      <alignment horizontal="center"/>
    </xf>
    <xf numFmtId="213" fontId="0" fillId="0" borderId="13" xfId="0" applyNumberFormat="1" applyFont="1" applyFill="1" applyBorder="1" applyAlignment="1">
      <alignment horizontal="center"/>
    </xf>
    <xf numFmtId="0" fontId="0" fillId="0" borderId="54" xfId="0" applyFont="1" applyFill="1" applyBorder="1" applyAlignment="1">
      <alignment horizontal="center"/>
    </xf>
    <xf numFmtId="213" fontId="0" fillId="0" borderId="55" xfId="0" applyNumberFormat="1" applyFont="1" applyFill="1" applyBorder="1" applyAlignment="1" quotePrefix="1">
      <alignment horizontal="center"/>
    </xf>
    <xf numFmtId="0" fontId="0" fillId="0" borderId="54" xfId="0" applyFont="1" applyFill="1" applyBorder="1" applyAlignment="1">
      <alignment horizontal="left" wrapText="1"/>
    </xf>
    <xf numFmtId="0" fontId="0" fillId="0" borderId="54" xfId="0" applyFont="1" applyFill="1" applyBorder="1" applyAlignment="1" quotePrefix="1">
      <alignment horizontal="center"/>
    </xf>
    <xf numFmtId="0" fontId="0" fillId="0" borderId="56" xfId="0" applyFont="1" applyFill="1" applyBorder="1" applyAlignment="1">
      <alignment horizontal="center"/>
    </xf>
    <xf numFmtId="213" fontId="0" fillId="0" borderId="57" xfId="0" applyNumberFormat="1" applyFont="1" applyFill="1" applyBorder="1" applyAlignment="1">
      <alignment horizontal="center"/>
    </xf>
    <xf numFmtId="213" fontId="0" fillId="0" borderId="47" xfId="0" applyNumberFormat="1" applyFont="1" applyFill="1" applyBorder="1" applyAlignment="1" quotePrefix="1">
      <alignment horizontal="center"/>
    </xf>
    <xf numFmtId="0" fontId="0" fillId="0" borderId="58" xfId="0" applyFont="1" applyFill="1" applyBorder="1" applyAlignment="1">
      <alignment horizontal="center"/>
    </xf>
    <xf numFmtId="0" fontId="0" fillId="0" borderId="47" xfId="0" applyFont="1" applyFill="1" applyBorder="1" applyAlignment="1">
      <alignment horizontal="center" wrapText="1"/>
    </xf>
    <xf numFmtId="0" fontId="0" fillId="0" borderId="11" xfId="0" applyFont="1" applyFill="1" applyBorder="1" applyAlignment="1">
      <alignment horizontal="left" vertical="center"/>
    </xf>
    <xf numFmtId="0" fontId="0" fillId="0" borderId="51" xfId="0" applyFont="1" applyFill="1" applyBorder="1" applyAlignment="1">
      <alignment horizontal="left" wrapText="1"/>
    </xf>
    <xf numFmtId="0" fontId="0" fillId="0" borderId="51" xfId="0" applyFont="1" applyFill="1" applyBorder="1" applyAlignment="1">
      <alignment horizontal="center" wrapText="1"/>
    </xf>
    <xf numFmtId="9" fontId="0" fillId="0" borderId="51" xfId="55" applyFont="1" applyFill="1" applyBorder="1" applyAlignment="1">
      <alignment horizontal="center"/>
    </xf>
    <xf numFmtId="0" fontId="9" fillId="0" borderId="59" xfId="0" applyFont="1" applyFill="1" applyBorder="1" applyAlignment="1">
      <alignment horizontal="center"/>
    </xf>
    <xf numFmtId="3" fontId="9" fillId="0" borderId="51" xfId="0" applyNumberFormat="1" applyFont="1" applyFill="1" applyBorder="1" applyAlignment="1">
      <alignment horizontal="right"/>
    </xf>
    <xf numFmtId="3" fontId="9" fillId="0" borderId="60" xfId="0" applyNumberFormat="1" applyFont="1" applyFill="1" applyBorder="1" applyAlignment="1">
      <alignment horizontal="right"/>
    </xf>
    <xf numFmtId="0" fontId="0" fillId="0" borderId="49" xfId="0" applyFont="1" applyFill="1" applyBorder="1" applyAlignment="1">
      <alignment horizontal="left"/>
    </xf>
    <xf numFmtId="4" fontId="0" fillId="0" borderId="47" xfId="0" applyNumberFormat="1" applyFont="1" applyFill="1" applyBorder="1" applyAlignment="1">
      <alignment horizontal="right"/>
    </xf>
    <xf numFmtId="9" fontId="0" fillId="0" borderId="53" xfId="0" applyNumberFormat="1" applyFont="1" applyFill="1" applyBorder="1" applyAlignment="1">
      <alignment horizontal="center" wrapText="1"/>
    </xf>
    <xf numFmtId="15" fontId="0" fillId="0" borderId="19" xfId="0" applyNumberFormat="1" applyFill="1" applyBorder="1" applyAlignment="1">
      <alignment/>
    </xf>
    <xf numFmtId="0" fontId="0" fillId="0" borderId="19" xfId="0"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3" fontId="11" fillId="0" borderId="18" xfId="0" applyNumberFormat="1" applyFont="1" applyFill="1" applyBorder="1" applyAlignment="1">
      <alignment/>
    </xf>
    <xf numFmtId="0" fontId="0" fillId="0" borderId="11" xfId="0" applyFill="1" applyBorder="1" applyAlignment="1">
      <alignment/>
    </xf>
    <xf numFmtId="15" fontId="0" fillId="0" borderId="20" xfId="0" applyNumberFormat="1" applyFill="1" applyBorder="1" applyAlignment="1">
      <alignment/>
    </xf>
    <xf numFmtId="0" fontId="0" fillId="0" borderId="20" xfId="0" applyFill="1" applyBorder="1" applyAlignment="1">
      <alignment/>
    </xf>
    <xf numFmtId="3" fontId="0" fillId="0" borderId="0" xfId="0" applyNumberFormat="1" applyFill="1" applyBorder="1" applyAlignment="1">
      <alignment/>
    </xf>
    <xf numFmtId="3" fontId="0" fillId="0" borderId="13" xfId="0" applyNumberFormat="1" applyFont="1" applyFill="1" applyBorder="1" applyAlignment="1">
      <alignment/>
    </xf>
    <xf numFmtId="0" fontId="6" fillId="0" borderId="11" xfId="0" applyFont="1" applyFill="1" applyBorder="1" applyAlignment="1">
      <alignment/>
    </xf>
    <xf numFmtId="15" fontId="0" fillId="0" borderId="20" xfId="0" applyNumberFormat="1" applyFont="1" applyFill="1" applyBorder="1" applyAlignment="1">
      <alignment/>
    </xf>
    <xf numFmtId="0" fontId="0" fillId="0" borderId="11" xfId="0" applyFont="1" applyFill="1" applyBorder="1" applyAlignment="1">
      <alignment/>
    </xf>
    <xf numFmtId="3" fontId="6" fillId="0" borderId="13" xfId="0" applyNumberFormat="1" applyFont="1" applyFill="1" applyBorder="1" applyAlignment="1">
      <alignment/>
    </xf>
    <xf numFmtId="9" fontId="62" fillId="0" borderId="0" xfId="55" applyFont="1" applyFill="1" applyBorder="1" applyAlignment="1">
      <alignment horizontal="center"/>
    </xf>
    <xf numFmtId="0" fontId="0" fillId="0" borderId="20" xfId="0" applyFont="1" applyFill="1" applyBorder="1" applyAlignment="1">
      <alignment horizontal="justify" wrapText="1"/>
    </xf>
    <xf numFmtId="0" fontId="6" fillId="0" borderId="12" xfId="0" applyFont="1" applyFill="1" applyBorder="1" applyAlignment="1" applyProtection="1">
      <alignment/>
      <protection/>
    </xf>
    <xf numFmtId="15" fontId="0" fillId="0" borderId="21" xfId="0" applyNumberFormat="1" applyFill="1" applyBorder="1" applyAlignment="1">
      <alignment horizontal="center"/>
    </xf>
    <xf numFmtId="0" fontId="0" fillId="0" borderId="21" xfId="0" applyFont="1" applyFill="1" applyBorder="1" applyAlignment="1" quotePrefix="1">
      <alignment/>
    </xf>
    <xf numFmtId="0" fontId="0" fillId="0" borderId="10" xfId="0" applyFill="1" applyBorder="1" applyAlignment="1">
      <alignment/>
    </xf>
    <xf numFmtId="3" fontId="0" fillId="0" borderId="10" xfId="0" applyNumberFormat="1" applyFill="1" applyBorder="1" applyAlignment="1">
      <alignment/>
    </xf>
    <xf numFmtId="3" fontId="6" fillId="0" borderId="14" xfId="0" applyNumberFormat="1" applyFont="1" applyFill="1" applyBorder="1" applyAlignment="1">
      <alignment/>
    </xf>
    <xf numFmtId="0" fontId="13" fillId="0" borderId="19" xfId="0" applyFont="1" applyFill="1" applyBorder="1" applyAlignment="1">
      <alignment/>
    </xf>
    <xf numFmtId="0" fontId="0" fillId="0" borderId="20" xfId="0" applyFill="1" applyBorder="1" applyAlignment="1">
      <alignment/>
    </xf>
    <xf numFmtId="0" fontId="6" fillId="0" borderId="20" xfId="0" applyFont="1" applyFill="1" applyBorder="1" applyAlignment="1">
      <alignment horizontal="left"/>
    </xf>
    <xf numFmtId="0" fontId="0" fillId="0" borderId="61" xfId="0" applyFont="1" applyFill="1" applyBorder="1" applyAlignment="1">
      <alignment horizontal="center"/>
    </xf>
    <xf numFmtId="213" fontId="0" fillId="0" borderId="61" xfId="0" applyNumberFormat="1" applyFont="1" applyFill="1" applyBorder="1" applyAlignment="1">
      <alignment horizontal="center"/>
    </xf>
    <xf numFmtId="0" fontId="0" fillId="0" borderId="62" xfId="0" applyFont="1" applyFill="1" applyBorder="1" applyAlignment="1">
      <alignment horizontal="left" wrapText="1"/>
    </xf>
    <xf numFmtId="0" fontId="0" fillId="0" borderId="62" xfId="0" applyFont="1" applyFill="1" applyBorder="1" applyAlignment="1">
      <alignment horizontal="center" wrapText="1"/>
    </xf>
    <xf numFmtId="0" fontId="0" fillId="0" borderId="62" xfId="0" applyFont="1" applyFill="1" applyBorder="1" applyAlignment="1" quotePrefix="1">
      <alignment horizontal="center"/>
    </xf>
    <xf numFmtId="9" fontId="62" fillId="0" borderId="62" xfId="55" applyFont="1" applyFill="1" applyBorder="1" applyAlignment="1">
      <alignment horizontal="center"/>
    </xf>
    <xf numFmtId="0" fontId="9" fillId="0" borderId="63" xfId="0" applyFont="1" applyFill="1" applyBorder="1" applyAlignment="1">
      <alignment horizontal="center"/>
    </xf>
    <xf numFmtId="3" fontId="9" fillId="0" borderId="62" xfId="0" applyNumberFormat="1" applyFont="1" applyFill="1" applyBorder="1" applyAlignment="1">
      <alignment horizontal="right"/>
    </xf>
    <xf numFmtId="3" fontId="9" fillId="0" borderId="13" xfId="0" applyNumberFormat="1" applyFont="1" applyFill="1" applyBorder="1" applyAlignment="1">
      <alignment horizontal="right"/>
    </xf>
    <xf numFmtId="0" fontId="0" fillId="0" borderId="0" xfId="0" applyFont="1" applyFill="1" applyBorder="1" applyAlignment="1">
      <alignment horizontal="left" wrapText="1"/>
    </xf>
    <xf numFmtId="0" fontId="1" fillId="0" borderId="0" xfId="0" applyFont="1" applyFill="1" applyBorder="1" applyAlignment="1">
      <alignment horizontal="center" wrapText="1"/>
    </xf>
    <xf numFmtId="0" fontId="0" fillId="0" borderId="0" xfId="0" applyFont="1" applyFill="1" applyBorder="1" applyAlignment="1" quotePrefix="1">
      <alignment horizontal="center"/>
    </xf>
    <xf numFmtId="9" fontId="1" fillId="0" borderId="0" xfId="55" applyFont="1" applyFill="1" applyBorder="1" applyAlignment="1">
      <alignment horizontal="center"/>
    </xf>
    <xf numFmtId="0" fontId="6" fillId="0" borderId="20" xfId="0" applyFont="1" applyFill="1" applyBorder="1" applyAlignment="1" applyProtection="1">
      <alignment/>
      <protection/>
    </xf>
    <xf numFmtId="213" fontId="0" fillId="0" borderId="49" xfId="0" applyNumberFormat="1" applyFont="1" applyFill="1" applyBorder="1" applyAlignment="1">
      <alignment horizontal="center"/>
    </xf>
    <xf numFmtId="0" fontId="62" fillId="0" borderId="51" xfId="0" applyFont="1" applyFill="1" applyBorder="1" applyAlignment="1">
      <alignment horizontal="center" wrapText="1"/>
    </xf>
    <xf numFmtId="10" fontId="0" fillId="0" borderId="51" xfId="0" applyNumberFormat="1" applyFont="1" applyFill="1" applyBorder="1" applyAlignment="1">
      <alignment horizontal="center"/>
    </xf>
    <xf numFmtId="213" fontId="0" fillId="0" borderId="50" xfId="0" applyNumberFormat="1" applyFont="1" applyFill="1" applyBorder="1" applyAlignment="1">
      <alignment horizontal="center"/>
    </xf>
    <xf numFmtId="0" fontId="0" fillId="0" borderId="41" xfId="0" applyFont="1" applyFill="1" applyBorder="1" applyAlignment="1">
      <alignment horizontal="justify" wrapText="1"/>
    </xf>
    <xf numFmtId="0" fontId="62" fillId="0" borderId="41" xfId="0" applyFont="1" applyFill="1" applyBorder="1" applyAlignment="1">
      <alignment horizontal="center" wrapText="1"/>
    </xf>
    <xf numFmtId="10" fontId="0" fillId="0" borderId="41" xfId="0" applyNumberFormat="1" applyFont="1" applyFill="1" applyBorder="1" applyAlignment="1">
      <alignment horizontal="center"/>
    </xf>
    <xf numFmtId="0" fontId="9" fillId="0" borderId="53" xfId="0" applyFont="1" applyFill="1" applyBorder="1" applyAlignment="1">
      <alignment horizontal="center"/>
    </xf>
    <xf numFmtId="3" fontId="9" fillId="0" borderId="41" xfId="0" applyNumberFormat="1" applyFont="1" applyFill="1" applyBorder="1" applyAlignment="1">
      <alignment horizontal="right"/>
    </xf>
    <xf numFmtId="0" fontId="0" fillId="0" borderId="0" xfId="0" applyFont="1" applyFill="1" applyBorder="1" applyAlignment="1">
      <alignment horizontal="justify" wrapText="1"/>
    </xf>
    <xf numFmtId="0" fontId="62" fillId="0" borderId="0" xfId="0" applyFont="1" applyFill="1" applyBorder="1" applyAlignment="1">
      <alignment horizontal="center" wrapText="1"/>
    </xf>
    <xf numFmtId="9" fontId="0" fillId="0" borderId="0" xfId="0" applyNumberFormat="1" applyFont="1" applyFill="1" applyBorder="1" applyAlignment="1">
      <alignment horizontal="center" wrapText="1"/>
    </xf>
    <xf numFmtId="10" fontId="0" fillId="0" borderId="0" xfId="0" applyNumberFormat="1" applyFont="1" applyFill="1" applyBorder="1" applyAlignment="1">
      <alignment horizontal="center"/>
    </xf>
    <xf numFmtId="0" fontId="6" fillId="0" borderId="20" xfId="0" applyFont="1" applyFill="1" applyBorder="1" applyAlignment="1">
      <alignment/>
    </xf>
    <xf numFmtId="9" fontId="62" fillId="0" borderId="51" xfId="55" applyFont="1" applyFill="1" applyBorder="1" applyAlignment="1">
      <alignment horizontal="center"/>
    </xf>
    <xf numFmtId="0" fontId="0" fillId="0" borderId="41" xfId="0" applyFont="1" applyFill="1" applyBorder="1" applyAlignment="1">
      <alignment horizontal="center" wrapText="1"/>
    </xf>
    <xf numFmtId="12" fontId="0" fillId="0" borderId="0" xfId="55" applyNumberFormat="1" applyFont="1" applyFill="1" applyBorder="1" applyAlignment="1">
      <alignment horizontal="center"/>
    </xf>
    <xf numFmtId="213" fontId="0" fillId="0" borderId="21" xfId="0" applyNumberFormat="1" applyFont="1" applyFill="1" applyBorder="1" applyAlignment="1">
      <alignment horizontal="center"/>
    </xf>
    <xf numFmtId="0" fontId="0" fillId="0" borderId="21" xfId="0" applyFont="1" applyFill="1" applyBorder="1" applyAlignment="1">
      <alignment horizontal="left"/>
    </xf>
    <xf numFmtId="0" fontId="0" fillId="0" borderId="21" xfId="0" applyFont="1" applyFill="1" applyBorder="1" applyAlignment="1">
      <alignment/>
    </xf>
    <xf numFmtId="0" fontId="0" fillId="0" borderId="10" xfId="0" applyFont="1" applyFill="1" applyBorder="1" applyAlignment="1">
      <alignment horizontal="justify" wrapText="1"/>
    </xf>
    <xf numFmtId="0" fontId="0" fillId="0" borderId="10" xfId="0" applyFont="1" applyFill="1" applyBorder="1" applyAlignment="1">
      <alignment/>
    </xf>
    <xf numFmtId="0" fontId="0" fillId="0" borderId="10" xfId="0" applyFont="1" applyFill="1" applyBorder="1" applyAlignment="1">
      <alignment horizontal="center" wrapText="1"/>
    </xf>
    <xf numFmtId="9" fontId="0" fillId="0" borderId="10" xfId="55" applyFont="1" applyFill="1" applyBorder="1" applyAlignment="1">
      <alignment horizontal="center"/>
    </xf>
    <xf numFmtId="3" fontId="9" fillId="0" borderId="10" xfId="0" applyNumberFormat="1" applyFont="1" applyFill="1" applyBorder="1" applyAlignment="1">
      <alignment horizontal="right"/>
    </xf>
    <xf numFmtId="3" fontId="9" fillId="0" borderId="14" xfId="0" applyNumberFormat="1" applyFont="1" applyFill="1" applyBorder="1" applyAlignment="1">
      <alignment horizontal="right"/>
    </xf>
    <xf numFmtId="0" fontId="9" fillId="0" borderId="20" xfId="0" applyFont="1" applyFill="1" applyBorder="1" applyAlignment="1">
      <alignment horizontal="left"/>
    </xf>
    <xf numFmtId="0" fontId="9" fillId="0" borderId="0" xfId="0" applyFont="1" applyFill="1" applyBorder="1" applyAlignment="1">
      <alignment horizontal="justify" wrapText="1"/>
    </xf>
    <xf numFmtId="0" fontId="9" fillId="0" borderId="0" xfId="0" applyFont="1" applyFill="1" applyBorder="1" applyAlignment="1">
      <alignment horizontal="center" wrapText="1"/>
    </xf>
    <xf numFmtId="9" fontId="9" fillId="0" borderId="0" xfId="55" applyFont="1" applyFill="1" applyBorder="1" applyAlignment="1">
      <alignment horizontal="center"/>
    </xf>
    <xf numFmtId="0" fontId="0" fillId="0" borderId="11" xfId="0" applyFont="1" applyFill="1" applyBorder="1" applyAlignment="1">
      <alignment horizontal="center" wrapText="1"/>
    </xf>
    <xf numFmtId="0" fontId="0" fillId="0" borderId="42" xfId="0" applyFont="1" applyFill="1" applyBorder="1" applyAlignment="1">
      <alignment horizontal="justify" wrapText="1"/>
    </xf>
    <xf numFmtId="0" fontId="0" fillId="0" borderId="52" xfId="0" applyFont="1" applyFill="1" applyBorder="1" applyAlignment="1">
      <alignment horizontal="center" wrapText="1"/>
    </xf>
    <xf numFmtId="0" fontId="0" fillId="0" borderId="42" xfId="0" applyFont="1" applyFill="1" applyBorder="1" applyAlignment="1">
      <alignment horizontal="left"/>
    </xf>
    <xf numFmtId="9" fontId="0" fillId="0" borderId="47" xfId="0" applyNumberFormat="1" applyFont="1" applyFill="1" applyBorder="1" applyAlignment="1">
      <alignment horizontal="center"/>
    </xf>
    <xf numFmtId="3" fontId="0" fillId="0" borderId="0" xfId="0" applyNumberFormat="1" applyFill="1" applyAlignment="1">
      <alignment/>
    </xf>
    <xf numFmtId="0" fontId="9" fillId="0" borderId="53" xfId="0" applyFont="1" applyFill="1" applyBorder="1" applyAlignment="1">
      <alignment horizontal="center" wrapText="1"/>
    </xf>
    <xf numFmtId="4" fontId="9" fillId="0" borderId="10" xfId="0" applyNumberFormat="1" applyFont="1" applyFill="1" applyBorder="1" applyAlignment="1">
      <alignment horizontal="right"/>
    </xf>
    <xf numFmtId="4" fontId="9" fillId="0" borderId="14" xfId="0" applyNumberFormat="1" applyFont="1" applyFill="1" applyBorder="1" applyAlignment="1">
      <alignment horizontal="right"/>
    </xf>
    <xf numFmtId="0" fontId="9" fillId="0" borderId="16" xfId="0" applyFont="1" applyFill="1" applyBorder="1" applyAlignment="1">
      <alignment horizontal="center"/>
    </xf>
    <xf numFmtId="0" fontId="9" fillId="0" borderId="16" xfId="0" applyFont="1" applyFill="1" applyBorder="1" applyAlignment="1">
      <alignment horizontal="center" wrapText="1"/>
    </xf>
    <xf numFmtId="4" fontId="9" fillId="0" borderId="17" xfId="0" applyNumberFormat="1" applyFont="1" applyFill="1" applyBorder="1" applyAlignment="1">
      <alignment horizontal="right"/>
    </xf>
    <xf numFmtId="4" fontId="9" fillId="0" borderId="18" xfId="0" applyNumberFormat="1" applyFont="1" applyFill="1" applyBorder="1" applyAlignment="1">
      <alignment horizontal="right"/>
    </xf>
    <xf numFmtId="0" fontId="13" fillId="0" borderId="20" xfId="0" applyFont="1" applyFill="1" applyBorder="1" applyAlignment="1">
      <alignment/>
    </xf>
    <xf numFmtId="0" fontId="9" fillId="0" borderId="11" xfId="0" applyFont="1" applyFill="1" applyBorder="1" applyAlignment="1">
      <alignment horizontal="center" wrapText="1"/>
    </xf>
    <xf numFmtId="4" fontId="9" fillId="0" borderId="0" xfId="0" applyNumberFormat="1" applyFont="1" applyFill="1" applyBorder="1" applyAlignment="1">
      <alignment horizontal="right"/>
    </xf>
    <xf numFmtId="3" fontId="11" fillId="0" borderId="13" xfId="0" applyNumberFormat="1" applyFont="1" applyFill="1" applyBorder="1" applyAlignment="1">
      <alignment/>
    </xf>
    <xf numFmtId="4" fontId="9" fillId="0" borderId="13" xfId="0" applyNumberFormat="1" applyFont="1" applyFill="1" applyBorder="1" applyAlignment="1">
      <alignment horizontal="right"/>
    </xf>
    <xf numFmtId="4" fontId="0" fillId="0" borderId="0" xfId="0" applyNumberFormat="1" applyFont="1" applyFill="1" applyBorder="1" applyAlignment="1">
      <alignment horizontal="right"/>
    </xf>
    <xf numFmtId="4" fontId="0" fillId="0" borderId="13" xfId="0" applyNumberFormat="1" applyFont="1" applyFill="1" applyBorder="1" applyAlignment="1">
      <alignment horizontal="right"/>
    </xf>
    <xf numFmtId="9" fontId="62" fillId="0" borderId="53" xfId="55" applyFont="1" applyFill="1" applyBorder="1" applyAlignment="1">
      <alignment horizontal="center"/>
    </xf>
    <xf numFmtId="3" fontId="0" fillId="0" borderId="47" xfId="0" applyNumberFormat="1" applyFont="1" applyFill="1" applyBorder="1" applyAlignment="1">
      <alignment horizontal="right"/>
    </xf>
    <xf numFmtId="0" fontId="62" fillId="0" borderId="53" xfId="0" applyFont="1" applyFill="1" applyBorder="1" applyAlignment="1">
      <alignment horizontal="center" wrapText="1"/>
    </xf>
    <xf numFmtId="9" fontId="0" fillId="0" borderId="48" xfId="55" applyFont="1" applyFill="1" applyBorder="1" applyAlignment="1">
      <alignment horizontal="center"/>
    </xf>
    <xf numFmtId="3" fontId="0" fillId="0" borderId="44" xfId="0" applyNumberFormat="1" applyFont="1" applyFill="1" applyBorder="1" applyAlignment="1">
      <alignment horizontal="right"/>
    </xf>
    <xf numFmtId="0" fontId="6" fillId="0" borderId="21" xfId="0" applyFont="1" applyFill="1" applyBorder="1" applyAlignment="1" applyProtection="1">
      <alignment/>
      <protection/>
    </xf>
    <xf numFmtId="0" fontId="0" fillId="0" borderId="14" xfId="0" applyFill="1" applyBorder="1" applyAlignment="1">
      <alignment horizontal="center"/>
    </xf>
    <xf numFmtId="9" fontId="0" fillId="0" borderId="56" xfId="55" applyFont="1" applyFill="1" applyBorder="1" applyAlignment="1">
      <alignment horizontal="center"/>
    </xf>
    <xf numFmtId="3" fontId="9" fillId="0" borderId="47" xfId="0" applyNumberFormat="1" applyFont="1" applyFill="1" applyBorder="1" applyAlignment="1">
      <alignment horizontal="right"/>
    </xf>
    <xf numFmtId="3" fontId="62" fillId="0" borderId="0" xfId="0" applyNumberFormat="1" applyFont="1" applyFill="1" applyBorder="1" applyAlignment="1">
      <alignment/>
    </xf>
    <xf numFmtId="0" fontId="0" fillId="0" borderId="56" xfId="0" applyFont="1" applyFill="1" applyBorder="1" applyAlignment="1">
      <alignment horizontal="center" wrapText="1"/>
    </xf>
    <xf numFmtId="4" fontId="9" fillId="0" borderId="55" xfId="0" applyNumberFormat="1" applyFont="1" applyFill="1" applyBorder="1" applyAlignment="1">
      <alignment horizontal="right"/>
    </xf>
    <xf numFmtId="3" fontId="9" fillId="0" borderId="44" xfId="0" applyNumberFormat="1" applyFont="1" applyFill="1" applyBorder="1" applyAlignment="1">
      <alignment horizontal="right"/>
    </xf>
    <xf numFmtId="0" fontId="9" fillId="0" borderId="52" xfId="0" applyFont="1" applyFill="1" applyBorder="1" applyAlignment="1">
      <alignment horizontal="center"/>
    </xf>
    <xf numFmtId="0" fontId="9" fillId="0" borderId="64" xfId="0" applyFont="1" applyFill="1" applyBorder="1" applyAlignment="1">
      <alignment horizontal="center"/>
    </xf>
    <xf numFmtId="0" fontId="9" fillId="0" borderId="65" xfId="0" applyFont="1" applyFill="1" applyBorder="1" applyAlignment="1">
      <alignment horizontal="center" wrapText="1"/>
    </xf>
    <xf numFmtId="9" fontId="9" fillId="0" borderId="46" xfId="55" applyFont="1" applyFill="1" applyBorder="1" applyAlignment="1">
      <alignment horizontal="center"/>
    </xf>
    <xf numFmtId="0" fontId="0" fillId="0" borderId="64" xfId="0" applyFont="1" applyFill="1" applyBorder="1" applyAlignment="1">
      <alignment horizontal="center"/>
    </xf>
    <xf numFmtId="3" fontId="9" fillId="0" borderId="66" xfId="0" applyNumberFormat="1" applyFont="1" applyFill="1" applyBorder="1" applyAlignment="1">
      <alignment horizontal="right"/>
    </xf>
    <xf numFmtId="3" fontId="9" fillId="0" borderId="45" xfId="0" applyNumberFormat="1" applyFont="1" applyFill="1" applyBorder="1" applyAlignment="1">
      <alignment horizontal="right"/>
    </xf>
    <xf numFmtId="10" fontId="62" fillId="0" borderId="59" xfId="0" applyNumberFormat="1" applyFont="1" applyFill="1" applyBorder="1" applyAlignment="1" quotePrefix="1">
      <alignment horizontal="center"/>
    </xf>
    <xf numFmtId="10" fontId="0" fillId="0" borderId="51" xfId="0" applyNumberFormat="1" applyFont="1" applyFill="1" applyBorder="1" applyAlignment="1" quotePrefix="1">
      <alignment horizontal="center"/>
    </xf>
    <xf numFmtId="10" fontId="62" fillId="0" borderId="60" xfId="0" applyNumberFormat="1" applyFont="1" applyFill="1" applyBorder="1" applyAlignment="1" quotePrefix="1">
      <alignment horizontal="center"/>
    </xf>
    <xf numFmtId="10" fontId="0" fillId="0" borderId="67" xfId="0" applyNumberFormat="1" applyFont="1" applyFill="1" applyBorder="1" applyAlignment="1">
      <alignment horizontal="center" wrapText="1"/>
    </xf>
    <xf numFmtId="0" fontId="62" fillId="0" borderId="56" xfId="0" applyFont="1" applyFill="1" applyBorder="1" applyAlignment="1">
      <alignment horizontal="center" wrapText="1"/>
    </xf>
    <xf numFmtId="0" fontId="0" fillId="0" borderId="68" xfId="0" applyFont="1" applyFill="1" applyBorder="1" applyAlignment="1">
      <alignment horizontal="center" wrapText="1"/>
    </xf>
    <xf numFmtId="9" fontId="62" fillId="0" borderId="58" xfId="55" applyFont="1" applyFill="1" applyBorder="1" applyAlignment="1">
      <alignment horizontal="center"/>
    </xf>
    <xf numFmtId="0" fontId="0" fillId="0" borderId="67" xfId="0" applyFont="1" applyFill="1" applyBorder="1" applyAlignment="1">
      <alignment horizontal="center" wrapText="1"/>
    </xf>
    <xf numFmtId="10" fontId="0" fillId="0" borderId="52" xfId="0" applyNumberFormat="1" applyFont="1" applyFill="1" applyBorder="1" applyAlignment="1">
      <alignment horizontal="center" wrapText="1"/>
    </xf>
    <xf numFmtId="9" fontId="9" fillId="0" borderId="69" xfId="55" applyFont="1" applyFill="1" applyBorder="1" applyAlignment="1">
      <alignment horizontal="center"/>
    </xf>
    <xf numFmtId="0" fontId="8" fillId="0" borderId="0" xfId="0" applyFont="1" applyFill="1" applyBorder="1" applyAlignment="1">
      <alignment/>
    </xf>
    <xf numFmtId="15" fontId="0" fillId="0" borderId="0"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center"/>
    </xf>
    <xf numFmtId="3" fontId="0" fillId="0" borderId="0" xfId="0" applyNumberFormat="1" applyFont="1" applyFill="1" applyBorder="1" applyAlignment="1">
      <alignment horizontal="left"/>
    </xf>
    <xf numFmtId="0" fontId="16" fillId="0" borderId="0" xfId="0" applyFont="1" applyFill="1" applyBorder="1" applyAlignment="1">
      <alignment/>
    </xf>
    <xf numFmtId="0" fontId="16" fillId="0" borderId="0" xfId="0" applyFont="1" applyFill="1" applyBorder="1" applyAlignment="1" quotePrefix="1">
      <alignment/>
    </xf>
    <xf numFmtId="0" fontId="16" fillId="0" borderId="0" xfId="0" applyFont="1" applyFill="1" applyBorder="1" applyAlignment="1">
      <alignment/>
    </xf>
    <xf numFmtId="15" fontId="9" fillId="0" borderId="0" xfId="0" applyNumberFormat="1" applyFont="1" applyFill="1" applyBorder="1" applyAlignment="1">
      <alignment horizontal="center"/>
    </xf>
    <xf numFmtId="0" fontId="9" fillId="0" borderId="0" xfId="0" applyFont="1" applyFill="1" applyBorder="1" applyAlignment="1">
      <alignment/>
    </xf>
    <xf numFmtId="0" fontId="19" fillId="0" borderId="0" xfId="0" applyFont="1" applyFill="1" applyBorder="1" applyAlignment="1">
      <alignment/>
    </xf>
    <xf numFmtId="0" fontId="16" fillId="0" borderId="0" xfId="0" applyFont="1" applyFill="1" applyBorder="1" applyAlignment="1" quotePrefix="1">
      <alignment/>
    </xf>
    <xf numFmtId="214" fontId="9" fillId="0" borderId="0" xfId="0" applyNumberFormat="1" applyFont="1" applyFill="1" applyBorder="1" applyAlignment="1">
      <alignment horizontal="center"/>
    </xf>
    <xf numFmtId="0" fontId="9" fillId="0" borderId="0" xfId="0" applyFont="1" applyFill="1" applyBorder="1" applyAlignment="1">
      <alignment horizontal="left"/>
    </xf>
    <xf numFmtId="9" fontId="9" fillId="0" borderId="0" xfId="0" applyNumberFormat="1" applyFont="1" applyFill="1" applyBorder="1" applyAlignment="1">
      <alignment horizontal="left"/>
    </xf>
    <xf numFmtId="10" fontId="9" fillId="0" borderId="0" xfId="0" applyNumberFormat="1" applyFont="1" applyFill="1" applyBorder="1" applyAlignment="1">
      <alignment horizontal="center"/>
    </xf>
    <xf numFmtId="215" fontId="9" fillId="0" borderId="0" xfId="49" applyNumberFormat="1" applyFont="1" applyFill="1" applyBorder="1" applyAlignment="1">
      <alignment horizontal="left"/>
    </xf>
    <xf numFmtId="4" fontId="17" fillId="0" borderId="0" xfId="0" applyNumberFormat="1" applyFont="1"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quotePrefix="1">
      <alignment horizontal="left"/>
    </xf>
    <xf numFmtId="0" fontId="16" fillId="0" borderId="0" xfId="0" applyFont="1" applyFill="1" applyAlignment="1">
      <alignment/>
    </xf>
    <xf numFmtId="0" fontId="0" fillId="0" borderId="0" xfId="0" applyFont="1" applyFill="1" applyAlignment="1">
      <alignment/>
    </xf>
    <xf numFmtId="15" fontId="0" fillId="0" borderId="0" xfId="0" applyNumberFormat="1" applyFill="1" applyAlignment="1">
      <alignment/>
    </xf>
    <xf numFmtId="0" fontId="0" fillId="0" borderId="0" xfId="0" applyFill="1" applyAlignment="1">
      <alignment horizontal="center"/>
    </xf>
    <xf numFmtId="0" fontId="16" fillId="0" borderId="0" xfId="0" applyFont="1" applyFill="1" applyAlignment="1" quotePrefix="1">
      <alignment horizontal="left"/>
    </xf>
    <xf numFmtId="0" fontId="0" fillId="0" borderId="0" xfId="0" applyFont="1" applyFill="1" applyAlignment="1" quotePrefix="1">
      <alignment horizontal="left"/>
    </xf>
    <xf numFmtId="0" fontId="16" fillId="0" borderId="0" xfId="0" applyFont="1" applyFill="1" applyAlignment="1" quotePrefix="1">
      <alignment/>
    </xf>
    <xf numFmtId="0" fontId="0" fillId="0" borderId="0" xfId="0" applyFont="1" applyFill="1" applyAlignment="1">
      <alignment horizontal="center"/>
    </xf>
    <xf numFmtId="15" fontId="9" fillId="0" borderId="0" xfId="0" applyNumberFormat="1" applyFont="1" applyFill="1" applyBorder="1" applyAlignment="1">
      <alignment/>
    </xf>
    <xf numFmtId="15" fontId="0" fillId="0" borderId="0" xfId="0" applyNumberFormat="1" applyFont="1" applyFill="1" applyAlignment="1">
      <alignment/>
    </xf>
    <xf numFmtId="0" fontId="0" fillId="0" borderId="0" xfId="0" applyFont="1" applyFill="1" applyAlignment="1">
      <alignment horizontal="center"/>
    </xf>
    <xf numFmtId="3" fontId="0" fillId="0" borderId="0" xfId="0" applyNumberFormat="1" applyFont="1" applyFill="1" applyAlignment="1">
      <alignment/>
    </xf>
    <xf numFmtId="0" fontId="1" fillId="0" borderId="0" xfId="0"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213" fontId="0" fillId="0" borderId="0" xfId="0" applyNumberFormat="1" applyFont="1" applyFill="1" applyBorder="1" applyAlignment="1">
      <alignment horizontal="center"/>
    </xf>
    <xf numFmtId="9" fontId="0" fillId="0" borderId="11" xfId="0" applyNumberFormat="1" applyFont="1" applyFill="1" applyBorder="1" applyAlignment="1">
      <alignment horizontal="center"/>
    </xf>
    <xf numFmtId="9" fontId="0" fillId="0" borderId="11" xfId="0" applyNumberFormat="1" applyFont="1" applyFill="1" applyBorder="1" applyAlignment="1">
      <alignment horizontal="center" wrapText="1"/>
    </xf>
    <xf numFmtId="0" fontId="62" fillId="0" borderId="11" xfId="0" applyFont="1" applyFill="1" applyBorder="1" applyAlignment="1">
      <alignment horizontal="center" wrapText="1"/>
    </xf>
    <xf numFmtId="15" fontId="0" fillId="0" borderId="11" xfId="0" applyNumberFormat="1" applyFont="1" applyFill="1" applyBorder="1" applyAlignment="1">
      <alignment/>
    </xf>
    <xf numFmtId="0" fontId="0" fillId="0" borderId="70" xfId="0" applyFont="1" applyFill="1" applyBorder="1" applyAlignment="1">
      <alignment horizontal="center"/>
    </xf>
    <xf numFmtId="0" fontId="0" fillId="0" borderId="55" xfId="0" applyFont="1" applyFill="1" applyBorder="1" applyAlignment="1">
      <alignment horizontal="center"/>
    </xf>
    <xf numFmtId="10" fontId="0" fillId="0" borderId="11" xfId="0" applyNumberFormat="1" applyFont="1" applyFill="1" applyBorder="1" applyAlignment="1">
      <alignment horizontal="center" wrapText="1"/>
    </xf>
    <xf numFmtId="3" fontId="0" fillId="0" borderId="55" xfId="0" applyNumberFormat="1" applyFont="1" applyFill="1" applyBorder="1" applyAlignment="1">
      <alignment horizontal="right"/>
    </xf>
    <xf numFmtId="3" fontId="0" fillId="0" borderId="71" xfId="0" applyNumberFormat="1" applyFont="1" applyFill="1" applyBorder="1" applyAlignment="1">
      <alignment horizontal="right"/>
    </xf>
    <xf numFmtId="213" fontId="0" fillId="0" borderId="66" xfId="0" applyNumberFormat="1" applyFont="1" applyFill="1" applyBorder="1" applyAlignment="1" quotePrefix="1">
      <alignment horizontal="center"/>
    </xf>
    <xf numFmtId="0" fontId="0" fillId="0" borderId="43" xfId="0" applyFont="1" applyFill="1" applyBorder="1" applyAlignment="1">
      <alignment horizontal="left" wrapText="1"/>
    </xf>
    <xf numFmtId="0" fontId="0" fillId="0" borderId="66" xfId="0" applyFont="1" applyFill="1" applyBorder="1" applyAlignment="1">
      <alignment horizontal="center"/>
    </xf>
    <xf numFmtId="10" fontId="0" fillId="0" borderId="12" xfId="0" applyNumberFormat="1" applyFont="1" applyFill="1" applyBorder="1" applyAlignment="1">
      <alignment horizontal="center" wrapText="1"/>
    </xf>
    <xf numFmtId="0" fontId="0" fillId="0" borderId="46" xfId="0" applyFont="1" applyFill="1" applyBorder="1" applyAlignment="1">
      <alignment horizontal="center"/>
    </xf>
    <xf numFmtId="0" fontId="0" fillId="0" borderId="69" xfId="0" applyFont="1" applyFill="1" applyBorder="1" applyAlignment="1">
      <alignment horizontal="center"/>
    </xf>
    <xf numFmtId="3" fontId="0" fillId="0" borderId="66" xfId="0" applyNumberFormat="1" applyFont="1" applyFill="1" applyBorder="1" applyAlignment="1">
      <alignment horizontal="right"/>
    </xf>
    <xf numFmtId="3" fontId="0" fillId="0" borderId="10" xfId="0" applyNumberFormat="1" applyFont="1" applyFill="1" applyBorder="1" applyAlignment="1">
      <alignment/>
    </xf>
    <xf numFmtId="3" fontId="0" fillId="0" borderId="45" xfId="0" applyNumberFormat="1" applyFont="1" applyFill="1" applyBorder="1" applyAlignment="1">
      <alignment horizontal="right"/>
    </xf>
    <xf numFmtId="14" fontId="0" fillId="0" borderId="20" xfId="0" applyNumberFormat="1" applyFont="1" applyFill="1" applyBorder="1" applyAlignment="1">
      <alignment horizontal="center"/>
    </xf>
    <xf numFmtId="9" fontId="16" fillId="0" borderId="13" xfId="55" applyFont="1" applyFill="1" applyBorder="1" applyAlignment="1">
      <alignment horizontal="center"/>
    </xf>
    <xf numFmtId="0" fontId="0" fillId="0" borderId="12" xfId="0" applyFont="1" applyFill="1" applyBorder="1" applyAlignment="1">
      <alignment horizontal="center"/>
    </xf>
    <xf numFmtId="213" fontId="0" fillId="0" borderId="21" xfId="0" applyNumberFormat="1" applyFont="1" applyFill="1" applyBorder="1" applyAlignment="1">
      <alignment horizontal="center"/>
    </xf>
    <xf numFmtId="0" fontId="9" fillId="0" borderId="21" xfId="0" applyFont="1" applyFill="1" applyBorder="1" applyAlignment="1">
      <alignment horizontal="center"/>
    </xf>
    <xf numFmtId="14" fontId="0" fillId="0" borderId="21" xfId="0" applyNumberFormat="1" applyFont="1" applyFill="1" applyBorder="1" applyAlignment="1">
      <alignment horizontal="left"/>
    </xf>
    <xf numFmtId="0" fontId="9" fillId="0" borderId="10" xfId="0" applyFont="1" applyFill="1" applyBorder="1" applyAlignment="1">
      <alignment horizontal="left"/>
    </xf>
    <xf numFmtId="0" fontId="0" fillId="0" borderId="10" xfId="0" applyFont="1" applyFill="1" applyBorder="1" applyAlignment="1">
      <alignment horizontal="center"/>
    </xf>
    <xf numFmtId="9" fontId="0" fillId="0" borderId="10" xfId="55" applyFont="1" applyFill="1" applyBorder="1" applyAlignment="1">
      <alignment horizontal="center"/>
    </xf>
    <xf numFmtId="9" fontId="0" fillId="0" borderId="14" xfId="55" applyFont="1" applyFill="1" applyBorder="1" applyAlignment="1">
      <alignment horizontal="center"/>
    </xf>
    <xf numFmtId="4" fontId="0" fillId="0" borderId="10" xfId="0" applyNumberFormat="1" applyFont="1" applyFill="1" applyBorder="1" applyAlignment="1">
      <alignment horizontal="right"/>
    </xf>
    <xf numFmtId="3" fontId="0" fillId="0" borderId="10" xfId="0" applyNumberFormat="1" applyFont="1" applyFill="1" applyBorder="1" applyAlignment="1">
      <alignment/>
    </xf>
    <xf numFmtId="3" fontId="0" fillId="0" borderId="14" xfId="0" applyNumberFormat="1" applyFont="1" applyFill="1" applyBorder="1" applyAlignment="1">
      <alignment/>
    </xf>
    <xf numFmtId="0" fontId="0" fillId="0" borderId="11" xfId="0" applyFont="1" applyFill="1" applyBorder="1" applyAlignment="1">
      <alignment horizontal="center"/>
    </xf>
    <xf numFmtId="213" fontId="0" fillId="0" borderId="20" xfId="0" applyNumberFormat="1" applyFont="1" applyFill="1" applyBorder="1" applyAlignment="1">
      <alignment horizontal="center"/>
    </xf>
    <xf numFmtId="14" fontId="0" fillId="0" borderId="20" xfId="0" applyNumberFormat="1" applyFont="1" applyFill="1" applyBorder="1" applyAlignment="1">
      <alignment horizontal="left"/>
    </xf>
    <xf numFmtId="9" fontId="0" fillId="0" borderId="0" xfId="55" applyFont="1" applyFill="1" applyBorder="1" applyAlignment="1">
      <alignment horizontal="center"/>
    </xf>
    <xf numFmtId="9" fontId="0" fillId="0" borderId="13" xfId="55" applyFont="1" applyFill="1" applyBorder="1" applyAlignment="1">
      <alignment horizontal="center"/>
    </xf>
    <xf numFmtId="4" fontId="0" fillId="0" borderId="0" xfId="0" applyNumberFormat="1" applyFont="1" applyFill="1" applyBorder="1" applyAlignment="1">
      <alignment horizontal="right"/>
    </xf>
    <xf numFmtId="0" fontId="6" fillId="0" borderId="11" xfId="0" applyFont="1" applyFill="1" applyBorder="1" applyAlignment="1" applyProtection="1">
      <alignment/>
      <protection/>
    </xf>
    <xf numFmtId="10" fontId="0" fillId="0" borderId="11" xfId="0" applyNumberFormat="1" applyFont="1" applyFill="1" applyBorder="1" applyAlignment="1">
      <alignment horizontal="center"/>
    </xf>
    <xf numFmtId="10" fontId="16" fillId="0" borderId="11" xfId="0" applyNumberFormat="1" applyFont="1" applyFill="1" applyBorder="1" applyAlignment="1">
      <alignment horizontal="center"/>
    </xf>
    <xf numFmtId="0" fontId="16" fillId="0" borderId="11" xfId="0" applyFont="1" applyFill="1" applyBorder="1" applyAlignment="1">
      <alignment horizontal="center"/>
    </xf>
    <xf numFmtId="0" fontId="16" fillId="0" borderId="13" xfId="0" applyFont="1" applyFill="1" applyBorder="1" applyAlignment="1">
      <alignment horizontal="center"/>
    </xf>
    <xf numFmtId="0" fontId="0" fillId="0" borderId="12" xfId="0" applyFill="1" applyBorder="1" applyAlignment="1">
      <alignment/>
    </xf>
    <xf numFmtId="15" fontId="0" fillId="0" borderId="12" xfId="0" applyNumberFormat="1" applyFill="1" applyBorder="1" applyAlignment="1">
      <alignment/>
    </xf>
    <xf numFmtId="15" fontId="0" fillId="0" borderId="11" xfId="0" applyNumberFormat="1" applyFill="1" applyBorder="1" applyAlignment="1">
      <alignment/>
    </xf>
    <xf numFmtId="0" fontId="0" fillId="0" borderId="13" xfId="0" applyFill="1" applyBorder="1" applyAlignment="1">
      <alignment horizontal="center"/>
    </xf>
    <xf numFmtId="0" fontId="0" fillId="0" borderId="11" xfId="0" applyFill="1" applyBorder="1" applyAlignment="1">
      <alignment horizontal="center"/>
    </xf>
    <xf numFmtId="0" fontId="62" fillId="0" borderId="11" xfId="0" applyFont="1" applyFill="1" applyBorder="1" applyAlignment="1">
      <alignment horizont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213" fontId="0" fillId="0" borderId="11" xfId="0" applyNumberFormat="1" applyFont="1" applyFill="1" applyBorder="1" applyAlignment="1">
      <alignment horizontal="center"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horizontal="right" vertical="center"/>
    </xf>
    <xf numFmtId="0" fontId="62" fillId="0" borderId="11" xfId="0" applyFont="1" applyFill="1" applyBorder="1" applyAlignment="1">
      <alignment horizontal="center" vertical="center"/>
    </xf>
    <xf numFmtId="9" fontId="0" fillId="0" borderId="0" xfId="55" applyFont="1" applyFill="1" applyBorder="1" applyAlignment="1">
      <alignment horizontal="center" vertical="center"/>
    </xf>
    <xf numFmtId="9" fontId="0" fillId="0" borderId="13" xfId="55" applyFont="1" applyFill="1" applyBorder="1" applyAlignment="1">
      <alignment horizontal="center" vertical="center"/>
    </xf>
    <xf numFmtId="0" fontId="0" fillId="0" borderId="0" xfId="0" applyFont="1" applyFill="1" applyAlignment="1">
      <alignment horizontal="center" vertical="center"/>
    </xf>
    <xf numFmtId="3" fontId="0" fillId="0" borderId="13" xfId="0" applyNumberFormat="1" applyFont="1" applyFill="1" applyBorder="1" applyAlignment="1">
      <alignment horizontal="right" vertical="center"/>
    </xf>
    <xf numFmtId="0" fontId="1" fillId="0" borderId="11" xfId="0" applyFont="1" applyFill="1" applyBorder="1" applyAlignment="1">
      <alignment horizontal="center" vertical="center"/>
    </xf>
    <xf numFmtId="9" fontId="62" fillId="0" borderId="13" xfId="55" applyFont="1" applyFill="1" applyBorder="1" applyAlignment="1">
      <alignment horizontal="center"/>
    </xf>
    <xf numFmtId="213" fontId="9" fillId="0" borderId="11" xfId="0" applyNumberFormat="1" applyFont="1" applyFill="1" applyBorder="1" applyAlignment="1">
      <alignment horizontal="center"/>
    </xf>
    <xf numFmtId="0" fontId="9" fillId="0" borderId="11" xfId="0" applyFont="1" applyFill="1" applyBorder="1" applyAlignment="1">
      <alignment horizontal="left" vertical="center"/>
    </xf>
    <xf numFmtId="0" fontId="0" fillId="0" borderId="20" xfId="0" applyFont="1" applyFill="1" applyBorder="1" applyAlignment="1">
      <alignment horizontal="left"/>
    </xf>
    <xf numFmtId="0" fontId="0" fillId="0" borderId="72" xfId="0" applyFill="1" applyBorder="1" applyAlignment="1">
      <alignment/>
    </xf>
    <xf numFmtId="15" fontId="0" fillId="0" borderId="72" xfId="0" applyNumberFormat="1" applyFill="1" applyBorder="1" applyAlignment="1">
      <alignment/>
    </xf>
    <xf numFmtId="0" fontId="0" fillId="0" borderId="73" xfId="0" applyFill="1" applyBorder="1" applyAlignment="1">
      <alignment/>
    </xf>
    <xf numFmtId="0" fontId="0" fillId="0" borderId="74" xfId="0" applyFill="1" applyBorder="1" applyAlignment="1">
      <alignment/>
    </xf>
    <xf numFmtId="0" fontId="0" fillId="0" borderId="75" xfId="0" applyFill="1" applyBorder="1" applyAlignment="1">
      <alignment horizontal="center"/>
    </xf>
    <xf numFmtId="0" fontId="0" fillId="0" borderId="74" xfId="0" applyFill="1" applyBorder="1" applyAlignment="1">
      <alignment horizontal="center"/>
    </xf>
    <xf numFmtId="3" fontId="0" fillId="0" borderId="74" xfId="0" applyNumberFormat="1" applyFill="1" applyBorder="1" applyAlignment="1">
      <alignment/>
    </xf>
    <xf numFmtId="3" fontId="0" fillId="0" borderId="75" xfId="0" applyNumberFormat="1" applyFont="1" applyFill="1" applyBorder="1" applyAlignment="1">
      <alignment/>
    </xf>
    <xf numFmtId="0" fontId="62" fillId="0" borderId="0" xfId="0" applyFont="1" applyFill="1" applyBorder="1" applyAlignment="1">
      <alignment horizontal="center"/>
    </xf>
    <xf numFmtId="0" fontId="62" fillId="0" borderId="13" xfId="0" applyFont="1" applyFill="1" applyBorder="1" applyAlignment="1">
      <alignment horizontal="center"/>
    </xf>
    <xf numFmtId="213" fontId="9" fillId="0" borderId="47" xfId="0" applyNumberFormat="1" applyFont="1" applyFill="1" applyBorder="1" applyAlignment="1" quotePrefix="1">
      <alignment horizontal="center"/>
    </xf>
    <xf numFmtId="4" fontId="9" fillId="0" borderId="47" xfId="0" applyNumberFormat="1" applyFont="1" applyBorder="1" applyAlignment="1">
      <alignment horizontal="center" wrapText="1"/>
    </xf>
    <xf numFmtId="10" fontId="9" fillId="0" borderId="51" xfId="0" applyNumberFormat="1" applyFont="1" applyBorder="1" applyAlignment="1" quotePrefix="1">
      <alignment horizontal="center"/>
    </xf>
    <xf numFmtId="10" fontId="64" fillId="0" borderId="51" xfId="0" applyNumberFormat="1" applyFont="1" applyBorder="1" applyAlignment="1" quotePrefix="1">
      <alignment horizontal="center"/>
    </xf>
    <xf numFmtId="9" fontId="64" fillId="0" borderId="56" xfId="55" applyFont="1" applyBorder="1" applyAlignment="1">
      <alignment horizontal="center"/>
    </xf>
    <xf numFmtId="213" fontId="9" fillId="0" borderId="42" xfId="0" applyNumberFormat="1" applyFont="1" applyFill="1" applyBorder="1" applyAlignment="1">
      <alignment horizontal="center"/>
    </xf>
    <xf numFmtId="2" fontId="9" fillId="0" borderId="42" xfId="0" applyNumberFormat="1" applyFont="1" applyFill="1" applyBorder="1" applyAlignment="1">
      <alignment horizontal="center" wrapText="1"/>
    </xf>
    <xf numFmtId="9" fontId="0" fillId="0" borderId="0" xfId="0" applyNumberFormat="1" applyFont="1" applyFill="1" applyBorder="1" applyAlignment="1">
      <alignment horizontal="center"/>
    </xf>
    <xf numFmtId="9" fontId="16" fillId="0" borderId="0" xfId="0" applyNumberFormat="1" applyFont="1" applyFill="1" applyBorder="1" applyAlignment="1">
      <alignment horizontal="center"/>
    </xf>
    <xf numFmtId="0" fontId="0" fillId="0" borderId="0" xfId="0" applyFont="1" applyFill="1" applyBorder="1" applyAlignment="1">
      <alignment horizontal="center" vertical="center"/>
    </xf>
    <xf numFmtId="0" fontId="28" fillId="0" borderId="0" xfId="0" applyFont="1" applyFill="1" applyAlignment="1">
      <alignment horizontal="center" vertical="center"/>
    </xf>
    <xf numFmtId="3" fontId="0" fillId="0" borderId="0" xfId="0" applyNumberFormat="1" applyFont="1" applyFill="1" applyBorder="1" applyAlignment="1">
      <alignment horizontal="right" vertical="center"/>
    </xf>
    <xf numFmtId="3" fontId="28" fillId="0" borderId="0" xfId="0" applyNumberFormat="1" applyFont="1" applyFill="1" applyAlignment="1">
      <alignment horizontal="righ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4" fillId="0" borderId="0" xfId="0" applyFont="1" applyAlignment="1">
      <alignment horizontal="justify" vertical="justify" wrapText="1"/>
    </xf>
    <xf numFmtId="0" fontId="0" fillId="0" borderId="0" xfId="0" applyAlignment="1">
      <alignment horizontal="justify" vertical="justify" wrapText="1"/>
    </xf>
    <xf numFmtId="0" fontId="24" fillId="0" borderId="0" xfId="0" applyFont="1" applyAlignment="1">
      <alignment horizontal="justify" wrapText="1"/>
    </xf>
    <xf numFmtId="0" fontId="0" fillId="0" borderId="0" xfId="0" applyFont="1" applyFill="1" applyAlignment="1" quotePrefix="1">
      <alignment horizontal="left" wrapText="1"/>
    </xf>
    <xf numFmtId="0" fontId="0" fillId="0" borderId="0" xfId="0" applyFill="1" applyAlignment="1">
      <alignment wrapText="1"/>
    </xf>
    <xf numFmtId="0" fontId="16" fillId="0" borderId="0" xfId="0" applyFont="1" applyFill="1" applyAlignment="1">
      <alignment wrapText="1"/>
    </xf>
    <xf numFmtId="0" fontId="0" fillId="0" borderId="11" xfId="0" applyFont="1" applyFill="1" applyBorder="1" applyAlignment="1">
      <alignment horizontal="center" vertical="center"/>
    </xf>
    <xf numFmtId="0" fontId="0" fillId="0" borderId="0" xfId="0" applyFont="1" applyAlignment="1">
      <alignment horizontal="left" vertical="center" wrapText="1"/>
    </xf>
    <xf numFmtId="0" fontId="7" fillId="0" borderId="0" xfId="0" applyFont="1" applyAlignment="1" applyProtection="1">
      <alignment horizontal="center"/>
      <protection/>
    </xf>
    <xf numFmtId="0" fontId="14" fillId="0" borderId="0" xfId="0" applyFont="1" applyAlignment="1" applyProtection="1">
      <alignment horizontal="center"/>
      <protection/>
    </xf>
    <xf numFmtId="0" fontId="0" fillId="0" borderId="20" xfId="0" applyFont="1" applyFill="1" applyBorder="1" applyAlignment="1">
      <alignment horizontal="left" vertical="center"/>
    </xf>
    <xf numFmtId="3" fontId="0" fillId="0" borderId="0" xfId="0" applyNumberFormat="1" applyFont="1" applyFill="1" applyBorder="1" applyAlignment="1">
      <alignment horizontal="right" vertical="center" wrapText="1"/>
    </xf>
    <xf numFmtId="213"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vertical="center" wrapText="1"/>
    </xf>
    <xf numFmtId="0" fontId="1" fillId="0" borderId="0" xfId="0" applyFont="1" applyFill="1" applyAlignment="1">
      <alignment horizontal="left" vertical="center" wrapText="1"/>
    </xf>
    <xf numFmtId="0" fontId="0" fillId="0" borderId="0" xfId="0" applyFont="1" applyFill="1" applyAlignment="1">
      <alignment horizontal="left" vertical="center" wrapText="1"/>
    </xf>
    <xf numFmtId="224" fontId="0" fillId="0" borderId="11" xfId="0" applyNumberFormat="1" applyFont="1" applyFill="1" applyBorder="1" applyAlignment="1">
      <alignment horizontal="center" vertical="center" wrapText="1"/>
    </xf>
    <xf numFmtId="0" fontId="62" fillId="0" borderId="1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0" fillId="0" borderId="0" xfId="0" applyNumberFormat="1" applyFont="1" applyFill="1" applyAlignment="1">
      <alignment horizontal="justify" wrapText="1"/>
    </xf>
    <xf numFmtId="0" fontId="0" fillId="0" borderId="0" xfId="0" applyFont="1" applyFill="1" applyAlignment="1">
      <alignment horizontal="justify" wrapText="1"/>
    </xf>
    <xf numFmtId="0" fontId="1" fillId="0" borderId="0" xfId="0" applyFont="1" applyAlignment="1">
      <alignment horizontal="left" vertical="center"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A805"/>
  <sheetViews>
    <sheetView tabSelected="1" zoomScale="86" zoomScaleNormal="86" zoomScaleSheetLayoutView="75" zoomScalePageLayoutView="0" workbookViewId="0" topLeftCell="D664">
      <selection activeCell="H20" sqref="H20"/>
    </sheetView>
  </sheetViews>
  <sheetFormatPr defaultColWidth="11.421875" defaultRowHeight="12.75"/>
  <cols>
    <col min="1" max="1" width="4.421875" style="0" customWidth="1"/>
    <col min="2" max="2" width="23.28125" style="168" customWidth="1"/>
    <col min="3" max="3" width="13.7109375" style="12" customWidth="1"/>
    <col min="4" max="4" width="23.28125" style="0" customWidth="1"/>
    <col min="5" max="5" width="2.7109375" style="0" hidden="1" customWidth="1"/>
    <col min="6" max="6" width="16.57421875" style="0" hidden="1" customWidth="1"/>
    <col min="7" max="7" width="12.00390625" style="0" hidden="1" customWidth="1"/>
    <col min="8" max="8" width="87.00390625" style="0" customWidth="1"/>
    <col min="9" max="9" width="19.8515625" style="0" hidden="1" customWidth="1"/>
    <col min="10" max="10" width="0" style="0" hidden="1" customWidth="1"/>
    <col min="11" max="11" width="26.8515625" style="15" customWidth="1"/>
    <col min="12" max="12" width="15.57421875" style="0" hidden="1" customWidth="1"/>
    <col min="13" max="13" width="21.8515625" style="15" customWidth="1"/>
    <col min="14" max="14" width="2.7109375" style="0" customWidth="1"/>
    <col min="15" max="15" width="11.421875" style="15" customWidth="1"/>
    <col min="16" max="16" width="14.57421875" style="15" customWidth="1"/>
    <col min="17" max="17" width="8.140625" style="0" customWidth="1"/>
    <col min="18" max="18" width="14.8515625" style="0" customWidth="1"/>
    <col min="19" max="19" width="4.421875" style="0" customWidth="1"/>
    <col min="20" max="20" width="12.421875" style="0" customWidth="1"/>
    <col min="21" max="25" width="0" style="0" hidden="1" customWidth="1"/>
    <col min="26" max="26" width="2.00390625" style="0" customWidth="1"/>
  </cols>
  <sheetData>
    <row r="1" ht="15">
      <c r="B1" s="184" t="s">
        <v>705</v>
      </c>
    </row>
    <row r="2" ht="15">
      <c r="B2" s="184" t="s">
        <v>1470</v>
      </c>
    </row>
    <row r="4" spans="2:20" ht="19.5" customHeight="1">
      <c r="B4" s="802" t="s">
        <v>1902</v>
      </c>
      <c r="C4" s="802"/>
      <c r="D4" s="802"/>
      <c r="E4" s="802"/>
      <c r="F4" s="802"/>
      <c r="G4" s="802"/>
      <c r="H4" s="802"/>
      <c r="I4" s="802"/>
      <c r="J4" s="802"/>
      <c r="K4" s="802"/>
      <c r="L4" s="802"/>
      <c r="M4" s="802"/>
      <c r="N4" s="802"/>
      <c r="O4" s="802"/>
      <c r="P4" s="802"/>
      <c r="Q4" s="802"/>
      <c r="R4" s="802"/>
      <c r="S4" s="802"/>
      <c r="T4" s="802"/>
    </row>
    <row r="5" spans="2:20" ht="19.5" customHeight="1">
      <c r="B5" s="802" t="s">
        <v>626</v>
      </c>
      <c r="C5" s="802"/>
      <c r="D5" s="802"/>
      <c r="E5" s="802"/>
      <c r="F5" s="802"/>
      <c r="G5" s="802"/>
      <c r="H5" s="802"/>
      <c r="I5" s="802"/>
      <c r="J5" s="802"/>
      <c r="K5" s="802"/>
      <c r="L5" s="802"/>
      <c r="M5" s="802"/>
      <c r="N5" s="802"/>
      <c r="O5" s="802"/>
      <c r="P5" s="802"/>
      <c r="Q5" s="802"/>
      <c r="R5" s="802"/>
      <c r="S5" s="802"/>
      <c r="T5" s="802"/>
    </row>
    <row r="6" spans="2:20" ht="19.5" customHeight="1">
      <c r="B6" s="803" t="s">
        <v>809</v>
      </c>
      <c r="C6" s="803"/>
      <c r="D6" s="803"/>
      <c r="E6" s="803"/>
      <c r="F6" s="803"/>
      <c r="G6" s="803"/>
      <c r="H6" s="803"/>
      <c r="I6" s="803"/>
      <c r="J6" s="803"/>
      <c r="K6" s="803"/>
      <c r="L6" s="803"/>
      <c r="M6" s="803"/>
      <c r="N6" s="803"/>
      <c r="O6" s="803"/>
      <c r="P6" s="803"/>
      <c r="Q6" s="803"/>
      <c r="R6" s="803"/>
      <c r="S6" s="803"/>
      <c r="T6" s="803"/>
    </row>
    <row r="7" spans="2:20" ht="19.5" customHeight="1">
      <c r="B7" s="802" t="s">
        <v>12</v>
      </c>
      <c r="C7" s="802"/>
      <c r="D7" s="802"/>
      <c r="E7" s="802"/>
      <c r="F7" s="802"/>
      <c r="G7" s="802"/>
      <c r="H7" s="802"/>
      <c r="I7" s="802"/>
      <c r="J7" s="802"/>
      <c r="K7" s="802"/>
      <c r="L7" s="802"/>
      <c r="M7" s="802"/>
      <c r="N7" s="802"/>
      <c r="O7" s="802"/>
      <c r="P7" s="802"/>
      <c r="Q7" s="802"/>
      <c r="R7" s="802"/>
      <c r="S7" s="802"/>
      <c r="T7" s="802"/>
    </row>
    <row r="8" spans="2:20" ht="16.5" thickBot="1">
      <c r="B8" s="150"/>
      <c r="C8" s="54"/>
      <c r="D8" s="1"/>
      <c r="E8" s="1"/>
      <c r="F8" s="1"/>
      <c r="G8" s="1"/>
      <c r="H8" s="1"/>
      <c r="I8" s="1"/>
      <c r="J8" s="1"/>
      <c r="K8" s="50"/>
      <c r="L8" s="1"/>
      <c r="M8" s="50"/>
      <c r="N8" s="1"/>
      <c r="O8" s="50"/>
      <c r="P8" s="50"/>
      <c r="Q8" s="1"/>
      <c r="R8" s="1"/>
      <c r="S8" s="1"/>
      <c r="T8" s="1"/>
    </row>
    <row r="9" spans="2:21" ht="16.5" thickTop="1">
      <c r="B9" s="259" t="s">
        <v>22</v>
      </c>
      <c r="C9" s="130" t="s">
        <v>16</v>
      </c>
      <c r="D9" s="131" t="s">
        <v>13</v>
      </c>
      <c r="E9" s="131" t="s">
        <v>14</v>
      </c>
      <c r="F9" s="131" t="s">
        <v>15</v>
      </c>
      <c r="G9" s="131" t="s">
        <v>16</v>
      </c>
      <c r="H9" s="133" t="s">
        <v>17</v>
      </c>
      <c r="I9" s="131" t="s">
        <v>462</v>
      </c>
      <c r="J9" s="131" t="s">
        <v>18</v>
      </c>
      <c r="K9" s="135" t="s">
        <v>19</v>
      </c>
      <c r="L9" s="134" t="s">
        <v>20</v>
      </c>
      <c r="M9" s="133" t="s">
        <v>21</v>
      </c>
      <c r="N9" s="132"/>
      <c r="O9" s="133" t="s">
        <v>463</v>
      </c>
      <c r="P9" s="135"/>
      <c r="Q9" s="133" t="s">
        <v>464</v>
      </c>
      <c r="R9" s="131" t="s">
        <v>23</v>
      </c>
      <c r="S9" s="132"/>
      <c r="T9" s="135" t="s">
        <v>465</v>
      </c>
      <c r="U9" s="2"/>
    </row>
    <row r="10" spans="2:21" ht="16.5" thickBot="1">
      <c r="B10" s="260" t="s">
        <v>29</v>
      </c>
      <c r="C10" s="136" t="s">
        <v>1023</v>
      </c>
      <c r="D10" s="137"/>
      <c r="E10" s="137"/>
      <c r="F10" s="137" t="s">
        <v>13</v>
      </c>
      <c r="G10" s="137" t="s">
        <v>24</v>
      </c>
      <c r="H10" s="139"/>
      <c r="I10" s="137" t="s">
        <v>25</v>
      </c>
      <c r="J10" s="137"/>
      <c r="K10" s="141" t="s">
        <v>1474</v>
      </c>
      <c r="L10" s="140"/>
      <c r="M10" s="139" t="s">
        <v>26</v>
      </c>
      <c r="N10" s="138"/>
      <c r="O10" s="139" t="s">
        <v>27</v>
      </c>
      <c r="P10" s="141" t="s">
        <v>28</v>
      </c>
      <c r="Q10" s="139"/>
      <c r="R10" s="137" t="s">
        <v>30</v>
      </c>
      <c r="S10" s="138"/>
      <c r="T10" s="141" t="s">
        <v>405</v>
      </c>
      <c r="U10" s="2"/>
    </row>
    <row r="11" spans="2:20" ht="14.25" thickBot="1" thickTop="1">
      <c r="B11" s="151"/>
      <c r="C11" s="60"/>
      <c r="D11" s="59"/>
      <c r="E11" s="59"/>
      <c r="F11" s="59"/>
      <c r="G11" s="59"/>
      <c r="H11" s="59"/>
      <c r="I11" s="59"/>
      <c r="J11" s="59"/>
      <c r="K11" s="61"/>
      <c r="L11" s="59"/>
      <c r="M11" s="61"/>
      <c r="N11" s="59"/>
      <c r="O11" s="61"/>
      <c r="P11" s="61"/>
      <c r="Q11" s="59"/>
      <c r="R11" s="59"/>
      <c r="S11" s="59"/>
      <c r="T11" s="59"/>
    </row>
    <row r="12" spans="2:20" ht="13.5" thickTop="1">
      <c r="B12" s="152"/>
      <c r="C12" s="327"/>
      <c r="D12" s="82"/>
      <c r="E12" s="63"/>
      <c r="F12" s="82"/>
      <c r="G12" s="65"/>
      <c r="H12" s="63"/>
      <c r="I12" s="62"/>
      <c r="J12" s="65"/>
      <c r="K12" s="286"/>
      <c r="L12" s="82"/>
      <c r="M12" s="169"/>
      <c r="N12" s="63"/>
      <c r="O12" s="64"/>
      <c r="P12" s="88"/>
      <c r="Q12" s="63"/>
      <c r="R12" s="63"/>
      <c r="S12" s="63"/>
      <c r="T12" s="65"/>
    </row>
    <row r="13" spans="2:20" s="94" customFormat="1" ht="18">
      <c r="B13" s="153">
        <v>1990</v>
      </c>
      <c r="C13" s="328"/>
      <c r="D13" s="363"/>
      <c r="E13" s="95"/>
      <c r="F13" s="101"/>
      <c r="G13" s="97"/>
      <c r="H13" s="96"/>
      <c r="I13" s="99"/>
      <c r="J13" s="100"/>
      <c r="K13" s="279"/>
      <c r="L13" s="101"/>
      <c r="M13" s="170"/>
      <c r="N13" s="98"/>
      <c r="O13" s="102"/>
      <c r="P13" s="103"/>
      <c r="Q13" s="102"/>
      <c r="R13" s="104"/>
      <c r="S13" s="104"/>
      <c r="T13" s="93">
        <f>+T14+T20+T26+T29+T34</f>
        <v>333745.89505</v>
      </c>
    </row>
    <row r="14" spans="2:20" ht="12.75">
      <c r="B14" s="154" t="s">
        <v>807</v>
      </c>
      <c r="C14" s="329"/>
      <c r="D14" s="364"/>
      <c r="E14" s="7"/>
      <c r="F14" s="84"/>
      <c r="G14" s="68"/>
      <c r="H14" s="6"/>
      <c r="I14" s="23"/>
      <c r="J14" s="76"/>
      <c r="K14" s="273"/>
      <c r="L14" s="84"/>
      <c r="M14" s="171"/>
      <c r="N14" s="8"/>
      <c r="O14" s="9"/>
      <c r="P14" s="70"/>
      <c r="Q14" s="9"/>
      <c r="R14" s="27"/>
      <c r="S14" s="27"/>
      <c r="T14" s="147">
        <f>SUM(T15:T18)</f>
        <v>150586</v>
      </c>
    </row>
    <row r="15" spans="2:20" ht="12.75">
      <c r="B15" s="155" t="s">
        <v>75</v>
      </c>
      <c r="C15" s="329">
        <f>DATE(90,7,22)</f>
        <v>33076</v>
      </c>
      <c r="D15" s="84" t="s">
        <v>69</v>
      </c>
      <c r="E15" s="6" t="s">
        <v>70</v>
      </c>
      <c r="F15" s="273" t="s">
        <v>630</v>
      </c>
      <c r="G15" s="68">
        <v>33235</v>
      </c>
      <c r="H15" s="6" t="s">
        <v>71</v>
      </c>
      <c r="I15" s="23" t="s">
        <v>446</v>
      </c>
      <c r="J15" s="76" t="s">
        <v>34</v>
      </c>
      <c r="K15" s="273" t="s">
        <v>72</v>
      </c>
      <c r="L15" s="84" t="s">
        <v>36</v>
      </c>
      <c r="M15" s="172" t="s">
        <v>73</v>
      </c>
      <c r="N15" s="8"/>
      <c r="O15" s="9" t="s">
        <v>74</v>
      </c>
      <c r="P15" s="70" t="s">
        <v>54</v>
      </c>
      <c r="Q15" s="9" t="s">
        <v>41</v>
      </c>
      <c r="R15" s="47">
        <v>36000</v>
      </c>
      <c r="S15" s="47"/>
      <c r="T15" s="38">
        <v>36000</v>
      </c>
    </row>
    <row r="16" spans="2:20" ht="12.75">
      <c r="B16" s="155" t="s">
        <v>75</v>
      </c>
      <c r="C16" s="329">
        <f>DATE(90,7,22)</f>
        <v>33076</v>
      </c>
      <c r="D16" s="84" t="s">
        <v>69</v>
      </c>
      <c r="E16" s="6" t="s">
        <v>70</v>
      </c>
      <c r="F16" s="273" t="s">
        <v>630</v>
      </c>
      <c r="G16" s="68">
        <v>33235</v>
      </c>
      <c r="H16" s="6" t="s">
        <v>71</v>
      </c>
      <c r="I16" s="23" t="s">
        <v>446</v>
      </c>
      <c r="J16" s="76" t="s">
        <v>34</v>
      </c>
      <c r="K16" s="273" t="s">
        <v>72</v>
      </c>
      <c r="L16" s="84" t="s">
        <v>36</v>
      </c>
      <c r="M16" s="171">
        <v>0.075</v>
      </c>
      <c r="N16" s="8"/>
      <c r="O16" s="9" t="s">
        <v>76</v>
      </c>
      <c r="P16" s="70" t="s">
        <v>77</v>
      </c>
      <c r="Q16" s="9" t="s">
        <v>41</v>
      </c>
      <c r="R16" s="47">
        <v>63000</v>
      </c>
      <c r="S16" s="47"/>
      <c r="T16" s="38">
        <v>63000</v>
      </c>
    </row>
    <row r="17" spans="2:20" ht="12.75">
      <c r="B17" s="189" t="s">
        <v>815</v>
      </c>
      <c r="C17" s="329">
        <v>33220</v>
      </c>
      <c r="D17" s="84" t="s">
        <v>816</v>
      </c>
      <c r="E17" s="6"/>
      <c r="F17" s="273" t="s">
        <v>630</v>
      </c>
      <c r="G17" s="68"/>
      <c r="H17" s="190" t="s">
        <v>50</v>
      </c>
      <c r="I17" s="23" t="s">
        <v>51</v>
      </c>
      <c r="J17" s="76"/>
      <c r="K17" s="350" t="s">
        <v>52</v>
      </c>
      <c r="L17" s="124"/>
      <c r="M17" s="171" t="s">
        <v>817</v>
      </c>
      <c r="N17" s="8"/>
      <c r="O17" s="9" t="s">
        <v>532</v>
      </c>
      <c r="P17" s="70" t="s">
        <v>447</v>
      </c>
      <c r="Q17" s="9" t="s">
        <v>41</v>
      </c>
      <c r="R17" s="27">
        <v>6586</v>
      </c>
      <c r="S17" s="27"/>
      <c r="T17" s="38">
        <f>+R17</f>
        <v>6586</v>
      </c>
    </row>
    <row r="18" spans="2:20" ht="12.75">
      <c r="B18" s="155" t="s">
        <v>61</v>
      </c>
      <c r="C18" s="329">
        <f>DATE(90,12,21)</f>
        <v>33228</v>
      </c>
      <c r="D18" s="84" t="s">
        <v>57</v>
      </c>
      <c r="E18" s="6" t="s">
        <v>58</v>
      </c>
      <c r="F18" s="273" t="s">
        <v>630</v>
      </c>
      <c r="G18" s="68">
        <f>DATE(90,12,5)</f>
        <v>33212</v>
      </c>
      <c r="H18" s="6" t="s">
        <v>60</v>
      </c>
      <c r="I18" s="23" t="s">
        <v>779</v>
      </c>
      <c r="J18" s="76" t="s">
        <v>34</v>
      </c>
      <c r="K18" s="273" t="s">
        <v>35</v>
      </c>
      <c r="L18" s="84" t="s">
        <v>36</v>
      </c>
      <c r="M18" s="171">
        <v>0.1</v>
      </c>
      <c r="N18" s="8"/>
      <c r="O18" s="51" t="s">
        <v>955</v>
      </c>
      <c r="P18" s="70" t="s">
        <v>53</v>
      </c>
      <c r="Q18" s="9" t="s">
        <v>41</v>
      </c>
      <c r="R18" s="27">
        <v>45000</v>
      </c>
      <c r="S18" s="27"/>
      <c r="T18" s="38">
        <v>45000</v>
      </c>
    </row>
    <row r="19" spans="2:20" ht="12.75">
      <c r="B19" s="155"/>
      <c r="C19" s="329"/>
      <c r="D19" s="84"/>
      <c r="E19" s="6"/>
      <c r="F19" s="273"/>
      <c r="G19" s="68"/>
      <c r="H19" s="6"/>
      <c r="I19" s="23"/>
      <c r="J19" s="76"/>
      <c r="K19" s="273"/>
      <c r="L19" s="84"/>
      <c r="M19" s="171"/>
      <c r="N19" s="8"/>
      <c r="O19" s="9"/>
      <c r="P19" s="70"/>
      <c r="Q19" s="9"/>
      <c r="R19" s="47"/>
      <c r="S19" s="47"/>
      <c r="T19" s="38"/>
    </row>
    <row r="20" spans="2:20" ht="12.75">
      <c r="B20" s="154" t="s">
        <v>803</v>
      </c>
      <c r="C20" s="329"/>
      <c r="D20" s="364"/>
      <c r="E20" s="7"/>
      <c r="F20" s="273"/>
      <c r="G20" s="68"/>
      <c r="H20" s="6"/>
      <c r="I20" s="23"/>
      <c r="J20" s="76"/>
      <c r="K20" s="273"/>
      <c r="L20" s="84"/>
      <c r="M20" s="171"/>
      <c r="N20" s="8"/>
      <c r="O20" s="9"/>
      <c r="P20" s="70"/>
      <c r="Q20" s="9"/>
      <c r="R20" s="27"/>
      <c r="S20" s="27"/>
      <c r="T20" s="147">
        <f>SUM(T21:T24)</f>
        <v>39000</v>
      </c>
    </row>
    <row r="21" spans="2:20" ht="12.75">
      <c r="B21" s="156" t="s">
        <v>768</v>
      </c>
      <c r="C21" s="329">
        <v>32997</v>
      </c>
      <c r="D21" s="84" t="s">
        <v>787</v>
      </c>
      <c r="E21" s="6" t="s">
        <v>44</v>
      </c>
      <c r="F21" s="273" t="s">
        <v>31</v>
      </c>
      <c r="G21" s="68">
        <v>32997</v>
      </c>
      <c r="H21" s="123" t="s">
        <v>769</v>
      </c>
      <c r="I21" s="23" t="s">
        <v>633</v>
      </c>
      <c r="J21" s="76" t="s">
        <v>34</v>
      </c>
      <c r="K21" s="350" t="s">
        <v>772</v>
      </c>
      <c r="L21" s="124" t="s">
        <v>36</v>
      </c>
      <c r="M21" s="171">
        <v>0.015</v>
      </c>
      <c r="N21" s="8"/>
      <c r="O21" s="9" t="s">
        <v>66</v>
      </c>
      <c r="P21" s="70" t="s">
        <v>66</v>
      </c>
      <c r="Q21" s="9" t="s">
        <v>41</v>
      </c>
      <c r="R21" s="47">
        <v>6000</v>
      </c>
      <c r="S21" s="47"/>
      <c r="T21" s="38">
        <v>6000</v>
      </c>
    </row>
    <row r="22" spans="2:20" ht="12.75">
      <c r="B22" s="155" t="s">
        <v>40</v>
      </c>
      <c r="C22" s="329">
        <f>DATE(90,5,24)</f>
        <v>33017</v>
      </c>
      <c r="D22" s="84" t="s">
        <v>628</v>
      </c>
      <c r="E22" s="6" t="s">
        <v>541</v>
      </c>
      <c r="F22" s="273" t="s">
        <v>31</v>
      </c>
      <c r="G22" s="68">
        <f>33235-77-42</f>
        <v>33116</v>
      </c>
      <c r="H22" s="6" t="s">
        <v>32</v>
      </c>
      <c r="I22" s="23" t="s">
        <v>779</v>
      </c>
      <c r="J22" s="76" t="s">
        <v>34</v>
      </c>
      <c r="K22" s="273" t="s">
        <v>35</v>
      </c>
      <c r="L22" s="84" t="s">
        <v>36</v>
      </c>
      <c r="M22" s="171" t="s">
        <v>781</v>
      </c>
      <c r="N22" s="8"/>
      <c r="O22" s="9" t="s">
        <v>366</v>
      </c>
      <c r="P22" s="70" t="s">
        <v>172</v>
      </c>
      <c r="Q22" s="9" t="s">
        <v>41</v>
      </c>
      <c r="R22" s="47">
        <v>10000</v>
      </c>
      <c r="S22" s="47"/>
      <c r="T22" s="38">
        <v>10000</v>
      </c>
    </row>
    <row r="23" spans="2:20" ht="12.75">
      <c r="B23" s="156" t="s">
        <v>771</v>
      </c>
      <c r="C23" s="329">
        <v>33067</v>
      </c>
      <c r="D23" s="84" t="s">
        <v>637</v>
      </c>
      <c r="E23" s="6" t="s">
        <v>44</v>
      </c>
      <c r="F23" s="273" t="s">
        <v>31</v>
      </c>
      <c r="G23" s="68">
        <v>33067</v>
      </c>
      <c r="H23" s="6" t="s">
        <v>638</v>
      </c>
      <c r="I23" s="23" t="s">
        <v>98</v>
      </c>
      <c r="J23" s="76" t="s">
        <v>34</v>
      </c>
      <c r="K23" s="350" t="s">
        <v>641</v>
      </c>
      <c r="L23" s="124" t="s">
        <v>36</v>
      </c>
      <c r="M23" s="171">
        <v>0.083</v>
      </c>
      <c r="N23" s="8"/>
      <c r="O23" s="51" t="s">
        <v>955</v>
      </c>
      <c r="P23" s="70" t="s">
        <v>366</v>
      </c>
      <c r="Q23" s="9" t="s">
        <v>41</v>
      </c>
      <c r="R23" s="47">
        <v>13000</v>
      </c>
      <c r="S23" s="47"/>
      <c r="T23" s="38">
        <v>13000</v>
      </c>
    </row>
    <row r="24" spans="2:20" ht="12.75">
      <c r="B24" s="155" t="s">
        <v>42</v>
      </c>
      <c r="C24" s="329">
        <f>DATE(90,8,24)</f>
        <v>33109</v>
      </c>
      <c r="D24" s="84" t="s">
        <v>542</v>
      </c>
      <c r="E24" s="6" t="s">
        <v>541</v>
      </c>
      <c r="F24" s="273" t="s">
        <v>31</v>
      </c>
      <c r="G24" s="68">
        <f>33235-77-42</f>
        <v>33116</v>
      </c>
      <c r="H24" s="6" t="s">
        <v>32</v>
      </c>
      <c r="I24" s="23" t="s">
        <v>779</v>
      </c>
      <c r="J24" s="76" t="s">
        <v>34</v>
      </c>
      <c r="K24" s="273" t="s">
        <v>35</v>
      </c>
      <c r="L24" s="84" t="s">
        <v>36</v>
      </c>
      <c r="M24" s="171" t="s">
        <v>37</v>
      </c>
      <c r="N24" s="8"/>
      <c r="O24" s="9" t="s">
        <v>366</v>
      </c>
      <c r="P24" s="70" t="s">
        <v>39</v>
      </c>
      <c r="Q24" s="9" t="s">
        <v>41</v>
      </c>
      <c r="R24" s="47">
        <v>10000</v>
      </c>
      <c r="S24" s="47"/>
      <c r="T24" s="38">
        <v>10000</v>
      </c>
    </row>
    <row r="25" spans="2:20" ht="12.75">
      <c r="B25" s="155"/>
      <c r="C25" s="329"/>
      <c r="D25" s="84"/>
      <c r="E25" s="6"/>
      <c r="F25" s="273"/>
      <c r="G25" s="68"/>
      <c r="H25" s="6"/>
      <c r="I25" s="23"/>
      <c r="J25" s="76"/>
      <c r="K25" s="273"/>
      <c r="L25" s="84"/>
      <c r="M25" s="171"/>
      <c r="N25" s="8"/>
      <c r="O25" s="9"/>
      <c r="P25" s="70"/>
      <c r="Q25" s="9"/>
      <c r="R25" s="47"/>
      <c r="S25" s="47"/>
      <c r="T25" s="38"/>
    </row>
    <row r="26" spans="2:20" ht="12.75">
      <c r="B26" s="154" t="s">
        <v>634</v>
      </c>
      <c r="C26" s="329"/>
      <c r="D26" s="364"/>
      <c r="E26" s="7"/>
      <c r="F26" s="273"/>
      <c r="G26" s="68"/>
      <c r="H26" s="6"/>
      <c r="I26" s="23"/>
      <c r="J26" s="76"/>
      <c r="K26" s="273"/>
      <c r="L26" s="84"/>
      <c r="M26" s="171"/>
      <c r="N26" s="8"/>
      <c r="O26" s="9"/>
      <c r="P26" s="70"/>
      <c r="Q26" s="9"/>
      <c r="R26" s="27"/>
      <c r="S26" s="27"/>
      <c r="T26" s="147">
        <f>SUM(T27)</f>
        <v>40000</v>
      </c>
    </row>
    <row r="27" spans="2:21" ht="12.75">
      <c r="B27" s="156" t="s">
        <v>770</v>
      </c>
      <c r="C27" s="329">
        <v>33003</v>
      </c>
      <c r="D27" s="84" t="s">
        <v>137</v>
      </c>
      <c r="E27" s="51" t="s">
        <v>719</v>
      </c>
      <c r="F27" s="273" t="s">
        <v>634</v>
      </c>
      <c r="G27" s="68">
        <v>33003</v>
      </c>
      <c r="H27" s="6" t="s">
        <v>635</v>
      </c>
      <c r="I27" s="23" t="s">
        <v>85</v>
      </c>
      <c r="J27" s="76" t="s">
        <v>34</v>
      </c>
      <c r="K27" s="273" t="s">
        <v>104</v>
      </c>
      <c r="L27" s="124" t="s">
        <v>36</v>
      </c>
      <c r="M27" s="171" t="s">
        <v>137</v>
      </c>
      <c r="N27" s="8"/>
      <c r="O27" s="9" t="s">
        <v>636</v>
      </c>
      <c r="P27" s="90" t="s">
        <v>956</v>
      </c>
      <c r="Q27" s="9" t="s">
        <v>41</v>
      </c>
      <c r="R27" s="47">
        <v>40000</v>
      </c>
      <c r="S27" s="47"/>
      <c r="T27" s="38">
        <v>40000</v>
      </c>
      <c r="U27" t="s">
        <v>1036</v>
      </c>
    </row>
    <row r="28" spans="2:20" ht="12.75">
      <c r="B28" s="156"/>
      <c r="C28" s="329"/>
      <c r="D28" s="84"/>
      <c r="E28" s="51"/>
      <c r="F28" s="273"/>
      <c r="G28" s="68"/>
      <c r="H28" s="6"/>
      <c r="I28" s="23"/>
      <c r="J28" s="76"/>
      <c r="K28" s="273"/>
      <c r="L28" s="124"/>
      <c r="M28" s="171"/>
      <c r="N28" s="8"/>
      <c r="O28" s="9"/>
      <c r="P28" s="90"/>
      <c r="Q28" s="9"/>
      <c r="R28" s="47"/>
      <c r="S28" s="47"/>
      <c r="T28" s="38"/>
    </row>
    <row r="29" spans="2:20" ht="12.75">
      <c r="B29" s="154" t="s">
        <v>804</v>
      </c>
      <c r="C29" s="329"/>
      <c r="D29" s="364"/>
      <c r="E29" s="7"/>
      <c r="F29" s="273"/>
      <c r="G29" s="68"/>
      <c r="H29" s="6"/>
      <c r="I29" s="23"/>
      <c r="J29" s="76"/>
      <c r="K29" s="273"/>
      <c r="L29" s="84"/>
      <c r="M29" s="171"/>
      <c r="N29" s="8"/>
      <c r="O29" s="9"/>
      <c r="P29" s="70"/>
      <c r="Q29" s="9"/>
      <c r="R29" s="27"/>
      <c r="S29" s="27"/>
      <c r="T29" s="147">
        <f>SUM(T30:T32)</f>
        <v>35060</v>
      </c>
    </row>
    <row r="30" spans="2:20" ht="12.75">
      <c r="B30" s="157" t="s">
        <v>67</v>
      </c>
      <c r="C30" s="329">
        <f>DATE(90,2,3)</f>
        <v>32907</v>
      </c>
      <c r="D30" s="84" t="s">
        <v>62</v>
      </c>
      <c r="E30" s="6" t="s">
        <v>63</v>
      </c>
      <c r="F30" s="273" t="s">
        <v>786</v>
      </c>
      <c r="G30" s="68">
        <f>33235-19</f>
        <v>33216</v>
      </c>
      <c r="H30" s="6" t="s">
        <v>64</v>
      </c>
      <c r="I30" s="23" t="s">
        <v>33</v>
      </c>
      <c r="J30" s="76" t="s">
        <v>34</v>
      </c>
      <c r="K30" s="273" t="s">
        <v>65</v>
      </c>
      <c r="L30" s="84" t="s">
        <v>36</v>
      </c>
      <c r="M30" s="171">
        <v>0</v>
      </c>
      <c r="N30" s="8"/>
      <c r="O30" s="9" t="s">
        <v>53</v>
      </c>
      <c r="P30" s="70" t="s">
        <v>66</v>
      </c>
      <c r="Q30" s="9" t="s">
        <v>68</v>
      </c>
      <c r="R30" s="142">
        <v>106</v>
      </c>
      <c r="S30" s="142"/>
      <c r="T30" s="143">
        <v>210</v>
      </c>
    </row>
    <row r="31" spans="2:20" ht="12.75">
      <c r="B31" s="157" t="s">
        <v>55</v>
      </c>
      <c r="C31" s="329">
        <f>33235-59</f>
        <v>33176</v>
      </c>
      <c r="D31" s="84" t="s">
        <v>48</v>
      </c>
      <c r="E31" s="6" t="s">
        <v>49</v>
      </c>
      <c r="F31" s="273" t="s">
        <v>786</v>
      </c>
      <c r="G31" s="68">
        <v>33176</v>
      </c>
      <c r="H31" s="190" t="s">
        <v>942</v>
      </c>
      <c r="I31" s="23" t="s">
        <v>51</v>
      </c>
      <c r="J31" s="76" t="s">
        <v>34</v>
      </c>
      <c r="K31" s="273" t="s">
        <v>52</v>
      </c>
      <c r="L31" s="84" t="s">
        <v>36</v>
      </c>
      <c r="M31" s="171">
        <v>0.04</v>
      </c>
      <c r="N31" s="8"/>
      <c r="O31" s="9" t="s">
        <v>53</v>
      </c>
      <c r="P31" s="70" t="s">
        <v>54</v>
      </c>
      <c r="Q31" s="9" t="s">
        <v>56</v>
      </c>
      <c r="R31" s="27">
        <v>16232</v>
      </c>
      <c r="S31" s="27"/>
      <c r="T31" s="38">
        <v>28986</v>
      </c>
    </row>
    <row r="32" spans="2:20" ht="12.75">
      <c r="B32" s="157" t="s">
        <v>82</v>
      </c>
      <c r="C32" s="329">
        <f>DATE(90,12,29)</f>
        <v>33236</v>
      </c>
      <c r="D32" s="84" t="s">
        <v>78</v>
      </c>
      <c r="E32" s="6" t="s">
        <v>63</v>
      </c>
      <c r="F32" s="273" t="s">
        <v>786</v>
      </c>
      <c r="G32" s="68">
        <v>33364</v>
      </c>
      <c r="H32" s="6" t="s">
        <v>79</v>
      </c>
      <c r="I32" s="23" t="s">
        <v>80</v>
      </c>
      <c r="J32" s="76" t="s">
        <v>34</v>
      </c>
      <c r="K32" s="350" t="s">
        <v>81</v>
      </c>
      <c r="L32" s="124" t="s">
        <v>36</v>
      </c>
      <c r="M32" s="171">
        <v>0</v>
      </c>
      <c r="N32" s="8"/>
      <c r="O32" s="9" t="s">
        <v>53</v>
      </c>
      <c r="P32" s="70" t="s">
        <v>66</v>
      </c>
      <c r="Q32" s="9" t="s">
        <v>68</v>
      </c>
      <c r="R32" s="27">
        <v>3109</v>
      </c>
      <c r="S32" s="27"/>
      <c r="T32" s="38">
        <v>5864</v>
      </c>
    </row>
    <row r="33" spans="2:20" ht="12.75">
      <c r="B33" s="157"/>
      <c r="C33" s="329"/>
      <c r="D33" s="84"/>
      <c r="E33" s="6"/>
      <c r="F33" s="273"/>
      <c r="G33" s="68"/>
      <c r="H33" s="6"/>
      <c r="I33" s="23"/>
      <c r="J33" s="76"/>
      <c r="K33" s="350"/>
      <c r="L33" s="124"/>
      <c r="M33" s="171"/>
      <c r="N33" s="8"/>
      <c r="O33" s="9"/>
      <c r="P33" s="70"/>
      <c r="Q33" s="9"/>
      <c r="R33" s="27"/>
      <c r="S33" s="27"/>
      <c r="T33" s="38"/>
    </row>
    <row r="34" spans="2:20" ht="12.75">
      <c r="B34" s="154" t="s">
        <v>810</v>
      </c>
      <c r="C34" s="329"/>
      <c r="D34" s="364"/>
      <c r="E34" s="7"/>
      <c r="F34" s="273"/>
      <c r="G34" s="68"/>
      <c r="H34" s="6"/>
      <c r="I34" s="23"/>
      <c r="J34" s="76"/>
      <c r="K34" s="273"/>
      <c r="L34" s="84"/>
      <c r="M34" s="171"/>
      <c r="N34" s="8"/>
      <c r="O34" s="9"/>
      <c r="P34" s="70"/>
      <c r="Q34" s="9"/>
      <c r="R34" s="27"/>
      <c r="S34" s="27"/>
      <c r="T34" s="147">
        <f>SUM(T35:T39)</f>
        <v>69099.89504999999</v>
      </c>
    </row>
    <row r="35" spans="2:20" ht="12.75">
      <c r="B35" s="189" t="s">
        <v>818</v>
      </c>
      <c r="C35" s="329">
        <v>32941</v>
      </c>
      <c r="D35" s="84" t="s">
        <v>819</v>
      </c>
      <c r="E35" s="6" t="s">
        <v>269</v>
      </c>
      <c r="F35" s="273" t="s">
        <v>786</v>
      </c>
      <c r="G35" s="68"/>
      <c r="H35" s="190" t="s">
        <v>50</v>
      </c>
      <c r="I35" s="23" t="s">
        <v>51</v>
      </c>
      <c r="J35" s="76"/>
      <c r="K35" s="273" t="s">
        <v>52</v>
      </c>
      <c r="L35" s="84"/>
      <c r="M35" s="171">
        <v>0</v>
      </c>
      <c r="N35" s="8"/>
      <c r="O35" s="9" t="s">
        <v>532</v>
      </c>
      <c r="P35" s="70" t="s">
        <v>366</v>
      </c>
      <c r="Q35" s="9" t="s">
        <v>820</v>
      </c>
      <c r="R35" s="142">
        <v>15909.877</v>
      </c>
      <c r="S35" s="142"/>
      <c r="T35" s="143">
        <f>+R35</f>
        <v>15909.877</v>
      </c>
    </row>
    <row r="36" spans="2:20" ht="12.75">
      <c r="B36" s="189" t="s">
        <v>821</v>
      </c>
      <c r="C36" s="329">
        <v>33079</v>
      </c>
      <c r="D36" s="84" t="s">
        <v>822</v>
      </c>
      <c r="E36" s="6" t="s">
        <v>44</v>
      </c>
      <c r="F36" s="273" t="s">
        <v>270</v>
      </c>
      <c r="G36" s="68"/>
      <c r="H36" s="190" t="s">
        <v>941</v>
      </c>
      <c r="I36" s="23" t="s">
        <v>51</v>
      </c>
      <c r="J36" s="76" t="s">
        <v>34</v>
      </c>
      <c r="K36" s="273" t="s">
        <v>52</v>
      </c>
      <c r="L36" s="84"/>
      <c r="M36" s="171">
        <v>0.0965</v>
      </c>
      <c r="N36" s="8"/>
      <c r="O36" s="9" t="s">
        <v>473</v>
      </c>
      <c r="P36" s="70" t="s">
        <v>510</v>
      </c>
      <c r="Q36" s="9" t="s">
        <v>41</v>
      </c>
      <c r="R36" s="47">
        <v>24000</v>
      </c>
      <c r="S36" s="47"/>
      <c r="T36" s="38">
        <f>+R36</f>
        <v>24000</v>
      </c>
    </row>
    <row r="37" spans="2:20" ht="12.75">
      <c r="B37" s="189" t="s">
        <v>943</v>
      </c>
      <c r="C37" s="329">
        <v>33236</v>
      </c>
      <c r="D37" s="84" t="s">
        <v>811</v>
      </c>
      <c r="E37" s="6"/>
      <c r="F37" s="273" t="s">
        <v>270</v>
      </c>
      <c r="G37" s="68"/>
      <c r="H37" s="190" t="s">
        <v>50</v>
      </c>
      <c r="I37" s="23" t="s">
        <v>51</v>
      </c>
      <c r="J37" s="76"/>
      <c r="K37" s="350" t="s">
        <v>52</v>
      </c>
      <c r="L37" s="124"/>
      <c r="M37" s="171">
        <v>0.09</v>
      </c>
      <c r="N37" s="8"/>
      <c r="O37" s="9" t="s">
        <v>418</v>
      </c>
      <c r="P37" s="70" t="s">
        <v>510</v>
      </c>
      <c r="Q37" s="9" t="s">
        <v>41</v>
      </c>
      <c r="R37" s="27">
        <v>20250</v>
      </c>
      <c r="S37" s="27"/>
      <c r="T37" s="38">
        <f>+R37</f>
        <v>20250</v>
      </c>
    </row>
    <row r="38" spans="2:20" ht="12.75">
      <c r="B38" s="189" t="s">
        <v>812</v>
      </c>
      <c r="C38" s="329">
        <v>33228</v>
      </c>
      <c r="D38" s="84" t="s">
        <v>813</v>
      </c>
      <c r="E38" s="6"/>
      <c r="F38" s="273" t="s">
        <v>270</v>
      </c>
      <c r="G38" s="68"/>
      <c r="H38" s="190" t="s">
        <v>941</v>
      </c>
      <c r="I38" s="23" t="s">
        <v>51</v>
      </c>
      <c r="J38" s="76"/>
      <c r="K38" s="350" t="s">
        <v>52</v>
      </c>
      <c r="L38" s="124"/>
      <c r="M38" s="171">
        <v>0.1095</v>
      </c>
      <c r="N38" s="8"/>
      <c r="O38" s="9" t="s">
        <v>418</v>
      </c>
      <c r="P38" s="70" t="s">
        <v>510</v>
      </c>
      <c r="Q38" s="9" t="s">
        <v>41</v>
      </c>
      <c r="R38" s="27">
        <v>5525.2121</v>
      </c>
      <c r="S38" s="27"/>
      <c r="T38" s="38">
        <f>+R38</f>
        <v>5525.2121</v>
      </c>
    </row>
    <row r="39" spans="2:20" ht="13.5" thickBot="1">
      <c r="B39" s="270" t="s">
        <v>814</v>
      </c>
      <c r="C39" s="330">
        <v>33228</v>
      </c>
      <c r="D39" s="85" t="s">
        <v>813</v>
      </c>
      <c r="E39" s="3"/>
      <c r="F39" s="274" t="s">
        <v>270</v>
      </c>
      <c r="G39" s="69"/>
      <c r="H39" s="271" t="s">
        <v>941</v>
      </c>
      <c r="I39" s="24" t="s">
        <v>51</v>
      </c>
      <c r="J39" s="77"/>
      <c r="K39" s="351" t="s">
        <v>52</v>
      </c>
      <c r="L39" s="272"/>
      <c r="M39" s="173">
        <v>0.1095</v>
      </c>
      <c r="N39" s="4"/>
      <c r="O39" s="5" t="s">
        <v>418</v>
      </c>
      <c r="P39" s="91" t="s">
        <v>510</v>
      </c>
      <c r="Q39" s="5" t="s">
        <v>41</v>
      </c>
      <c r="R39" s="28">
        <v>3414.80595</v>
      </c>
      <c r="S39" s="28"/>
      <c r="T39" s="55">
        <f>+R39</f>
        <v>3414.80595</v>
      </c>
    </row>
    <row r="40" spans="2:20" s="94" customFormat="1" ht="18.75" thickTop="1">
      <c r="B40" s="227">
        <v>1991</v>
      </c>
      <c r="C40" s="331"/>
      <c r="D40" s="365"/>
      <c r="E40" s="228"/>
      <c r="F40" s="275"/>
      <c r="G40" s="230"/>
      <c r="H40" s="229"/>
      <c r="I40" s="231"/>
      <c r="J40" s="232"/>
      <c r="K40" s="275"/>
      <c r="L40" s="233"/>
      <c r="M40" s="234"/>
      <c r="N40" s="235"/>
      <c r="O40" s="236"/>
      <c r="P40" s="237"/>
      <c r="Q40" s="236"/>
      <c r="R40" s="238"/>
      <c r="S40" s="238"/>
      <c r="T40" s="239">
        <f>+T41+T44+T51+T54</f>
        <v>982848</v>
      </c>
    </row>
    <row r="41" spans="2:20" ht="12.75">
      <c r="B41" s="154" t="s">
        <v>632</v>
      </c>
      <c r="C41" s="329"/>
      <c r="D41" s="364"/>
      <c r="E41" s="7"/>
      <c r="F41" s="273"/>
      <c r="G41" s="68"/>
      <c r="H41" s="6"/>
      <c r="I41" s="23"/>
      <c r="J41" s="76"/>
      <c r="K41" s="273"/>
      <c r="L41" s="84"/>
      <c r="M41" s="171"/>
      <c r="N41" s="8"/>
      <c r="O41" s="9"/>
      <c r="P41" s="70"/>
      <c r="Q41" s="9"/>
      <c r="R41" s="27"/>
      <c r="S41" s="27"/>
      <c r="T41" s="147">
        <f>+T42</f>
        <v>5000</v>
      </c>
    </row>
    <row r="42" spans="2:20" ht="12.75">
      <c r="B42" s="158" t="s">
        <v>760</v>
      </c>
      <c r="C42" s="332">
        <v>33424</v>
      </c>
      <c r="D42" s="366" t="s">
        <v>643</v>
      </c>
      <c r="E42" s="6"/>
      <c r="F42" s="273" t="s">
        <v>632</v>
      </c>
      <c r="G42" s="68"/>
      <c r="H42" s="6" t="s">
        <v>642</v>
      </c>
      <c r="I42" s="23" t="s">
        <v>98</v>
      </c>
      <c r="J42" s="76" t="s">
        <v>34</v>
      </c>
      <c r="K42" s="273" t="s">
        <v>114</v>
      </c>
      <c r="L42" s="84" t="s">
        <v>641</v>
      </c>
      <c r="M42" s="171" t="s">
        <v>639</v>
      </c>
      <c r="N42" s="8"/>
      <c r="O42" s="9" t="s">
        <v>365</v>
      </c>
      <c r="P42" s="70" t="s">
        <v>640</v>
      </c>
      <c r="Q42" s="9" t="s">
        <v>41</v>
      </c>
      <c r="R42" s="27">
        <v>5000</v>
      </c>
      <c r="S42" s="27"/>
      <c r="T42" s="38">
        <v>5000</v>
      </c>
    </row>
    <row r="43" spans="2:20" ht="12.75">
      <c r="B43" s="158"/>
      <c r="C43" s="332"/>
      <c r="D43" s="366"/>
      <c r="E43" s="6"/>
      <c r="F43" s="273"/>
      <c r="G43" s="68"/>
      <c r="H43" s="6"/>
      <c r="I43" s="23"/>
      <c r="J43" s="76"/>
      <c r="K43" s="273"/>
      <c r="L43" s="84"/>
      <c r="M43" s="171"/>
      <c r="N43" s="8"/>
      <c r="O43" s="9"/>
      <c r="P43" s="70"/>
      <c r="Q43" s="9"/>
      <c r="R43" s="27"/>
      <c r="S43" s="27"/>
      <c r="T43" s="38"/>
    </row>
    <row r="44" spans="2:20" ht="12.75">
      <c r="B44" s="154" t="s">
        <v>634</v>
      </c>
      <c r="C44" s="332"/>
      <c r="D44" s="364"/>
      <c r="E44" s="7"/>
      <c r="F44" s="273"/>
      <c r="G44" s="68"/>
      <c r="H44" s="6"/>
      <c r="I44" s="23"/>
      <c r="J44" s="76"/>
      <c r="K44" s="273"/>
      <c r="L44" s="84"/>
      <c r="M44" s="171"/>
      <c r="N44" s="8"/>
      <c r="O44" s="9"/>
      <c r="P44" s="70"/>
      <c r="Q44" s="9"/>
      <c r="R44" s="27"/>
      <c r="S44" s="27"/>
      <c r="T44" s="147">
        <f>SUM(T45:T49)</f>
        <v>539900</v>
      </c>
    </row>
    <row r="45" spans="2:20" ht="12.75">
      <c r="B45" s="155" t="s">
        <v>102</v>
      </c>
      <c r="C45" s="332">
        <f>DATE(91,9,10)</f>
        <v>33491</v>
      </c>
      <c r="D45" s="84" t="s">
        <v>96</v>
      </c>
      <c r="E45" s="53" t="s">
        <v>719</v>
      </c>
      <c r="F45" s="273" t="s">
        <v>634</v>
      </c>
      <c r="G45" s="68">
        <v>33548</v>
      </c>
      <c r="H45" s="6" t="s">
        <v>97</v>
      </c>
      <c r="I45" s="23" t="s">
        <v>98</v>
      </c>
      <c r="J45" s="76" t="s">
        <v>34</v>
      </c>
      <c r="K45" s="273" t="s">
        <v>99</v>
      </c>
      <c r="L45" s="84" t="s">
        <v>766</v>
      </c>
      <c r="M45" s="171" t="s">
        <v>100</v>
      </c>
      <c r="N45" s="8"/>
      <c r="O45" s="53" t="s">
        <v>955</v>
      </c>
      <c r="P45" s="70" t="s">
        <v>101</v>
      </c>
      <c r="Q45" s="9" t="s">
        <v>41</v>
      </c>
      <c r="R45" s="27">
        <v>20000</v>
      </c>
      <c r="S45" s="27"/>
      <c r="T45" s="38">
        <v>20000</v>
      </c>
    </row>
    <row r="46" spans="2:21" ht="12.75">
      <c r="B46" s="155" t="s">
        <v>89</v>
      </c>
      <c r="C46" s="332">
        <v>33491</v>
      </c>
      <c r="D46" s="84" t="s">
        <v>83</v>
      </c>
      <c r="E46" s="53" t="s">
        <v>719</v>
      </c>
      <c r="F46" s="273" t="s">
        <v>634</v>
      </c>
      <c r="G46" s="68">
        <v>33499</v>
      </c>
      <c r="H46" s="6" t="s">
        <v>84</v>
      </c>
      <c r="I46" s="23" t="s">
        <v>85</v>
      </c>
      <c r="J46" s="76" t="s">
        <v>34</v>
      </c>
      <c r="K46" s="273" t="s">
        <v>36</v>
      </c>
      <c r="L46" s="84" t="s">
        <v>36</v>
      </c>
      <c r="M46" s="171" t="s">
        <v>86</v>
      </c>
      <c r="N46" s="8"/>
      <c r="O46" s="9" t="s">
        <v>141</v>
      </c>
      <c r="P46" s="70" t="s">
        <v>88</v>
      </c>
      <c r="Q46" s="9" t="s">
        <v>41</v>
      </c>
      <c r="R46" s="27">
        <v>425000</v>
      </c>
      <c r="S46" s="27"/>
      <c r="T46" s="38">
        <v>425000</v>
      </c>
      <c r="U46" t="s">
        <v>1032</v>
      </c>
    </row>
    <row r="47" spans="2:20" ht="12.75">
      <c r="B47" s="155" t="s">
        <v>92</v>
      </c>
      <c r="C47" s="332">
        <f>DATE(91,9,18)</f>
        <v>33499</v>
      </c>
      <c r="D47" s="84" t="s">
        <v>90</v>
      </c>
      <c r="E47" s="53" t="s">
        <v>719</v>
      </c>
      <c r="F47" s="273" t="s">
        <v>634</v>
      </c>
      <c r="G47" s="68">
        <v>33499</v>
      </c>
      <c r="H47" s="6" t="s">
        <v>91</v>
      </c>
      <c r="I47" s="23" t="s">
        <v>85</v>
      </c>
      <c r="J47" s="76" t="s">
        <v>34</v>
      </c>
      <c r="K47" s="273" t="s">
        <v>36</v>
      </c>
      <c r="L47" s="84" t="s">
        <v>36</v>
      </c>
      <c r="M47" s="171" t="s">
        <v>86</v>
      </c>
      <c r="N47" s="8"/>
      <c r="O47" s="9" t="s">
        <v>141</v>
      </c>
      <c r="P47" s="70" t="s">
        <v>88</v>
      </c>
      <c r="Q47" s="9" t="s">
        <v>41</v>
      </c>
      <c r="R47" s="27">
        <v>4900</v>
      </c>
      <c r="S47" s="27"/>
      <c r="T47" s="38">
        <v>4900</v>
      </c>
    </row>
    <row r="48" spans="2:20" ht="12.75">
      <c r="B48" s="155" t="s">
        <v>117</v>
      </c>
      <c r="C48" s="332">
        <f>DATE(91,10,2)</f>
        <v>33513</v>
      </c>
      <c r="D48" s="84" t="s">
        <v>96</v>
      </c>
      <c r="E48" s="53" t="s">
        <v>719</v>
      </c>
      <c r="F48" s="273" t="s">
        <v>634</v>
      </c>
      <c r="G48" s="68">
        <v>33631</v>
      </c>
      <c r="H48" s="6" t="s">
        <v>113</v>
      </c>
      <c r="I48" s="23" t="s">
        <v>98</v>
      </c>
      <c r="J48" s="76" t="s">
        <v>114</v>
      </c>
      <c r="K48" s="273" t="s">
        <v>114</v>
      </c>
      <c r="L48" s="84" t="s">
        <v>114</v>
      </c>
      <c r="M48" s="171" t="s">
        <v>100</v>
      </c>
      <c r="N48" s="8"/>
      <c r="O48" s="9" t="s">
        <v>115</v>
      </c>
      <c r="P48" s="70" t="s">
        <v>116</v>
      </c>
      <c r="Q48" s="9" t="s">
        <v>41</v>
      </c>
      <c r="R48" s="27">
        <v>20000</v>
      </c>
      <c r="S48" s="27"/>
      <c r="T48" s="38">
        <v>20000</v>
      </c>
    </row>
    <row r="49" spans="2:21" ht="12.75">
      <c r="B49" s="155" t="s">
        <v>105</v>
      </c>
      <c r="C49" s="332">
        <f>DATE(91,11,26)</f>
        <v>33568</v>
      </c>
      <c r="D49" s="84" t="s">
        <v>96</v>
      </c>
      <c r="E49" s="53" t="s">
        <v>719</v>
      </c>
      <c r="F49" s="273" t="s">
        <v>634</v>
      </c>
      <c r="G49" s="68">
        <v>33631</v>
      </c>
      <c r="H49" s="6" t="s">
        <v>103</v>
      </c>
      <c r="I49" s="23" t="s">
        <v>85</v>
      </c>
      <c r="J49" s="76" t="s">
        <v>34</v>
      </c>
      <c r="K49" s="273" t="s">
        <v>104</v>
      </c>
      <c r="L49" s="84" t="s">
        <v>104</v>
      </c>
      <c r="M49" s="214" t="s">
        <v>958</v>
      </c>
      <c r="N49" s="8"/>
      <c r="O49" s="9" t="s">
        <v>957</v>
      </c>
      <c r="P49" s="70" t="s">
        <v>38</v>
      </c>
      <c r="Q49" s="9" t="s">
        <v>41</v>
      </c>
      <c r="R49" s="27">
        <v>70000</v>
      </c>
      <c r="S49" s="27"/>
      <c r="T49" s="38">
        <v>70000</v>
      </c>
      <c r="U49" t="s">
        <v>1036</v>
      </c>
    </row>
    <row r="50" spans="2:20" ht="12.75">
      <c r="B50" s="155"/>
      <c r="C50" s="332"/>
      <c r="D50" s="84"/>
      <c r="E50" s="53"/>
      <c r="F50" s="273"/>
      <c r="G50" s="68"/>
      <c r="H50" s="6"/>
      <c r="I50" s="23"/>
      <c r="J50" s="76"/>
      <c r="K50" s="273"/>
      <c r="L50" s="84"/>
      <c r="M50" s="171"/>
      <c r="N50" s="8"/>
      <c r="O50" s="9"/>
      <c r="P50" s="70"/>
      <c r="Q50" s="9"/>
      <c r="R50" s="27"/>
      <c r="S50" s="27"/>
      <c r="T50" s="38"/>
    </row>
    <row r="51" spans="2:20" ht="12.75">
      <c r="B51" s="154" t="s">
        <v>803</v>
      </c>
      <c r="C51" s="332"/>
      <c r="D51" s="364"/>
      <c r="E51" s="7"/>
      <c r="F51" s="273"/>
      <c r="G51" s="68"/>
      <c r="H51" s="6"/>
      <c r="I51" s="23"/>
      <c r="J51" s="76"/>
      <c r="K51" s="273"/>
      <c r="L51" s="84"/>
      <c r="M51" s="171"/>
      <c r="N51" s="8"/>
      <c r="O51" s="9"/>
      <c r="P51" s="70"/>
      <c r="Q51" s="9"/>
      <c r="R51" s="27"/>
      <c r="S51" s="27"/>
      <c r="T51" s="147">
        <f>+T52</f>
        <v>421448</v>
      </c>
    </row>
    <row r="52" spans="2:21" ht="12.75">
      <c r="B52" s="155" t="s">
        <v>111</v>
      </c>
      <c r="C52" s="332">
        <f>DATE(91,11,26)</f>
        <v>33568</v>
      </c>
      <c r="D52" s="84" t="s">
        <v>106</v>
      </c>
      <c r="E52" s="6" t="s">
        <v>107</v>
      </c>
      <c r="F52" s="273" t="s">
        <v>31</v>
      </c>
      <c r="G52" s="68">
        <v>33581</v>
      </c>
      <c r="H52" s="6" t="s">
        <v>108</v>
      </c>
      <c r="I52" s="23" t="s">
        <v>85</v>
      </c>
      <c r="J52" s="76" t="s">
        <v>34</v>
      </c>
      <c r="K52" s="273" t="s">
        <v>36</v>
      </c>
      <c r="L52" s="84" t="s">
        <v>36</v>
      </c>
      <c r="M52" s="171">
        <v>0.03</v>
      </c>
      <c r="N52" s="8"/>
      <c r="O52" s="9" t="s">
        <v>109</v>
      </c>
      <c r="P52" s="70" t="s">
        <v>110</v>
      </c>
      <c r="Q52" s="9" t="s">
        <v>112</v>
      </c>
      <c r="R52" s="27">
        <v>54620000</v>
      </c>
      <c r="S52" s="27"/>
      <c r="T52" s="38">
        <v>421448</v>
      </c>
      <c r="U52" s="13" t="s">
        <v>1032</v>
      </c>
    </row>
    <row r="53" spans="2:20" ht="12.75">
      <c r="B53" s="155"/>
      <c r="C53" s="332"/>
      <c r="D53" s="84"/>
      <c r="E53" s="6"/>
      <c r="F53" s="273"/>
      <c r="G53" s="68"/>
      <c r="H53" s="6"/>
      <c r="I53" s="23"/>
      <c r="J53" s="76"/>
      <c r="K53" s="273"/>
      <c r="L53" s="84"/>
      <c r="M53" s="171"/>
      <c r="N53" s="8"/>
      <c r="O53" s="9"/>
      <c r="P53" s="70"/>
      <c r="Q53" s="9"/>
      <c r="R53" s="27"/>
      <c r="S53" s="27"/>
      <c r="T53" s="38"/>
    </row>
    <row r="54" spans="2:20" ht="12.75">
      <c r="B54" s="154" t="s">
        <v>804</v>
      </c>
      <c r="C54" s="332"/>
      <c r="D54" s="364"/>
      <c r="E54" s="7"/>
      <c r="F54" s="273"/>
      <c r="G54" s="68"/>
      <c r="H54" s="6"/>
      <c r="I54" s="23"/>
      <c r="J54" s="76"/>
      <c r="K54" s="273"/>
      <c r="L54" s="84"/>
      <c r="M54" s="171"/>
      <c r="N54" s="8"/>
      <c r="O54" s="9"/>
      <c r="P54" s="70"/>
      <c r="Q54" s="9"/>
      <c r="R54" s="27"/>
      <c r="S54" s="27"/>
      <c r="T54" s="147">
        <f>+T55</f>
        <v>16500</v>
      </c>
    </row>
    <row r="55" spans="2:20" ht="13.5" thickBot="1">
      <c r="B55" s="159" t="s">
        <v>95</v>
      </c>
      <c r="C55" s="333">
        <v>33500</v>
      </c>
      <c r="D55" s="85" t="s">
        <v>93</v>
      </c>
      <c r="E55" s="3" t="s">
        <v>63</v>
      </c>
      <c r="F55" s="274" t="s">
        <v>786</v>
      </c>
      <c r="G55" s="69">
        <v>33500</v>
      </c>
      <c r="H55" s="3" t="s">
        <v>50</v>
      </c>
      <c r="I55" s="24" t="s">
        <v>51</v>
      </c>
      <c r="J55" s="77" t="s">
        <v>34</v>
      </c>
      <c r="K55" s="274" t="s">
        <v>52</v>
      </c>
      <c r="L55" s="85" t="s">
        <v>36</v>
      </c>
      <c r="M55" s="173">
        <v>0.07</v>
      </c>
      <c r="N55" s="4"/>
      <c r="O55" s="5" t="s">
        <v>53</v>
      </c>
      <c r="P55" s="91" t="s">
        <v>94</v>
      </c>
      <c r="Q55" s="5" t="s">
        <v>41</v>
      </c>
      <c r="R55" s="28">
        <v>16500</v>
      </c>
      <c r="S55" s="28"/>
      <c r="T55" s="55">
        <v>16500</v>
      </c>
    </row>
    <row r="56" spans="2:20" s="94" customFormat="1" ht="18.75" thickTop="1">
      <c r="B56" s="227">
        <v>1992</v>
      </c>
      <c r="C56" s="334"/>
      <c r="D56" s="365"/>
      <c r="E56" s="228"/>
      <c r="F56" s="275"/>
      <c r="G56" s="230"/>
      <c r="H56" s="229"/>
      <c r="I56" s="231"/>
      <c r="J56" s="232"/>
      <c r="K56" s="275"/>
      <c r="L56" s="233"/>
      <c r="M56" s="234"/>
      <c r="N56" s="235"/>
      <c r="O56" s="236"/>
      <c r="P56" s="237"/>
      <c r="Q56" s="236"/>
      <c r="R56" s="238"/>
      <c r="S56" s="238"/>
      <c r="T56" s="239">
        <f>+T57+T61+T67+T79</f>
        <v>1836893</v>
      </c>
    </row>
    <row r="57" spans="2:20" ht="12.75">
      <c r="B57" s="154" t="s">
        <v>808</v>
      </c>
      <c r="C57" s="332"/>
      <c r="D57" s="364"/>
      <c r="E57" s="7"/>
      <c r="F57" s="273"/>
      <c r="G57" s="68"/>
      <c r="H57" s="6"/>
      <c r="I57" s="23"/>
      <c r="J57" s="76"/>
      <c r="K57" s="273"/>
      <c r="L57" s="84"/>
      <c r="M57" s="171"/>
      <c r="N57" s="8"/>
      <c r="O57" s="9"/>
      <c r="P57" s="70"/>
      <c r="Q57" s="9"/>
      <c r="R57" s="27"/>
      <c r="S57" s="27"/>
      <c r="T57" s="147">
        <f>SUM(T58:T59)</f>
        <v>16938</v>
      </c>
    </row>
    <row r="58" spans="2:20" ht="12.75">
      <c r="B58" s="155" t="s">
        <v>134</v>
      </c>
      <c r="C58" s="332">
        <v>33815</v>
      </c>
      <c r="D58" s="84" t="s">
        <v>824</v>
      </c>
      <c r="E58" s="6" t="s">
        <v>70</v>
      </c>
      <c r="F58" s="273" t="s">
        <v>59</v>
      </c>
      <c r="G58" s="68">
        <v>33391</v>
      </c>
      <c r="H58" s="6" t="s">
        <v>50</v>
      </c>
      <c r="I58" s="23" t="s">
        <v>51</v>
      </c>
      <c r="J58" s="76" t="s">
        <v>34</v>
      </c>
      <c r="K58" s="273" t="s">
        <v>52</v>
      </c>
      <c r="L58" s="84" t="s">
        <v>36</v>
      </c>
      <c r="M58" s="171" t="s">
        <v>132</v>
      </c>
      <c r="N58" s="8"/>
      <c r="O58" s="9" t="s">
        <v>133</v>
      </c>
      <c r="P58" s="70" t="s">
        <v>74</v>
      </c>
      <c r="Q58" s="9" t="s">
        <v>41</v>
      </c>
      <c r="R58" s="27">
        <v>5078</v>
      </c>
      <c r="S58" s="27"/>
      <c r="T58" s="38">
        <v>5078</v>
      </c>
    </row>
    <row r="59" spans="2:20" ht="12.75">
      <c r="B59" s="155" t="s">
        <v>164</v>
      </c>
      <c r="C59" s="332">
        <f>DATE(92,11,17)</f>
        <v>33925</v>
      </c>
      <c r="D59" s="84" t="s">
        <v>160</v>
      </c>
      <c r="E59" s="6" t="s">
        <v>58</v>
      </c>
      <c r="F59" s="273" t="s">
        <v>59</v>
      </c>
      <c r="G59" s="68">
        <v>33983</v>
      </c>
      <c r="H59" s="6" t="s">
        <v>161</v>
      </c>
      <c r="I59" s="23" t="s">
        <v>98</v>
      </c>
      <c r="J59" s="129" t="s">
        <v>34</v>
      </c>
      <c r="K59" s="350" t="s">
        <v>764</v>
      </c>
      <c r="L59" s="124" t="s">
        <v>162</v>
      </c>
      <c r="M59" s="171">
        <v>0.075</v>
      </c>
      <c r="N59" s="8"/>
      <c r="O59" s="9" t="s">
        <v>163</v>
      </c>
      <c r="P59" s="70" t="s">
        <v>116</v>
      </c>
      <c r="Q59" s="9" t="s">
        <v>41</v>
      </c>
      <c r="R59" s="27">
        <v>11860</v>
      </c>
      <c r="S59" s="27"/>
      <c r="T59" s="38">
        <v>11860</v>
      </c>
    </row>
    <row r="60" spans="2:20" ht="12.75">
      <c r="B60" s="155"/>
      <c r="C60" s="332"/>
      <c r="D60" s="84"/>
      <c r="E60" s="6"/>
      <c r="F60" s="273"/>
      <c r="G60" s="68"/>
      <c r="H60" s="6"/>
      <c r="I60" s="23"/>
      <c r="J60" s="129"/>
      <c r="K60" s="350"/>
      <c r="L60" s="124"/>
      <c r="M60" s="171"/>
      <c r="N60" s="8"/>
      <c r="O60" s="9"/>
      <c r="P60" s="70"/>
      <c r="Q60" s="9"/>
      <c r="R60" s="27"/>
      <c r="S60" s="27"/>
      <c r="T60" s="38"/>
    </row>
    <row r="61" spans="2:20" ht="12.75">
      <c r="B61" s="154" t="s">
        <v>803</v>
      </c>
      <c r="C61" s="332"/>
      <c r="D61" s="364"/>
      <c r="E61" s="7"/>
      <c r="F61" s="273"/>
      <c r="G61" s="68"/>
      <c r="H61" s="6"/>
      <c r="I61" s="23"/>
      <c r="J61" s="76"/>
      <c r="K61" s="273"/>
      <c r="L61" s="84"/>
      <c r="M61" s="171"/>
      <c r="N61" s="8"/>
      <c r="O61" s="9"/>
      <c r="P61" s="70"/>
      <c r="Q61" s="9"/>
      <c r="R61" s="27"/>
      <c r="S61" s="27"/>
      <c r="T61" s="147">
        <f>SUM(T62:T65)</f>
        <v>144430</v>
      </c>
    </row>
    <row r="62" spans="2:20" ht="12.75">
      <c r="B62" s="155" t="s">
        <v>130</v>
      </c>
      <c r="C62" s="332">
        <f>DATE(92,5,1)</f>
        <v>33725</v>
      </c>
      <c r="D62" s="84" t="s">
        <v>43</v>
      </c>
      <c r="E62" s="6" t="s">
        <v>44</v>
      </c>
      <c r="F62" s="273" t="s">
        <v>31</v>
      </c>
      <c r="G62" s="68">
        <v>33753</v>
      </c>
      <c r="H62" s="6" t="s">
        <v>126</v>
      </c>
      <c r="I62" s="23" t="s">
        <v>127</v>
      </c>
      <c r="J62" s="76" t="s">
        <v>34</v>
      </c>
      <c r="K62" s="273" t="s">
        <v>128</v>
      </c>
      <c r="L62" s="84" t="s">
        <v>128</v>
      </c>
      <c r="M62" s="171">
        <v>0.015</v>
      </c>
      <c r="N62" s="8"/>
      <c r="O62" s="9" t="s">
        <v>129</v>
      </c>
      <c r="P62" s="70" t="s">
        <v>109</v>
      </c>
      <c r="Q62" s="9" t="s">
        <v>131</v>
      </c>
      <c r="R62" s="27">
        <v>14254841</v>
      </c>
      <c r="S62" s="27"/>
      <c r="T62" s="38">
        <v>11450</v>
      </c>
    </row>
    <row r="63" spans="2:20" ht="12.75">
      <c r="B63" s="155" t="s">
        <v>149</v>
      </c>
      <c r="C63" s="332">
        <f>DATE(92,8,25)</f>
        <v>33841</v>
      </c>
      <c r="D63" s="84" t="s">
        <v>43</v>
      </c>
      <c r="E63" s="6" t="s">
        <v>44</v>
      </c>
      <c r="F63" s="273" t="s">
        <v>31</v>
      </c>
      <c r="G63" s="68">
        <v>33875</v>
      </c>
      <c r="H63" s="6" t="s">
        <v>148</v>
      </c>
      <c r="I63" s="23" t="s">
        <v>446</v>
      </c>
      <c r="J63" s="76" t="s">
        <v>34</v>
      </c>
      <c r="K63" s="273" t="s">
        <v>273</v>
      </c>
      <c r="L63" s="84" t="s">
        <v>36</v>
      </c>
      <c r="M63" s="171">
        <v>0.015</v>
      </c>
      <c r="N63" s="8"/>
      <c r="O63" s="9" t="s">
        <v>129</v>
      </c>
      <c r="P63" s="70" t="s">
        <v>109</v>
      </c>
      <c r="Q63" s="9" t="s">
        <v>150</v>
      </c>
      <c r="R63" s="27">
        <v>14212</v>
      </c>
      <c r="S63" s="27"/>
      <c r="T63" s="38">
        <v>20280</v>
      </c>
    </row>
    <row r="64" spans="2:20" ht="12.75">
      <c r="B64" s="155" t="s">
        <v>153</v>
      </c>
      <c r="C64" s="332">
        <f>DATE(92,9,16)</f>
        <v>33863</v>
      </c>
      <c r="D64" s="84" t="s">
        <v>43</v>
      </c>
      <c r="E64" s="6" t="s">
        <v>44</v>
      </c>
      <c r="F64" s="273" t="s">
        <v>31</v>
      </c>
      <c r="G64" s="70" t="s">
        <v>151</v>
      </c>
      <c r="H64" s="6" t="s">
        <v>152</v>
      </c>
      <c r="I64" s="23" t="s">
        <v>98</v>
      </c>
      <c r="J64" s="76" t="s">
        <v>34</v>
      </c>
      <c r="K64" s="273" t="s">
        <v>954</v>
      </c>
      <c r="L64" s="84" t="s">
        <v>36</v>
      </c>
      <c r="M64" s="171">
        <v>0.015</v>
      </c>
      <c r="N64" s="8"/>
      <c r="O64" s="9" t="s">
        <v>129</v>
      </c>
      <c r="P64" s="70" t="s">
        <v>109</v>
      </c>
      <c r="Q64" s="9" t="s">
        <v>41</v>
      </c>
      <c r="R64" s="27">
        <v>10000</v>
      </c>
      <c r="S64" s="27"/>
      <c r="T64" s="38">
        <v>10000</v>
      </c>
    </row>
    <row r="65" spans="2:21" ht="12.75">
      <c r="B65" s="155" t="s">
        <v>173</v>
      </c>
      <c r="C65" s="332">
        <f>DATE(92,12,18)</f>
        <v>33956</v>
      </c>
      <c r="D65" s="84" t="s">
        <v>170</v>
      </c>
      <c r="E65" s="6" t="s">
        <v>107</v>
      </c>
      <c r="F65" s="273" t="s">
        <v>31</v>
      </c>
      <c r="G65" s="68">
        <v>33960</v>
      </c>
      <c r="H65" s="6" t="s">
        <v>171</v>
      </c>
      <c r="I65" s="23" t="s">
        <v>85</v>
      </c>
      <c r="J65" s="76" t="s">
        <v>34</v>
      </c>
      <c r="K65" s="273" t="s">
        <v>36</v>
      </c>
      <c r="L65" s="84" t="s">
        <v>36</v>
      </c>
      <c r="M65" s="171">
        <v>0.03</v>
      </c>
      <c r="N65" s="8"/>
      <c r="O65" s="9" t="s">
        <v>66</v>
      </c>
      <c r="P65" s="70" t="s">
        <v>172</v>
      </c>
      <c r="Q65" s="9" t="s">
        <v>112</v>
      </c>
      <c r="R65" s="27">
        <v>12690000</v>
      </c>
      <c r="S65" s="27"/>
      <c r="T65" s="38">
        <v>102700</v>
      </c>
      <c r="U65" t="s">
        <v>1032</v>
      </c>
    </row>
    <row r="66" spans="2:20" ht="12.75">
      <c r="B66" s="155"/>
      <c r="C66" s="332"/>
      <c r="D66" s="84"/>
      <c r="E66" s="6"/>
      <c r="F66" s="273"/>
      <c r="G66" s="68"/>
      <c r="H66" s="6"/>
      <c r="I66" s="23"/>
      <c r="J66" s="76"/>
      <c r="K66" s="273"/>
      <c r="L66" s="84"/>
      <c r="M66" s="171"/>
      <c r="N66" s="8"/>
      <c r="O66" s="9"/>
      <c r="P66" s="70"/>
      <c r="Q66" s="9"/>
      <c r="R66" s="27"/>
      <c r="S66" s="27"/>
      <c r="T66" s="38"/>
    </row>
    <row r="67" spans="2:20" ht="12.75">
      <c r="B67" s="154" t="s">
        <v>634</v>
      </c>
      <c r="C67" s="332"/>
      <c r="D67" s="364"/>
      <c r="E67" s="7"/>
      <c r="F67" s="273"/>
      <c r="G67" s="68"/>
      <c r="H67" s="6"/>
      <c r="I67" s="23"/>
      <c r="J67" s="76"/>
      <c r="K67" s="273"/>
      <c r="L67" s="84"/>
      <c r="M67" s="171"/>
      <c r="N67" s="8"/>
      <c r="O67" s="9"/>
      <c r="P67" s="70"/>
      <c r="Q67" s="9"/>
      <c r="R67" s="27"/>
      <c r="S67" s="27"/>
      <c r="T67" s="147">
        <f>SUM(T68:T77)</f>
        <v>1669225</v>
      </c>
    </row>
    <row r="68" spans="2:20" ht="12.75">
      <c r="B68" s="155" t="s">
        <v>123</v>
      </c>
      <c r="C68" s="332">
        <f>DATE(92,1,4)</f>
        <v>33607</v>
      </c>
      <c r="D68" s="84" t="s">
        <v>118</v>
      </c>
      <c r="E68" s="53" t="s">
        <v>719</v>
      </c>
      <c r="F68" s="273" t="s">
        <v>634</v>
      </c>
      <c r="G68" s="68">
        <v>33632</v>
      </c>
      <c r="H68" s="6" t="s">
        <v>119</v>
      </c>
      <c r="I68" s="23" t="s">
        <v>45</v>
      </c>
      <c r="J68" s="76" t="s">
        <v>34</v>
      </c>
      <c r="K68" s="273" t="s">
        <v>120</v>
      </c>
      <c r="L68" s="84" t="s">
        <v>36</v>
      </c>
      <c r="M68" s="171" t="s">
        <v>86</v>
      </c>
      <c r="N68" s="8"/>
      <c r="O68" s="9" t="s">
        <v>121</v>
      </c>
      <c r="P68" s="70" t="s">
        <v>122</v>
      </c>
      <c r="Q68" s="9" t="s">
        <v>41</v>
      </c>
      <c r="R68" s="27">
        <v>210000</v>
      </c>
      <c r="S68" s="27"/>
      <c r="T68" s="38">
        <v>210000</v>
      </c>
    </row>
    <row r="69" spans="2:20" ht="12.75">
      <c r="B69" s="155" t="s">
        <v>125</v>
      </c>
      <c r="C69" s="332">
        <f>DATE(92,5,1)</f>
        <v>33725</v>
      </c>
      <c r="D69" s="84" t="s">
        <v>96</v>
      </c>
      <c r="E69" s="53" t="s">
        <v>719</v>
      </c>
      <c r="F69" s="273" t="s">
        <v>634</v>
      </c>
      <c r="G69" s="68">
        <v>33724</v>
      </c>
      <c r="H69" s="6" t="s">
        <v>124</v>
      </c>
      <c r="I69" s="23" t="s">
        <v>98</v>
      </c>
      <c r="J69" s="76" t="s">
        <v>34</v>
      </c>
      <c r="K69" s="273" t="s">
        <v>99</v>
      </c>
      <c r="L69" s="84" t="s">
        <v>766</v>
      </c>
      <c r="M69" s="171" t="s">
        <v>100</v>
      </c>
      <c r="N69" s="8"/>
      <c r="O69" s="53" t="s">
        <v>955</v>
      </c>
      <c r="P69" s="70" t="s">
        <v>101</v>
      </c>
      <c r="Q69" s="9" t="s">
        <v>41</v>
      </c>
      <c r="R69" s="27">
        <v>20000</v>
      </c>
      <c r="S69" s="27"/>
      <c r="T69" s="38">
        <v>20000</v>
      </c>
    </row>
    <row r="70" spans="2:20" ht="12.75">
      <c r="B70" s="155" t="s">
        <v>138</v>
      </c>
      <c r="C70" s="332">
        <f>DATE(92,6,26)</f>
        <v>33781</v>
      </c>
      <c r="D70" s="84" t="s">
        <v>96</v>
      </c>
      <c r="E70" s="53" t="s">
        <v>719</v>
      </c>
      <c r="F70" s="273" t="s">
        <v>634</v>
      </c>
      <c r="G70" s="68">
        <v>33798</v>
      </c>
      <c r="H70" s="6" t="s">
        <v>135</v>
      </c>
      <c r="I70" s="23" t="s">
        <v>98</v>
      </c>
      <c r="J70" s="76" t="s">
        <v>34</v>
      </c>
      <c r="K70" s="273" t="s">
        <v>136</v>
      </c>
      <c r="L70" s="84" t="s">
        <v>136</v>
      </c>
      <c r="M70" s="171" t="s">
        <v>137</v>
      </c>
      <c r="N70" s="8"/>
      <c r="O70" s="9" t="s">
        <v>74</v>
      </c>
      <c r="P70" s="70" t="s">
        <v>94</v>
      </c>
      <c r="Q70" s="9" t="s">
        <v>41</v>
      </c>
      <c r="R70" s="27">
        <v>12600</v>
      </c>
      <c r="S70" s="27"/>
      <c r="T70" s="38">
        <v>12600</v>
      </c>
    </row>
    <row r="71" spans="2:21" ht="12.75">
      <c r="B71" s="155" t="s">
        <v>145</v>
      </c>
      <c r="C71" s="332">
        <f>DATE(92,7,12)</f>
        <v>33797</v>
      </c>
      <c r="D71" s="84" t="s">
        <v>143</v>
      </c>
      <c r="E71" s="53" t="s">
        <v>719</v>
      </c>
      <c r="F71" s="273" t="s">
        <v>634</v>
      </c>
      <c r="G71" s="68">
        <v>33871</v>
      </c>
      <c r="H71" s="6" t="s">
        <v>144</v>
      </c>
      <c r="I71" s="23" t="s">
        <v>85</v>
      </c>
      <c r="J71" s="76" t="s">
        <v>34</v>
      </c>
      <c r="K71" s="273" t="s">
        <v>36</v>
      </c>
      <c r="L71" s="84" t="s">
        <v>36</v>
      </c>
      <c r="M71" s="171" t="s">
        <v>86</v>
      </c>
      <c r="N71" s="8"/>
      <c r="O71" s="9" t="s">
        <v>141</v>
      </c>
      <c r="P71" s="70" t="s">
        <v>88</v>
      </c>
      <c r="Q71" s="9" t="s">
        <v>41</v>
      </c>
      <c r="R71" s="27">
        <v>200000</v>
      </c>
      <c r="S71" s="27"/>
      <c r="T71" s="38">
        <v>200000</v>
      </c>
      <c r="U71" t="s">
        <v>1032</v>
      </c>
    </row>
    <row r="72" spans="2:20" ht="12.75">
      <c r="B72" s="155" t="s">
        <v>145</v>
      </c>
      <c r="C72" s="332">
        <f>DATE(92,7,12)</f>
        <v>33797</v>
      </c>
      <c r="D72" s="84" t="s">
        <v>146</v>
      </c>
      <c r="E72" s="53" t="s">
        <v>719</v>
      </c>
      <c r="F72" s="273" t="s">
        <v>634</v>
      </c>
      <c r="G72" s="68">
        <v>33871</v>
      </c>
      <c r="H72" s="6" t="s">
        <v>147</v>
      </c>
      <c r="I72" s="23" t="s">
        <v>85</v>
      </c>
      <c r="J72" s="76" t="s">
        <v>34</v>
      </c>
      <c r="K72" s="273" t="s">
        <v>36</v>
      </c>
      <c r="L72" s="84" t="s">
        <v>36</v>
      </c>
      <c r="M72" s="171" t="s">
        <v>86</v>
      </c>
      <c r="N72" s="8"/>
      <c r="O72" s="9" t="s">
        <v>141</v>
      </c>
      <c r="P72" s="70" t="s">
        <v>88</v>
      </c>
      <c r="Q72" s="9" t="s">
        <v>41</v>
      </c>
      <c r="R72" s="27">
        <v>21825</v>
      </c>
      <c r="S72" s="27"/>
      <c r="T72" s="38">
        <v>21825</v>
      </c>
    </row>
    <row r="73" spans="2:20" ht="12.75">
      <c r="B73" s="155" t="s">
        <v>142</v>
      </c>
      <c r="C73" s="332">
        <f>DATE(92,9,8)</f>
        <v>33855</v>
      </c>
      <c r="D73" s="84" t="s">
        <v>96</v>
      </c>
      <c r="E73" s="53" t="s">
        <v>719</v>
      </c>
      <c r="F73" s="273" t="s">
        <v>634</v>
      </c>
      <c r="G73" s="68">
        <v>33863</v>
      </c>
      <c r="H73" s="6" t="s">
        <v>139</v>
      </c>
      <c r="I73" s="23" t="s">
        <v>98</v>
      </c>
      <c r="J73" s="76" t="s">
        <v>34</v>
      </c>
      <c r="K73" s="273" t="s">
        <v>136</v>
      </c>
      <c r="L73" s="84" t="s">
        <v>136</v>
      </c>
      <c r="M73" s="171" t="s">
        <v>137</v>
      </c>
      <c r="N73" s="8"/>
      <c r="O73" s="9" t="s">
        <v>140</v>
      </c>
      <c r="P73" s="70" t="s">
        <v>141</v>
      </c>
      <c r="Q73" s="9" t="s">
        <v>41</v>
      </c>
      <c r="R73" s="27">
        <v>24800</v>
      </c>
      <c r="S73" s="27"/>
      <c r="T73" s="38">
        <v>24800</v>
      </c>
    </row>
    <row r="74" spans="2:20" ht="12.75">
      <c r="B74" s="155" t="s">
        <v>159</v>
      </c>
      <c r="C74" s="332">
        <f>DATE(92,11,14)</f>
        <v>33922</v>
      </c>
      <c r="D74" s="84" t="s">
        <v>154</v>
      </c>
      <c r="E74" s="53" t="s">
        <v>719</v>
      </c>
      <c r="F74" s="273" t="s">
        <v>634</v>
      </c>
      <c r="G74" s="68">
        <v>34080</v>
      </c>
      <c r="H74" s="6" t="s">
        <v>155</v>
      </c>
      <c r="I74" s="23" t="s">
        <v>85</v>
      </c>
      <c r="J74" s="76" t="s">
        <v>34</v>
      </c>
      <c r="K74" s="273" t="s">
        <v>156</v>
      </c>
      <c r="L74" s="84" t="s">
        <v>36</v>
      </c>
      <c r="M74" s="171" t="s">
        <v>157</v>
      </c>
      <c r="N74" s="8"/>
      <c r="O74" s="9" t="s">
        <v>76</v>
      </c>
      <c r="P74" s="70" t="s">
        <v>158</v>
      </c>
      <c r="Q74" s="9" t="s">
        <v>41</v>
      </c>
      <c r="R74" s="27">
        <v>30000</v>
      </c>
      <c r="S74" s="27"/>
      <c r="T74" s="38">
        <v>30000</v>
      </c>
    </row>
    <row r="75" spans="2:21" ht="12.75">
      <c r="B75" s="155" t="s">
        <v>166</v>
      </c>
      <c r="C75" s="332">
        <f>DATE(92,11,17)</f>
        <v>33925</v>
      </c>
      <c r="D75" s="84" t="s">
        <v>165</v>
      </c>
      <c r="E75" s="53" t="s">
        <v>719</v>
      </c>
      <c r="F75" s="273" t="s">
        <v>634</v>
      </c>
      <c r="G75" s="68">
        <v>33960</v>
      </c>
      <c r="H75" s="6" t="s">
        <v>84</v>
      </c>
      <c r="I75" s="23" t="s">
        <v>85</v>
      </c>
      <c r="J75" s="76" t="s">
        <v>34</v>
      </c>
      <c r="K75" s="273" t="s">
        <v>36</v>
      </c>
      <c r="L75" s="84" t="s">
        <v>36</v>
      </c>
      <c r="M75" s="171" t="s">
        <v>157</v>
      </c>
      <c r="N75" s="8"/>
      <c r="O75" s="9" t="s">
        <v>141</v>
      </c>
      <c r="P75" s="70" t="s">
        <v>88</v>
      </c>
      <c r="Q75" s="9" t="s">
        <v>41</v>
      </c>
      <c r="R75" s="27">
        <v>300000</v>
      </c>
      <c r="S75" s="27"/>
      <c r="T75" s="38">
        <v>300000</v>
      </c>
      <c r="U75" t="s">
        <v>1032</v>
      </c>
    </row>
    <row r="76" spans="2:21" ht="12.75">
      <c r="B76" s="155" t="s">
        <v>166</v>
      </c>
      <c r="C76" s="332">
        <f>DATE(92,11,17)</f>
        <v>33925</v>
      </c>
      <c r="D76" s="84" t="s">
        <v>167</v>
      </c>
      <c r="E76" s="53" t="s">
        <v>719</v>
      </c>
      <c r="F76" s="273" t="s">
        <v>634</v>
      </c>
      <c r="G76" s="68">
        <v>33960</v>
      </c>
      <c r="H76" s="6" t="s">
        <v>168</v>
      </c>
      <c r="I76" s="23" t="s">
        <v>85</v>
      </c>
      <c r="J76" s="76" t="s">
        <v>34</v>
      </c>
      <c r="K76" s="273" t="s">
        <v>36</v>
      </c>
      <c r="L76" s="84" t="s">
        <v>36</v>
      </c>
      <c r="M76" s="171" t="s">
        <v>157</v>
      </c>
      <c r="N76" s="8"/>
      <c r="O76" s="9" t="s">
        <v>141</v>
      </c>
      <c r="P76" s="70" t="s">
        <v>88</v>
      </c>
      <c r="Q76" s="9" t="s">
        <v>41</v>
      </c>
      <c r="R76" s="27">
        <v>450000</v>
      </c>
      <c r="S76" s="27"/>
      <c r="T76" s="38">
        <v>450000</v>
      </c>
      <c r="U76" t="s">
        <v>1032</v>
      </c>
    </row>
    <row r="77" spans="2:23" ht="12.75">
      <c r="B77" s="155" t="s">
        <v>166</v>
      </c>
      <c r="C77" s="332">
        <f>DATE(92,11,17)</f>
        <v>33925</v>
      </c>
      <c r="D77" s="84" t="s">
        <v>169</v>
      </c>
      <c r="E77" s="53" t="s">
        <v>719</v>
      </c>
      <c r="F77" s="273" t="s">
        <v>634</v>
      </c>
      <c r="G77" s="68">
        <v>33960</v>
      </c>
      <c r="H77" s="6" t="s">
        <v>144</v>
      </c>
      <c r="I77" s="23" t="s">
        <v>85</v>
      </c>
      <c r="J77" s="76" t="s">
        <v>34</v>
      </c>
      <c r="K77" s="273" t="s">
        <v>36</v>
      </c>
      <c r="L77" s="84" t="s">
        <v>36</v>
      </c>
      <c r="M77" s="171" t="s">
        <v>157</v>
      </c>
      <c r="N77" s="8"/>
      <c r="O77" s="9" t="s">
        <v>141</v>
      </c>
      <c r="P77" s="70" t="s">
        <v>88</v>
      </c>
      <c r="Q77" s="9" t="s">
        <v>41</v>
      </c>
      <c r="R77" s="27">
        <v>400000</v>
      </c>
      <c r="S77" s="27"/>
      <c r="T77" s="38">
        <v>400000</v>
      </c>
      <c r="U77" t="s">
        <v>1032</v>
      </c>
      <c r="V77" s="13"/>
      <c r="W77" s="13"/>
    </row>
    <row r="78" spans="2:20" ht="12.75">
      <c r="B78" s="155"/>
      <c r="C78" s="332"/>
      <c r="D78" s="84"/>
      <c r="E78" s="53"/>
      <c r="F78" s="273"/>
      <c r="G78" s="68"/>
      <c r="H78" s="6"/>
      <c r="I78" s="23"/>
      <c r="J78" s="76"/>
      <c r="K78" s="273"/>
      <c r="L78" s="84"/>
      <c r="M78" s="171"/>
      <c r="N78" s="8"/>
      <c r="O78" s="9"/>
      <c r="P78" s="70"/>
      <c r="Q78" s="9"/>
      <c r="R78" s="27"/>
      <c r="S78" s="27"/>
      <c r="T78" s="38"/>
    </row>
    <row r="79" spans="2:20" ht="12.75">
      <c r="B79" s="154" t="s">
        <v>804</v>
      </c>
      <c r="C79" s="332"/>
      <c r="D79" s="364"/>
      <c r="E79" s="7"/>
      <c r="F79" s="273"/>
      <c r="G79" s="68"/>
      <c r="H79" s="6"/>
      <c r="I79" s="23"/>
      <c r="J79" s="76"/>
      <c r="K79" s="273"/>
      <c r="L79" s="84"/>
      <c r="M79" s="171"/>
      <c r="N79" s="8"/>
      <c r="O79" s="9"/>
      <c r="P79" s="70"/>
      <c r="Q79" s="9"/>
      <c r="R79" s="27"/>
      <c r="S79" s="27"/>
      <c r="T79" s="147">
        <f>+T80</f>
        <v>6300</v>
      </c>
    </row>
    <row r="80" spans="2:20" ht="13.5" thickBot="1">
      <c r="B80" s="240" t="s">
        <v>644</v>
      </c>
      <c r="C80" s="333">
        <v>33891</v>
      </c>
      <c r="D80" s="85" t="s">
        <v>714</v>
      </c>
      <c r="E80" s="241" t="s">
        <v>719</v>
      </c>
      <c r="F80" s="274" t="s">
        <v>706</v>
      </c>
      <c r="G80" s="242">
        <v>33204</v>
      </c>
      <c r="H80" s="3" t="s">
        <v>715</v>
      </c>
      <c r="I80" s="24" t="s">
        <v>85</v>
      </c>
      <c r="J80" s="77" t="s">
        <v>34</v>
      </c>
      <c r="K80" s="274" t="s">
        <v>766</v>
      </c>
      <c r="L80" s="85" t="s">
        <v>36</v>
      </c>
      <c r="M80" s="243">
        <v>0</v>
      </c>
      <c r="N80" s="4"/>
      <c r="O80" s="241" t="s">
        <v>955</v>
      </c>
      <c r="P80" s="91" t="s">
        <v>66</v>
      </c>
      <c r="Q80" s="5" t="s">
        <v>41</v>
      </c>
      <c r="R80" s="28">
        <v>6300</v>
      </c>
      <c r="S80" s="28"/>
      <c r="T80" s="55">
        <v>6300</v>
      </c>
    </row>
    <row r="81" spans="2:20" s="94" customFormat="1" ht="18.75" thickTop="1">
      <c r="B81" s="153">
        <v>1993</v>
      </c>
      <c r="C81" s="335"/>
      <c r="D81" s="367"/>
      <c r="E81" s="96"/>
      <c r="F81" s="276"/>
      <c r="G81" s="97"/>
      <c r="H81" s="105"/>
      <c r="I81" s="99"/>
      <c r="J81" s="100"/>
      <c r="K81" s="352"/>
      <c r="L81" s="101"/>
      <c r="M81" s="170"/>
      <c r="N81" s="98"/>
      <c r="O81" s="102"/>
      <c r="P81" s="103"/>
      <c r="Q81" s="102"/>
      <c r="R81" s="104"/>
      <c r="S81" s="104"/>
      <c r="T81" s="93">
        <f>+T82+T88+T99</f>
        <v>666454</v>
      </c>
    </row>
    <row r="82" spans="2:20" ht="12.75">
      <c r="B82" s="154" t="s">
        <v>803</v>
      </c>
      <c r="C82" s="336"/>
      <c r="D82" s="364"/>
      <c r="E82" s="7"/>
      <c r="F82" s="277"/>
      <c r="G82" s="68"/>
      <c r="H82" s="6"/>
      <c r="I82" s="23"/>
      <c r="J82" s="76"/>
      <c r="K82" s="273"/>
      <c r="L82" s="84"/>
      <c r="M82" s="171"/>
      <c r="N82" s="8"/>
      <c r="O82" s="9"/>
      <c r="P82" s="70"/>
      <c r="Q82" s="9"/>
      <c r="R82" s="27"/>
      <c r="S82" s="27"/>
      <c r="T82" s="147">
        <f>SUM(T83:T86)</f>
        <v>97357</v>
      </c>
    </row>
    <row r="83" spans="2:22" ht="12.75">
      <c r="B83" s="155" t="s">
        <v>211</v>
      </c>
      <c r="C83" s="337">
        <f>DATE(93,9,24)</f>
        <v>34236</v>
      </c>
      <c r="D83" s="84" t="s">
        <v>207</v>
      </c>
      <c r="E83" s="6" t="s">
        <v>107</v>
      </c>
      <c r="F83" s="277" t="s">
        <v>31</v>
      </c>
      <c r="G83" s="68">
        <f>34273-33</f>
        <v>34240</v>
      </c>
      <c r="H83" s="6" t="s">
        <v>208</v>
      </c>
      <c r="I83" s="23" t="s">
        <v>45</v>
      </c>
      <c r="J83" s="76" t="s">
        <v>104</v>
      </c>
      <c r="K83" s="273" t="s">
        <v>104</v>
      </c>
      <c r="L83" s="84" t="s">
        <v>104</v>
      </c>
      <c r="M83" s="171" t="s">
        <v>207</v>
      </c>
      <c r="N83" s="8"/>
      <c r="O83" s="9" t="s">
        <v>209</v>
      </c>
      <c r="P83" s="70" t="s">
        <v>210</v>
      </c>
      <c r="Q83" s="9" t="s">
        <v>112</v>
      </c>
      <c r="R83" s="27">
        <v>5000000</v>
      </c>
      <c r="S83" s="27"/>
      <c r="T83" s="38">
        <v>47200</v>
      </c>
      <c r="V83" t="s">
        <v>1037</v>
      </c>
    </row>
    <row r="84" spans="2:20" ht="12.75">
      <c r="B84" s="155" t="s">
        <v>219</v>
      </c>
      <c r="C84" s="337">
        <f>DATE(93,10,7)</f>
        <v>34249</v>
      </c>
      <c r="D84" s="84" t="s">
        <v>386</v>
      </c>
      <c r="E84" s="6" t="s">
        <v>216</v>
      </c>
      <c r="F84" s="277" t="s">
        <v>31</v>
      </c>
      <c r="G84" s="68">
        <v>34481</v>
      </c>
      <c r="H84" s="6" t="s">
        <v>790</v>
      </c>
      <c r="I84" s="23" t="s">
        <v>127</v>
      </c>
      <c r="J84" s="76" t="s">
        <v>34</v>
      </c>
      <c r="K84" s="273" t="s">
        <v>217</v>
      </c>
      <c r="L84" s="84" t="s">
        <v>217</v>
      </c>
      <c r="M84" s="171" t="s">
        <v>858</v>
      </c>
      <c r="N84" s="8"/>
      <c r="O84" s="9" t="s">
        <v>66</v>
      </c>
      <c r="P84" s="70" t="s">
        <v>218</v>
      </c>
      <c r="Q84" s="9" t="s">
        <v>220</v>
      </c>
      <c r="R84" s="27">
        <v>19500</v>
      </c>
      <c r="S84" s="27"/>
      <c r="T84" s="38">
        <v>12000</v>
      </c>
    </row>
    <row r="85" spans="2:20" ht="12.75">
      <c r="B85" s="155" t="s">
        <v>182</v>
      </c>
      <c r="C85" s="337">
        <f>DATE(93,10,9)</f>
        <v>34251</v>
      </c>
      <c r="D85" s="84" t="s">
        <v>180</v>
      </c>
      <c r="E85" s="6" t="s">
        <v>181</v>
      </c>
      <c r="F85" s="277" t="s">
        <v>31</v>
      </c>
      <c r="G85" s="68">
        <v>34339</v>
      </c>
      <c r="H85" s="6" t="s">
        <v>789</v>
      </c>
      <c r="I85" s="23" t="s">
        <v>127</v>
      </c>
      <c r="J85" s="76" t="s">
        <v>34</v>
      </c>
      <c r="K85" s="273" t="s">
        <v>763</v>
      </c>
      <c r="L85" s="84" t="s">
        <v>763</v>
      </c>
      <c r="M85" s="171">
        <v>0.04</v>
      </c>
      <c r="N85" s="8"/>
      <c r="O85" s="9" t="s">
        <v>121</v>
      </c>
      <c r="P85" s="70" t="s">
        <v>122</v>
      </c>
      <c r="Q85" s="9" t="s">
        <v>183</v>
      </c>
      <c r="R85" s="27">
        <v>50000</v>
      </c>
      <c r="S85" s="27"/>
      <c r="T85" s="38">
        <v>8900</v>
      </c>
    </row>
    <row r="86" spans="2:21" ht="12.75">
      <c r="B86" s="155" t="s">
        <v>222</v>
      </c>
      <c r="C86" s="337">
        <f>DATE(93,12,1)</f>
        <v>34304</v>
      </c>
      <c r="D86" s="84" t="s">
        <v>386</v>
      </c>
      <c r="E86" s="6" t="s">
        <v>216</v>
      </c>
      <c r="F86" s="277" t="s">
        <v>31</v>
      </c>
      <c r="G86" s="68">
        <v>34309</v>
      </c>
      <c r="H86" s="6" t="s">
        <v>221</v>
      </c>
      <c r="I86" s="23" t="s">
        <v>85</v>
      </c>
      <c r="J86" s="76" t="s">
        <v>34</v>
      </c>
      <c r="K86" s="273" t="s">
        <v>36</v>
      </c>
      <c r="L86" s="84" t="s">
        <v>36</v>
      </c>
      <c r="M86" s="171" t="s">
        <v>858</v>
      </c>
      <c r="N86" s="8"/>
      <c r="O86" s="9" t="s">
        <v>46</v>
      </c>
      <c r="P86" s="70" t="s">
        <v>218</v>
      </c>
      <c r="Q86" s="9" t="s">
        <v>220</v>
      </c>
      <c r="R86" s="27">
        <v>50000</v>
      </c>
      <c r="S86" s="27"/>
      <c r="T86" s="38">
        <v>29257</v>
      </c>
      <c r="U86" t="s">
        <v>1032</v>
      </c>
    </row>
    <row r="87" spans="2:20" ht="12.75">
      <c r="B87" s="155"/>
      <c r="C87" s="337"/>
      <c r="D87" s="84"/>
      <c r="E87" s="6"/>
      <c r="F87" s="277"/>
      <c r="G87" s="68"/>
      <c r="H87" s="6"/>
      <c r="I87" s="23"/>
      <c r="J87" s="76"/>
      <c r="K87" s="273"/>
      <c r="L87" s="84"/>
      <c r="M87" s="171"/>
      <c r="N87" s="8"/>
      <c r="O87" s="9"/>
      <c r="P87" s="70"/>
      <c r="Q87" s="9"/>
      <c r="R87" s="27"/>
      <c r="S87" s="27"/>
      <c r="T87" s="38"/>
    </row>
    <row r="88" spans="2:20" ht="12.75">
      <c r="B88" s="154" t="s">
        <v>634</v>
      </c>
      <c r="C88" s="337"/>
      <c r="D88" s="364"/>
      <c r="E88" s="7"/>
      <c r="F88" s="277"/>
      <c r="G88" s="68"/>
      <c r="H88" s="6"/>
      <c r="I88" s="23"/>
      <c r="J88" s="76"/>
      <c r="K88" s="273"/>
      <c r="L88" s="84"/>
      <c r="M88" s="171"/>
      <c r="N88" s="8"/>
      <c r="O88" s="9"/>
      <c r="P88" s="70"/>
      <c r="Q88" s="9"/>
      <c r="R88" s="27"/>
      <c r="S88" s="27"/>
      <c r="T88" s="147">
        <f>SUM(T89:T97)</f>
        <v>549680</v>
      </c>
    </row>
    <row r="89" spans="2:20" ht="12.75">
      <c r="B89" s="157" t="s">
        <v>179</v>
      </c>
      <c r="C89" s="337">
        <f>DATE(94,1,1)</f>
        <v>34335</v>
      </c>
      <c r="D89" s="84" t="s">
        <v>178</v>
      </c>
      <c r="E89" s="53" t="s">
        <v>719</v>
      </c>
      <c r="F89" s="277" t="s">
        <v>634</v>
      </c>
      <c r="G89" s="68">
        <v>34394</v>
      </c>
      <c r="H89" s="6" t="s">
        <v>791</v>
      </c>
      <c r="I89" s="23" t="s">
        <v>127</v>
      </c>
      <c r="J89" s="76" t="s">
        <v>34</v>
      </c>
      <c r="K89" s="273" t="s">
        <v>784</v>
      </c>
      <c r="L89" s="84" t="s">
        <v>36</v>
      </c>
      <c r="M89" s="171" t="s">
        <v>86</v>
      </c>
      <c r="N89" s="8"/>
      <c r="O89" s="9" t="s">
        <v>990</v>
      </c>
      <c r="P89" s="70" t="s">
        <v>366</v>
      </c>
      <c r="Q89" s="9" t="s">
        <v>41</v>
      </c>
      <c r="R89" s="27">
        <v>1500</v>
      </c>
      <c r="S89" s="27"/>
      <c r="T89" s="38">
        <v>1500</v>
      </c>
    </row>
    <row r="90" spans="2:20" ht="12.75">
      <c r="B90" s="155" t="s">
        <v>188</v>
      </c>
      <c r="C90" s="337">
        <f>DATE(93,3,30)</f>
        <v>34058</v>
      </c>
      <c r="D90" s="84" t="s">
        <v>184</v>
      </c>
      <c r="E90" s="53" t="s">
        <v>719</v>
      </c>
      <c r="F90" s="277" t="s">
        <v>634</v>
      </c>
      <c r="G90" s="68">
        <v>34059</v>
      </c>
      <c r="H90" s="6" t="s">
        <v>185</v>
      </c>
      <c r="I90" s="23" t="s">
        <v>186</v>
      </c>
      <c r="J90" s="76" t="s">
        <v>34</v>
      </c>
      <c r="K90" s="273" t="s">
        <v>187</v>
      </c>
      <c r="L90" s="84" t="s">
        <v>36</v>
      </c>
      <c r="M90" s="171" t="s">
        <v>86</v>
      </c>
      <c r="N90" s="8"/>
      <c r="O90" s="9" t="s">
        <v>38</v>
      </c>
      <c r="P90" s="70" t="s">
        <v>172</v>
      </c>
      <c r="Q90" s="9" t="s">
        <v>41</v>
      </c>
      <c r="R90" s="27">
        <v>68000</v>
      </c>
      <c r="S90" s="27"/>
      <c r="T90" s="38">
        <v>68000</v>
      </c>
    </row>
    <row r="91" spans="2:21" ht="12.75">
      <c r="B91" s="155" t="s">
        <v>191</v>
      </c>
      <c r="C91" s="337">
        <f>DATE(93,4,13)</f>
        <v>34072</v>
      </c>
      <c r="D91" s="84" t="s">
        <v>189</v>
      </c>
      <c r="E91" s="53" t="s">
        <v>719</v>
      </c>
      <c r="F91" s="277" t="s">
        <v>634</v>
      </c>
      <c r="G91" s="68">
        <v>34080</v>
      </c>
      <c r="H91" s="6" t="s">
        <v>190</v>
      </c>
      <c r="I91" s="23" t="s">
        <v>85</v>
      </c>
      <c r="J91" s="76" t="s">
        <v>34</v>
      </c>
      <c r="K91" s="273" t="s">
        <v>36</v>
      </c>
      <c r="L91" s="84" t="s">
        <v>36</v>
      </c>
      <c r="M91" s="171" t="s">
        <v>157</v>
      </c>
      <c r="N91" s="8"/>
      <c r="O91" s="9" t="s">
        <v>141</v>
      </c>
      <c r="P91" s="70" t="s">
        <v>88</v>
      </c>
      <c r="Q91" s="9" t="s">
        <v>41</v>
      </c>
      <c r="R91" s="27">
        <v>250000</v>
      </c>
      <c r="S91" s="27"/>
      <c r="T91" s="38">
        <v>250000</v>
      </c>
      <c r="U91" s="13" t="s">
        <v>1032</v>
      </c>
    </row>
    <row r="92" spans="2:20" ht="12.75">
      <c r="B92" s="155" t="s">
        <v>176</v>
      </c>
      <c r="C92" s="337">
        <f>DATE(93,5,18)</f>
        <v>34107</v>
      </c>
      <c r="D92" s="84" t="s">
        <v>174</v>
      </c>
      <c r="E92" s="53" t="s">
        <v>719</v>
      </c>
      <c r="F92" s="277" t="s">
        <v>634</v>
      </c>
      <c r="G92" s="68">
        <v>33976</v>
      </c>
      <c r="H92" s="6" t="s">
        <v>175</v>
      </c>
      <c r="I92" s="23" t="s">
        <v>33</v>
      </c>
      <c r="J92" s="76" t="s">
        <v>34</v>
      </c>
      <c r="K92" s="350" t="s">
        <v>65</v>
      </c>
      <c r="L92" s="84" t="s">
        <v>36</v>
      </c>
      <c r="M92" s="171">
        <v>0.04</v>
      </c>
      <c r="N92" s="8"/>
      <c r="O92" s="9" t="s">
        <v>116</v>
      </c>
      <c r="P92" s="70" t="s">
        <v>88</v>
      </c>
      <c r="Q92" s="9" t="s">
        <v>177</v>
      </c>
      <c r="R92" s="27">
        <v>11650</v>
      </c>
      <c r="S92" s="27"/>
      <c r="T92" s="38">
        <v>16380</v>
      </c>
    </row>
    <row r="93" spans="2:20" ht="12.75">
      <c r="B93" s="155" t="s">
        <v>198</v>
      </c>
      <c r="C93" s="337">
        <f>DATE(93,7,30)</f>
        <v>34180</v>
      </c>
      <c r="D93" s="84" t="s">
        <v>195</v>
      </c>
      <c r="E93" s="53" t="s">
        <v>719</v>
      </c>
      <c r="F93" s="277" t="s">
        <v>634</v>
      </c>
      <c r="G93" s="68">
        <f>DATE(82,12,10)</f>
        <v>30295</v>
      </c>
      <c r="H93" s="6" t="s">
        <v>196</v>
      </c>
      <c r="I93" s="23" t="s">
        <v>127</v>
      </c>
      <c r="J93" s="76" t="s">
        <v>34</v>
      </c>
      <c r="K93" s="273" t="s">
        <v>765</v>
      </c>
      <c r="L93" s="84" t="s">
        <v>36</v>
      </c>
      <c r="M93" s="171" t="s">
        <v>157</v>
      </c>
      <c r="N93" s="8"/>
      <c r="O93" s="51" t="s">
        <v>905</v>
      </c>
      <c r="P93" s="70" t="s">
        <v>197</v>
      </c>
      <c r="Q93" s="9" t="s">
        <v>41</v>
      </c>
      <c r="R93" s="27">
        <v>500</v>
      </c>
      <c r="S93" s="27"/>
      <c r="T93" s="38">
        <v>500</v>
      </c>
    </row>
    <row r="94" spans="2:20" ht="12.75">
      <c r="B94" s="155" t="s">
        <v>206</v>
      </c>
      <c r="C94" s="337">
        <f>DATE(93,9,2)</f>
        <v>34214</v>
      </c>
      <c r="D94" s="84" t="s">
        <v>203</v>
      </c>
      <c r="E94" s="53" t="s">
        <v>719</v>
      </c>
      <c r="F94" s="277" t="s">
        <v>634</v>
      </c>
      <c r="G94" s="68">
        <f>DATE(93,9,17)</f>
        <v>34229</v>
      </c>
      <c r="H94" s="6" t="s">
        <v>204</v>
      </c>
      <c r="I94" s="23" t="s">
        <v>45</v>
      </c>
      <c r="J94" s="76" t="s">
        <v>34</v>
      </c>
      <c r="K94" s="273" t="s">
        <v>120</v>
      </c>
      <c r="L94" s="84" t="s">
        <v>36</v>
      </c>
      <c r="M94" s="171" t="s">
        <v>157</v>
      </c>
      <c r="N94" s="8"/>
      <c r="O94" s="51" t="s">
        <v>905</v>
      </c>
      <c r="P94" s="70" t="s">
        <v>366</v>
      </c>
      <c r="Q94" s="9" t="s">
        <v>41</v>
      </c>
      <c r="R94" s="27">
        <v>1500</v>
      </c>
      <c r="S94" s="27"/>
      <c r="T94" s="38">
        <v>1500</v>
      </c>
    </row>
    <row r="95" spans="2:20" ht="12.75">
      <c r="B95" s="155" t="s">
        <v>202</v>
      </c>
      <c r="C95" s="337">
        <f>DATE(93,11,9)</f>
        <v>34282</v>
      </c>
      <c r="D95" s="84" t="s">
        <v>199</v>
      </c>
      <c r="E95" s="53" t="s">
        <v>719</v>
      </c>
      <c r="F95" s="277" t="s">
        <v>634</v>
      </c>
      <c r="G95" s="68">
        <v>34148</v>
      </c>
      <c r="H95" s="6" t="s">
        <v>200</v>
      </c>
      <c r="I95" s="23" t="s">
        <v>98</v>
      </c>
      <c r="J95" s="76" t="s">
        <v>34</v>
      </c>
      <c r="K95" s="273" t="s">
        <v>201</v>
      </c>
      <c r="L95" s="84" t="s">
        <v>36</v>
      </c>
      <c r="M95" s="171" t="s">
        <v>157</v>
      </c>
      <c r="N95" s="8"/>
      <c r="O95" s="9" t="s">
        <v>141</v>
      </c>
      <c r="P95" s="70" t="s">
        <v>88</v>
      </c>
      <c r="Q95" s="9" t="s">
        <v>41</v>
      </c>
      <c r="R95" s="27">
        <v>11800</v>
      </c>
      <c r="S95" s="27"/>
      <c r="T95" s="38">
        <v>11800</v>
      </c>
    </row>
    <row r="96" spans="2:20" ht="12.75">
      <c r="B96" s="155" t="s">
        <v>226</v>
      </c>
      <c r="C96" s="337">
        <f>DATE(93,12,21)</f>
        <v>34324</v>
      </c>
      <c r="D96" s="84" t="s">
        <v>223</v>
      </c>
      <c r="E96" s="53" t="s">
        <v>719</v>
      </c>
      <c r="F96" s="277" t="s">
        <v>634</v>
      </c>
      <c r="G96" s="68">
        <v>34325</v>
      </c>
      <c r="H96" s="6" t="s">
        <v>224</v>
      </c>
      <c r="I96" s="23" t="s">
        <v>776</v>
      </c>
      <c r="J96" s="76" t="s">
        <v>34</v>
      </c>
      <c r="K96" s="273" t="s">
        <v>224</v>
      </c>
      <c r="L96" s="84" t="s">
        <v>36</v>
      </c>
      <c r="M96" s="171" t="s">
        <v>86</v>
      </c>
      <c r="N96" s="8"/>
      <c r="O96" s="9" t="s">
        <v>76</v>
      </c>
      <c r="P96" s="70" t="s">
        <v>172</v>
      </c>
      <c r="Q96" s="9" t="s">
        <v>41</v>
      </c>
      <c r="R96" s="27">
        <v>100000</v>
      </c>
      <c r="S96" s="27"/>
      <c r="T96" s="38">
        <v>100000</v>
      </c>
    </row>
    <row r="97" spans="2:20" ht="12.75">
      <c r="B97" s="155" t="s">
        <v>228</v>
      </c>
      <c r="C97" s="337">
        <f>DATE(93,12,19)</f>
        <v>34322</v>
      </c>
      <c r="D97" s="84" t="s">
        <v>227</v>
      </c>
      <c r="E97" s="53" t="s">
        <v>719</v>
      </c>
      <c r="F97" s="277" t="s">
        <v>634</v>
      </c>
      <c r="G97" s="68">
        <v>34325</v>
      </c>
      <c r="H97" s="6" t="s">
        <v>224</v>
      </c>
      <c r="I97" s="23" t="s">
        <v>776</v>
      </c>
      <c r="J97" s="76" t="s">
        <v>34</v>
      </c>
      <c r="K97" s="273" t="s">
        <v>224</v>
      </c>
      <c r="L97" s="84" t="s">
        <v>36</v>
      </c>
      <c r="M97" s="171" t="s">
        <v>157</v>
      </c>
      <c r="N97" s="8"/>
      <c r="O97" s="9" t="s">
        <v>76</v>
      </c>
      <c r="P97" s="70" t="s">
        <v>225</v>
      </c>
      <c r="Q97" s="9" t="s">
        <v>41</v>
      </c>
      <c r="R97" s="27">
        <v>100000</v>
      </c>
      <c r="S97" s="27"/>
      <c r="T97" s="38">
        <v>100000</v>
      </c>
    </row>
    <row r="98" spans="2:20" ht="12.75">
      <c r="B98" s="157"/>
      <c r="C98" s="337"/>
      <c r="D98" s="84"/>
      <c r="E98" s="53"/>
      <c r="F98" s="277"/>
      <c r="G98" s="68"/>
      <c r="H98" s="6"/>
      <c r="I98" s="23"/>
      <c r="J98" s="76"/>
      <c r="K98" s="273"/>
      <c r="L98" s="84"/>
      <c r="M98" s="171"/>
      <c r="N98" s="8"/>
      <c r="O98" s="9"/>
      <c r="P98" s="70"/>
      <c r="Q98" s="9"/>
      <c r="R98" s="27"/>
      <c r="S98" s="27"/>
      <c r="T98" s="38"/>
    </row>
    <row r="99" spans="2:20" ht="12.75">
      <c r="B99" s="154" t="s">
        <v>804</v>
      </c>
      <c r="C99" s="337"/>
      <c r="D99" s="364"/>
      <c r="E99" s="7"/>
      <c r="F99" s="277"/>
      <c r="G99" s="68"/>
      <c r="H99" s="6"/>
      <c r="I99" s="23"/>
      <c r="J99" s="76"/>
      <c r="K99" s="273"/>
      <c r="L99" s="84"/>
      <c r="M99" s="171"/>
      <c r="N99" s="8"/>
      <c r="O99" s="9"/>
      <c r="P99" s="70"/>
      <c r="Q99" s="9"/>
      <c r="R99" s="27"/>
      <c r="S99" s="27"/>
      <c r="T99" s="147">
        <f>SUM(T100:T101)</f>
        <v>19417</v>
      </c>
    </row>
    <row r="100" spans="2:20" ht="12.75">
      <c r="B100" s="155" t="s">
        <v>194</v>
      </c>
      <c r="C100" s="337">
        <v>34298</v>
      </c>
      <c r="D100" s="84" t="s">
        <v>192</v>
      </c>
      <c r="E100" s="6" t="s">
        <v>63</v>
      </c>
      <c r="F100" s="277" t="s">
        <v>706</v>
      </c>
      <c r="G100" s="68">
        <v>34089</v>
      </c>
      <c r="H100" s="6" t="s">
        <v>50</v>
      </c>
      <c r="I100" s="23" t="s">
        <v>51</v>
      </c>
      <c r="J100" s="76" t="s">
        <v>34</v>
      </c>
      <c r="K100" s="273" t="s">
        <v>52</v>
      </c>
      <c r="L100" s="84" t="s">
        <v>36</v>
      </c>
      <c r="M100" s="171">
        <v>0.07</v>
      </c>
      <c r="N100" s="8"/>
      <c r="O100" s="9" t="s">
        <v>193</v>
      </c>
      <c r="P100" s="70" t="s">
        <v>77</v>
      </c>
      <c r="Q100" s="9" t="s">
        <v>41</v>
      </c>
      <c r="R100" s="27">
        <v>9346</v>
      </c>
      <c r="S100" s="27"/>
      <c r="T100" s="38">
        <v>9346</v>
      </c>
    </row>
    <row r="101" spans="2:20" ht="13.5" thickBot="1">
      <c r="B101" s="240" t="s">
        <v>215</v>
      </c>
      <c r="C101" s="338">
        <f>DATE(93,12,2)</f>
        <v>34305</v>
      </c>
      <c r="D101" s="85" t="s">
        <v>212</v>
      </c>
      <c r="E101" s="3" t="s">
        <v>49</v>
      </c>
      <c r="F101" s="278" t="s">
        <v>706</v>
      </c>
      <c r="G101" s="74" t="s">
        <v>151</v>
      </c>
      <c r="H101" s="244" t="s">
        <v>213</v>
      </c>
      <c r="I101" s="24" t="s">
        <v>98</v>
      </c>
      <c r="J101" s="77" t="s">
        <v>34</v>
      </c>
      <c r="K101" s="351" t="s">
        <v>273</v>
      </c>
      <c r="L101" s="85" t="s">
        <v>36</v>
      </c>
      <c r="M101" s="173">
        <v>0.05</v>
      </c>
      <c r="N101" s="4"/>
      <c r="O101" s="5" t="s">
        <v>163</v>
      </c>
      <c r="P101" s="91" t="s">
        <v>214</v>
      </c>
      <c r="Q101" s="5" t="s">
        <v>41</v>
      </c>
      <c r="R101" s="28">
        <v>10071</v>
      </c>
      <c r="S101" s="28"/>
      <c r="T101" s="55">
        <v>10071</v>
      </c>
    </row>
    <row r="102" spans="2:20" s="94" customFormat="1" ht="18.75" thickTop="1">
      <c r="B102" s="153">
        <v>1994</v>
      </c>
      <c r="C102" s="331"/>
      <c r="D102" s="365"/>
      <c r="E102" s="95"/>
      <c r="F102" s="275"/>
      <c r="G102" s="97"/>
      <c r="H102" s="96"/>
      <c r="I102" s="99"/>
      <c r="J102" s="100"/>
      <c r="K102" s="275"/>
      <c r="L102" s="101"/>
      <c r="M102" s="170"/>
      <c r="N102" s="98"/>
      <c r="O102" s="102"/>
      <c r="P102" s="103"/>
      <c r="Q102" s="102"/>
      <c r="R102" s="104"/>
      <c r="S102" s="104"/>
      <c r="T102" s="93">
        <f>+T103+T109+T126+T131</f>
        <v>1343027</v>
      </c>
    </row>
    <row r="103" spans="2:20" s="94" customFormat="1" ht="12.75">
      <c r="B103" s="154" t="s">
        <v>803</v>
      </c>
      <c r="C103" s="328"/>
      <c r="D103" s="363"/>
      <c r="E103" s="95"/>
      <c r="F103" s="279"/>
      <c r="G103" s="97"/>
      <c r="H103" s="96"/>
      <c r="I103" s="99"/>
      <c r="J103" s="100"/>
      <c r="K103" s="279"/>
      <c r="L103" s="101"/>
      <c r="M103" s="170"/>
      <c r="N103" s="98"/>
      <c r="O103" s="102"/>
      <c r="P103" s="103"/>
      <c r="Q103" s="102"/>
      <c r="R103" s="104"/>
      <c r="S103" s="104"/>
      <c r="T103" s="147">
        <f>SUM(T104:T107)</f>
        <v>80231</v>
      </c>
    </row>
    <row r="104" spans="2:20" s="94" customFormat="1" ht="12.75">
      <c r="B104" s="155" t="s">
        <v>743</v>
      </c>
      <c r="C104" s="332">
        <f>DATE(95,2,21)</f>
        <v>34751</v>
      </c>
      <c r="D104" s="84" t="s">
        <v>207</v>
      </c>
      <c r="E104" s="6" t="s">
        <v>107</v>
      </c>
      <c r="F104" s="273" t="s">
        <v>31</v>
      </c>
      <c r="G104" s="68">
        <v>34785</v>
      </c>
      <c r="H104" s="6" t="s">
        <v>792</v>
      </c>
      <c r="I104" s="23" t="s">
        <v>98</v>
      </c>
      <c r="J104" s="76" t="s">
        <v>34</v>
      </c>
      <c r="K104" s="273" t="s">
        <v>239</v>
      </c>
      <c r="L104" s="84" t="s">
        <v>240</v>
      </c>
      <c r="M104" s="171" t="s">
        <v>207</v>
      </c>
      <c r="N104" s="8"/>
      <c r="O104" s="9" t="s">
        <v>283</v>
      </c>
      <c r="P104" s="70" t="s">
        <v>284</v>
      </c>
      <c r="Q104" s="9" t="s">
        <v>41</v>
      </c>
      <c r="R104" s="27">
        <v>22500</v>
      </c>
      <c r="S104" s="27"/>
      <c r="T104" s="38">
        <v>22500</v>
      </c>
    </row>
    <row r="105" spans="2:20" ht="12.75">
      <c r="B105" s="155" t="s">
        <v>236</v>
      </c>
      <c r="C105" s="332">
        <f>DATE(94,3,29)</f>
        <v>34422</v>
      </c>
      <c r="D105" s="84" t="s">
        <v>106</v>
      </c>
      <c r="E105" s="6" t="s">
        <v>107</v>
      </c>
      <c r="F105" s="273" t="s">
        <v>31</v>
      </c>
      <c r="G105" s="68">
        <v>34432</v>
      </c>
      <c r="H105" s="6" t="s">
        <v>185</v>
      </c>
      <c r="I105" s="23" t="s">
        <v>186</v>
      </c>
      <c r="J105" s="76" t="s">
        <v>34</v>
      </c>
      <c r="K105" s="273" t="s">
        <v>187</v>
      </c>
      <c r="L105" s="84" t="s">
        <v>36</v>
      </c>
      <c r="M105" s="171">
        <v>0.03</v>
      </c>
      <c r="N105" s="8"/>
      <c r="O105" s="9" t="s">
        <v>66</v>
      </c>
      <c r="P105" s="70" t="s">
        <v>172</v>
      </c>
      <c r="Q105" s="9" t="s">
        <v>112</v>
      </c>
      <c r="R105" s="27">
        <v>2240000</v>
      </c>
      <c r="S105" s="27"/>
      <c r="T105" s="38">
        <v>21380</v>
      </c>
    </row>
    <row r="106" spans="2:20" ht="12.75">
      <c r="B106" s="155" t="s">
        <v>735</v>
      </c>
      <c r="C106" s="332">
        <f>DATE(94,12,7)</f>
        <v>34675</v>
      </c>
      <c r="D106" s="84" t="s">
        <v>386</v>
      </c>
      <c r="E106" s="6" t="s">
        <v>216</v>
      </c>
      <c r="F106" s="273" t="s">
        <v>31</v>
      </c>
      <c r="G106" s="68">
        <v>34687</v>
      </c>
      <c r="H106" s="123" t="s">
        <v>773</v>
      </c>
      <c r="I106" s="23" t="s">
        <v>127</v>
      </c>
      <c r="J106" s="76" t="s">
        <v>34</v>
      </c>
      <c r="K106" s="273" t="s">
        <v>260</v>
      </c>
      <c r="L106" s="84" t="s">
        <v>260</v>
      </c>
      <c r="M106" s="171">
        <v>0.03</v>
      </c>
      <c r="N106" s="8"/>
      <c r="O106" s="9" t="s">
        <v>66</v>
      </c>
      <c r="P106" s="70" t="s">
        <v>172</v>
      </c>
      <c r="Q106" s="9" t="s">
        <v>220</v>
      </c>
      <c r="R106" s="27">
        <v>34147</v>
      </c>
      <c r="S106" s="27"/>
      <c r="T106" s="38">
        <v>21730</v>
      </c>
    </row>
    <row r="107" spans="2:20" ht="12.75">
      <c r="B107" s="155" t="s">
        <v>740</v>
      </c>
      <c r="C107" s="332">
        <v>34698</v>
      </c>
      <c r="D107" s="84" t="s">
        <v>265</v>
      </c>
      <c r="E107" s="6" t="s">
        <v>266</v>
      </c>
      <c r="F107" s="273" t="s">
        <v>31</v>
      </c>
      <c r="G107" s="68">
        <v>34746</v>
      </c>
      <c r="H107" s="6" t="s">
        <v>50</v>
      </c>
      <c r="I107" s="23" t="s">
        <v>51</v>
      </c>
      <c r="J107" s="76" t="s">
        <v>34</v>
      </c>
      <c r="K107" s="273" t="s">
        <v>52</v>
      </c>
      <c r="L107" s="84" t="s">
        <v>36</v>
      </c>
      <c r="M107" s="171" t="s">
        <v>959</v>
      </c>
      <c r="N107" s="8"/>
      <c r="O107" s="9" t="s">
        <v>205</v>
      </c>
      <c r="P107" s="70" t="s">
        <v>267</v>
      </c>
      <c r="Q107" s="9" t="s">
        <v>41</v>
      </c>
      <c r="R107" s="27">
        <v>14621</v>
      </c>
      <c r="S107" s="27"/>
      <c r="T107" s="38">
        <v>14621</v>
      </c>
    </row>
    <row r="108" spans="2:20" ht="12.75">
      <c r="B108" s="155"/>
      <c r="C108" s="332"/>
      <c r="D108" s="84"/>
      <c r="E108" s="6"/>
      <c r="F108" s="273"/>
      <c r="G108" s="68"/>
      <c r="H108" s="6"/>
      <c r="I108" s="23"/>
      <c r="J108" s="76"/>
      <c r="K108" s="273"/>
      <c r="L108" s="84"/>
      <c r="M108" s="171"/>
      <c r="N108" s="8"/>
      <c r="O108" s="9"/>
      <c r="P108" s="70"/>
      <c r="Q108" s="9"/>
      <c r="R108" s="27"/>
      <c r="S108" s="27"/>
      <c r="T108" s="38"/>
    </row>
    <row r="109" spans="2:20" ht="12.75">
      <c r="B109" s="154" t="s">
        <v>634</v>
      </c>
      <c r="C109" s="332"/>
      <c r="D109" s="84"/>
      <c r="E109" s="6"/>
      <c r="F109" s="273"/>
      <c r="G109" s="68"/>
      <c r="H109" s="6"/>
      <c r="I109" s="23"/>
      <c r="J109" s="76"/>
      <c r="K109" s="273"/>
      <c r="L109" s="84"/>
      <c r="M109" s="171"/>
      <c r="N109" s="8"/>
      <c r="O109" s="9"/>
      <c r="P109" s="70"/>
      <c r="Q109" s="9"/>
      <c r="R109" s="27"/>
      <c r="S109" s="27"/>
      <c r="T109" s="147">
        <f>SUM(T110:T124)</f>
        <v>1179500</v>
      </c>
    </row>
    <row r="110" spans="2:20" ht="12.75">
      <c r="B110" s="155" t="s">
        <v>232</v>
      </c>
      <c r="C110" s="332">
        <f>DATE(94,3,11)</f>
        <v>34404</v>
      </c>
      <c r="D110" s="84" t="s">
        <v>229</v>
      </c>
      <c r="E110" s="53" t="s">
        <v>719</v>
      </c>
      <c r="F110" s="273" t="s">
        <v>634</v>
      </c>
      <c r="G110" s="68">
        <v>34429</v>
      </c>
      <c r="H110" s="6" t="s">
        <v>230</v>
      </c>
      <c r="I110" s="23" t="s">
        <v>186</v>
      </c>
      <c r="J110" s="76" t="s">
        <v>34</v>
      </c>
      <c r="K110" s="273" t="s">
        <v>187</v>
      </c>
      <c r="L110" s="84" t="s">
        <v>36</v>
      </c>
      <c r="M110" s="171" t="s">
        <v>157</v>
      </c>
      <c r="N110" s="8"/>
      <c r="O110" s="9" t="s">
        <v>76</v>
      </c>
      <c r="P110" s="70" t="s">
        <v>231</v>
      </c>
      <c r="Q110" s="9" t="s">
        <v>41</v>
      </c>
      <c r="R110" s="27">
        <v>34000</v>
      </c>
      <c r="S110" s="27"/>
      <c r="T110" s="38">
        <v>34000</v>
      </c>
    </row>
    <row r="111" spans="2:20" ht="12.75">
      <c r="B111" s="155" t="s">
        <v>241</v>
      </c>
      <c r="C111" s="332">
        <f>DATE(94,4,9)</f>
        <v>34433</v>
      </c>
      <c r="D111" s="84" t="s">
        <v>237</v>
      </c>
      <c r="E111" s="53" t="s">
        <v>719</v>
      </c>
      <c r="F111" s="273" t="s">
        <v>634</v>
      </c>
      <c r="G111" s="68">
        <v>34434</v>
      </c>
      <c r="H111" s="6" t="s">
        <v>238</v>
      </c>
      <c r="I111" s="23" t="s">
        <v>98</v>
      </c>
      <c r="J111" s="76" t="s">
        <v>34</v>
      </c>
      <c r="K111" s="273" t="s">
        <v>239</v>
      </c>
      <c r="L111" s="84" t="s">
        <v>240</v>
      </c>
      <c r="M111" s="171" t="s">
        <v>86</v>
      </c>
      <c r="N111" s="8"/>
      <c r="O111" s="9" t="s">
        <v>38</v>
      </c>
      <c r="P111" s="70" t="s">
        <v>231</v>
      </c>
      <c r="Q111" s="9" t="s">
        <v>41</v>
      </c>
      <c r="R111" s="27">
        <v>45000</v>
      </c>
      <c r="S111" s="27"/>
      <c r="T111" s="38">
        <v>45000</v>
      </c>
    </row>
    <row r="112" spans="2:20" ht="12.75">
      <c r="B112" s="155" t="s">
        <v>235</v>
      </c>
      <c r="C112" s="332">
        <f>DATE(94,5,24)</f>
        <v>34478</v>
      </c>
      <c r="D112" s="84" t="s">
        <v>233</v>
      </c>
      <c r="E112" s="53" t="s">
        <v>719</v>
      </c>
      <c r="F112" s="273" t="s">
        <v>634</v>
      </c>
      <c r="G112" s="68">
        <v>34488</v>
      </c>
      <c r="H112" s="6" t="s">
        <v>234</v>
      </c>
      <c r="I112" s="23" t="s">
        <v>45</v>
      </c>
      <c r="J112" s="76" t="s">
        <v>34</v>
      </c>
      <c r="K112" s="273" t="s">
        <v>120</v>
      </c>
      <c r="L112" s="84" t="s">
        <v>36</v>
      </c>
      <c r="M112" s="171" t="s">
        <v>157</v>
      </c>
      <c r="N112" s="8"/>
      <c r="O112" s="9" t="s">
        <v>76</v>
      </c>
      <c r="P112" s="70" t="s">
        <v>231</v>
      </c>
      <c r="Q112" s="9" t="s">
        <v>41</v>
      </c>
      <c r="R112" s="27">
        <v>150000</v>
      </c>
      <c r="S112" s="27"/>
      <c r="T112" s="38">
        <v>150000</v>
      </c>
    </row>
    <row r="113" spans="2:20" ht="12.75">
      <c r="B113" s="155" t="s">
        <v>244</v>
      </c>
      <c r="C113" s="332">
        <f>DATE(94,5,24)</f>
        <v>34478</v>
      </c>
      <c r="D113" s="84" t="s">
        <v>96</v>
      </c>
      <c r="E113" s="53" t="s">
        <v>719</v>
      </c>
      <c r="F113" s="273" t="s">
        <v>634</v>
      </c>
      <c r="G113" s="68">
        <v>34480</v>
      </c>
      <c r="H113" s="6" t="s">
        <v>242</v>
      </c>
      <c r="I113" s="23" t="s">
        <v>45</v>
      </c>
      <c r="J113" s="76" t="s">
        <v>34</v>
      </c>
      <c r="K113" s="273" t="s">
        <v>120</v>
      </c>
      <c r="L113" s="84" t="s">
        <v>36</v>
      </c>
      <c r="M113" s="171" t="s">
        <v>243</v>
      </c>
      <c r="N113" s="8"/>
      <c r="O113" s="9" t="s">
        <v>140</v>
      </c>
      <c r="P113" s="70" t="s">
        <v>121</v>
      </c>
      <c r="Q113" s="9" t="s">
        <v>41</v>
      </c>
      <c r="R113" s="27">
        <v>1000</v>
      </c>
      <c r="S113" s="27"/>
      <c r="T113" s="38">
        <v>1000</v>
      </c>
    </row>
    <row r="114" spans="2:21" ht="12.75">
      <c r="B114" s="155" t="s">
        <v>249</v>
      </c>
      <c r="C114" s="332">
        <f>DATE(94,6,22)</f>
        <v>34507</v>
      </c>
      <c r="D114" s="84" t="s">
        <v>96</v>
      </c>
      <c r="E114" s="53" t="s">
        <v>719</v>
      </c>
      <c r="F114" s="273" t="s">
        <v>634</v>
      </c>
      <c r="G114" s="68">
        <v>34523</v>
      </c>
      <c r="H114" s="6" t="s">
        <v>103</v>
      </c>
      <c r="I114" s="23" t="s">
        <v>85</v>
      </c>
      <c r="J114" s="76" t="s">
        <v>34</v>
      </c>
      <c r="K114" s="273" t="s">
        <v>104</v>
      </c>
      <c r="L114" s="84" t="s">
        <v>104</v>
      </c>
      <c r="M114" s="171" t="s">
        <v>243</v>
      </c>
      <c r="N114" s="8"/>
      <c r="O114" s="9" t="s">
        <v>248</v>
      </c>
      <c r="P114" s="70" t="s">
        <v>141</v>
      </c>
      <c r="Q114" s="9" t="s">
        <v>41</v>
      </c>
      <c r="R114" s="27">
        <v>90000</v>
      </c>
      <c r="S114" s="27"/>
      <c r="T114" s="38">
        <v>90000</v>
      </c>
      <c r="U114" t="s">
        <v>1036</v>
      </c>
    </row>
    <row r="115" spans="2:21" ht="12.75">
      <c r="B115" s="155" t="s">
        <v>251</v>
      </c>
      <c r="C115" s="332">
        <f>DATE(94,6,22)</f>
        <v>34507</v>
      </c>
      <c r="D115" s="84" t="s">
        <v>96</v>
      </c>
      <c r="E115" s="53" t="s">
        <v>719</v>
      </c>
      <c r="F115" s="273" t="s">
        <v>634</v>
      </c>
      <c r="G115" s="68">
        <v>34523</v>
      </c>
      <c r="H115" s="6" t="s">
        <v>250</v>
      </c>
      <c r="I115" s="23" t="s">
        <v>85</v>
      </c>
      <c r="J115" s="76" t="s">
        <v>34</v>
      </c>
      <c r="K115" s="273" t="s">
        <v>104</v>
      </c>
      <c r="L115" s="84" t="s">
        <v>104</v>
      </c>
      <c r="M115" s="171" t="s">
        <v>243</v>
      </c>
      <c r="N115" s="8"/>
      <c r="O115" s="9" t="s">
        <v>121</v>
      </c>
      <c r="P115" s="70" t="s">
        <v>116</v>
      </c>
      <c r="Q115" s="9" t="s">
        <v>41</v>
      </c>
      <c r="R115" s="27">
        <v>25000</v>
      </c>
      <c r="S115" s="27"/>
      <c r="T115" s="38">
        <v>25000</v>
      </c>
      <c r="U115" t="s">
        <v>1036</v>
      </c>
    </row>
    <row r="116" spans="2:20" ht="12.75">
      <c r="B116" s="155" t="s">
        <v>732</v>
      </c>
      <c r="C116" s="332">
        <f>DATE(94,9,21)</f>
        <v>34598</v>
      </c>
      <c r="D116" s="84" t="s">
        <v>96</v>
      </c>
      <c r="E116" s="53" t="s">
        <v>719</v>
      </c>
      <c r="F116" s="273" t="s">
        <v>634</v>
      </c>
      <c r="G116" s="68">
        <v>34647</v>
      </c>
      <c r="H116" s="6" t="s">
        <v>252</v>
      </c>
      <c r="I116" s="23" t="s">
        <v>45</v>
      </c>
      <c r="J116" s="76" t="s">
        <v>34</v>
      </c>
      <c r="K116" s="273" t="s">
        <v>120</v>
      </c>
      <c r="L116" s="84" t="s">
        <v>36</v>
      </c>
      <c r="M116" s="171" t="s">
        <v>243</v>
      </c>
      <c r="N116" s="8"/>
      <c r="O116" s="9" t="s">
        <v>248</v>
      </c>
      <c r="P116" s="70" t="s">
        <v>253</v>
      </c>
      <c r="Q116" s="9" t="s">
        <v>41</v>
      </c>
      <c r="R116" s="27">
        <v>50000</v>
      </c>
      <c r="S116" s="27"/>
      <c r="T116" s="38">
        <v>50000</v>
      </c>
    </row>
    <row r="117" spans="2:20" ht="12.75">
      <c r="B117" s="160" t="s">
        <v>775</v>
      </c>
      <c r="C117" s="339">
        <v>34656</v>
      </c>
      <c r="D117" s="84" t="s">
        <v>137</v>
      </c>
      <c r="E117" s="51" t="s">
        <v>719</v>
      </c>
      <c r="F117" s="273" t="s">
        <v>634</v>
      </c>
      <c r="G117" s="68">
        <v>34704</v>
      </c>
      <c r="H117" s="6" t="s">
        <v>645</v>
      </c>
      <c r="I117" s="144" t="s">
        <v>446</v>
      </c>
      <c r="J117" s="76" t="s">
        <v>34</v>
      </c>
      <c r="K117" s="273" t="s">
        <v>273</v>
      </c>
      <c r="L117" s="84" t="s">
        <v>36</v>
      </c>
      <c r="M117" s="171" t="s">
        <v>243</v>
      </c>
      <c r="N117" s="6"/>
      <c r="O117" s="9" t="s">
        <v>473</v>
      </c>
      <c r="P117" s="70" t="s">
        <v>510</v>
      </c>
      <c r="Q117" s="9" t="s">
        <v>41</v>
      </c>
      <c r="R117" s="27">
        <v>76000</v>
      </c>
      <c r="S117" s="27"/>
      <c r="T117" s="38">
        <v>76000</v>
      </c>
    </row>
    <row r="118" spans="2:21" ht="12.75">
      <c r="B118" s="155" t="s">
        <v>734</v>
      </c>
      <c r="C118" s="332">
        <f>DATE(94,11,22)</f>
        <v>34660</v>
      </c>
      <c r="D118" s="84" t="s">
        <v>255</v>
      </c>
      <c r="E118" s="53" t="s">
        <v>719</v>
      </c>
      <c r="F118" s="273" t="s">
        <v>634</v>
      </c>
      <c r="G118" s="68">
        <v>34660</v>
      </c>
      <c r="H118" s="6" t="s">
        <v>256</v>
      </c>
      <c r="I118" s="23" t="s">
        <v>85</v>
      </c>
      <c r="J118" s="76" t="s">
        <v>34</v>
      </c>
      <c r="K118" s="273" t="s">
        <v>36</v>
      </c>
      <c r="L118" s="84" t="s">
        <v>36</v>
      </c>
      <c r="M118" s="171" t="s">
        <v>157</v>
      </c>
      <c r="N118" s="8"/>
      <c r="O118" s="9" t="s">
        <v>38</v>
      </c>
      <c r="P118" s="70" t="s">
        <v>88</v>
      </c>
      <c r="Q118" s="9" t="s">
        <v>41</v>
      </c>
      <c r="R118" s="27">
        <v>150000</v>
      </c>
      <c r="S118" s="27"/>
      <c r="T118" s="38">
        <v>150000</v>
      </c>
      <c r="U118" t="s">
        <v>1032</v>
      </c>
    </row>
    <row r="119" spans="2:20" ht="12.75">
      <c r="B119" s="155" t="s">
        <v>733</v>
      </c>
      <c r="C119" s="332">
        <f>DATE(94,11,22)</f>
        <v>34660</v>
      </c>
      <c r="D119" s="84" t="s">
        <v>261</v>
      </c>
      <c r="E119" s="53" t="s">
        <v>719</v>
      </c>
      <c r="F119" s="273" t="s">
        <v>634</v>
      </c>
      <c r="G119" s="68">
        <v>34688</v>
      </c>
      <c r="H119" s="6" t="s">
        <v>262</v>
      </c>
      <c r="I119" s="23" t="s">
        <v>85</v>
      </c>
      <c r="J119" s="76" t="s">
        <v>34</v>
      </c>
      <c r="K119" s="273" t="s">
        <v>793</v>
      </c>
      <c r="L119" s="84" t="s">
        <v>36</v>
      </c>
      <c r="M119" s="171" t="s">
        <v>86</v>
      </c>
      <c r="N119" s="8"/>
      <c r="O119" s="9" t="s">
        <v>263</v>
      </c>
      <c r="P119" s="70" t="s">
        <v>264</v>
      </c>
      <c r="Q119" s="9" t="s">
        <v>41</v>
      </c>
      <c r="R119" s="27">
        <v>1500</v>
      </c>
      <c r="S119" s="27"/>
      <c r="T119" s="38">
        <v>1500</v>
      </c>
    </row>
    <row r="120" spans="2:20" ht="12.75">
      <c r="B120" s="155" t="s">
        <v>736</v>
      </c>
      <c r="C120" s="332">
        <f>DATE(94,12,9)</f>
        <v>34677</v>
      </c>
      <c r="D120" s="84" t="s">
        <v>257</v>
      </c>
      <c r="E120" s="53" t="s">
        <v>719</v>
      </c>
      <c r="F120" s="273" t="s">
        <v>634</v>
      </c>
      <c r="G120" s="68">
        <v>34677</v>
      </c>
      <c r="H120" s="123" t="s">
        <v>774</v>
      </c>
      <c r="I120" s="23" t="s">
        <v>45</v>
      </c>
      <c r="J120" s="76" t="s">
        <v>34</v>
      </c>
      <c r="K120" s="273" t="s">
        <v>120</v>
      </c>
      <c r="L120" s="84" t="s">
        <v>36</v>
      </c>
      <c r="M120" s="171" t="s">
        <v>86</v>
      </c>
      <c r="N120" s="8"/>
      <c r="O120" s="9" t="s">
        <v>116</v>
      </c>
      <c r="P120" s="70" t="s">
        <v>231</v>
      </c>
      <c r="Q120" s="9" t="s">
        <v>41</v>
      </c>
      <c r="R120" s="27">
        <v>252000</v>
      </c>
      <c r="S120" s="27"/>
      <c r="T120" s="38">
        <v>252000</v>
      </c>
    </row>
    <row r="121" spans="2:20" ht="12.75">
      <c r="B121" s="155" t="s">
        <v>737</v>
      </c>
      <c r="C121" s="332">
        <f>DATE(94,12,9)</f>
        <v>34677</v>
      </c>
      <c r="D121" s="84" t="s">
        <v>258</v>
      </c>
      <c r="E121" s="53" t="s">
        <v>719</v>
      </c>
      <c r="F121" s="273" t="s">
        <v>634</v>
      </c>
      <c r="G121" s="68">
        <v>34677</v>
      </c>
      <c r="H121" s="6" t="s">
        <v>259</v>
      </c>
      <c r="I121" s="23" t="s">
        <v>127</v>
      </c>
      <c r="J121" s="76" t="s">
        <v>34</v>
      </c>
      <c r="K121" s="273" t="s">
        <v>785</v>
      </c>
      <c r="L121" s="84" t="s">
        <v>36</v>
      </c>
      <c r="M121" s="171" t="s">
        <v>86</v>
      </c>
      <c r="N121" s="8"/>
      <c r="O121" s="9" t="s">
        <v>116</v>
      </c>
      <c r="P121" s="70" t="s">
        <v>172</v>
      </c>
      <c r="Q121" s="9" t="s">
        <v>41</v>
      </c>
      <c r="R121" s="27">
        <v>140000</v>
      </c>
      <c r="S121" s="27"/>
      <c r="T121" s="38">
        <v>140000</v>
      </c>
    </row>
    <row r="122" spans="2:20" ht="12.75">
      <c r="B122" s="155" t="s">
        <v>739</v>
      </c>
      <c r="C122" s="332">
        <f>DATE(94,12,28)</f>
        <v>34696</v>
      </c>
      <c r="D122" s="84" t="s">
        <v>274</v>
      </c>
      <c r="E122" s="53" t="s">
        <v>719</v>
      </c>
      <c r="F122" s="273" t="s">
        <v>634</v>
      </c>
      <c r="G122" s="68">
        <v>34705</v>
      </c>
      <c r="H122" s="6" t="s">
        <v>275</v>
      </c>
      <c r="I122" s="23" t="s">
        <v>45</v>
      </c>
      <c r="J122" s="76" t="s">
        <v>34</v>
      </c>
      <c r="K122" s="273" t="s">
        <v>120</v>
      </c>
      <c r="L122" s="84" t="s">
        <v>36</v>
      </c>
      <c r="M122" s="171">
        <v>0.0375</v>
      </c>
      <c r="N122" s="8"/>
      <c r="O122" s="9" t="s">
        <v>76</v>
      </c>
      <c r="P122" s="70" t="s">
        <v>276</v>
      </c>
      <c r="Q122" s="9" t="s">
        <v>41</v>
      </c>
      <c r="R122" s="27">
        <v>5000</v>
      </c>
      <c r="S122" s="27"/>
      <c r="T122" s="38">
        <v>5000</v>
      </c>
    </row>
    <row r="123" spans="2:20" ht="12.75">
      <c r="B123" s="155" t="s">
        <v>738</v>
      </c>
      <c r="C123" s="332">
        <f>DATE(94,12,28)</f>
        <v>34696</v>
      </c>
      <c r="D123" s="84" t="s">
        <v>277</v>
      </c>
      <c r="E123" s="53" t="s">
        <v>719</v>
      </c>
      <c r="F123" s="273" t="s">
        <v>634</v>
      </c>
      <c r="G123" s="68">
        <f>DATE(95,2,2)</f>
        <v>34732</v>
      </c>
      <c r="H123" s="123" t="s">
        <v>278</v>
      </c>
      <c r="I123" s="144" t="s">
        <v>127</v>
      </c>
      <c r="J123" s="129" t="s">
        <v>34</v>
      </c>
      <c r="K123" s="350" t="s">
        <v>128</v>
      </c>
      <c r="L123" s="84" t="s">
        <v>36</v>
      </c>
      <c r="M123" s="171" t="s">
        <v>157</v>
      </c>
      <c r="N123" s="8"/>
      <c r="O123" s="9" t="s">
        <v>38</v>
      </c>
      <c r="P123" s="70" t="s">
        <v>231</v>
      </c>
      <c r="Q123" s="9" t="s">
        <v>41</v>
      </c>
      <c r="R123" s="27">
        <v>150000</v>
      </c>
      <c r="S123" s="27"/>
      <c r="T123" s="38">
        <v>150000</v>
      </c>
    </row>
    <row r="124" spans="2:20" ht="12.75">
      <c r="B124" s="155" t="s">
        <v>742</v>
      </c>
      <c r="C124" s="332">
        <f>DATE(94,12,31)</f>
        <v>34699</v>
      </c>
      <c r="D124" s="84" t="s">
        <v>96</v>
      </c>
      <c r="E124" s="53" t="s">
        <v>719</v>
      </c>
      <c r="F124" s="273" t="s">
        <v>634</v>
      </c>
      <c r="G124" s="68">
        <v>34718</v>
      </c>
      <c r="H124" s="6" t="s">
        <v>279</v>
      </c>
      <c r="I124" s="23" t="s">
        <v>98</v>
      </c>
      <c r="J124" s="76" t="s">
        <v>34</v>
      </c>
      <c r="K124" s="273" t="s">
        <v>280</v>
      </c>
      <c r="L124" s="84" t="s">
        <v>280</v>
      </c>
      <c r="M124" s="171" t="s">
        <v>281</v>
      </c>
      <c r="N124" s="8"/>
      <c r="O124" s="9" t="s">
        <v>282</v>
      </c>
      <c r="P124" s="70" t="s">
        <v>109</v>
      </c>
      <c r="Q124" s="9" t="s">
        <v>41</v>
      </c>
      <c r="R124" s="27">
        <v>10000</v>
      </c>
      <c r="S124" s="27"/>
      <c r="T124" s="38">
        <v>10000</v>
      </c>
    </row>
    <row r="125" spans="2:20" ht="12.75">
      <c r="B125" s="155"/>
      <c r="C125" s="332"/>
      <c r="D125" s="84"/>
      <c r="E125" s="53"/>
      <c r="F125" s="273"/>
      <c r="G125" s="68"/>
      <c r="H125" s="6"/>
      <c r="I125" s="23"/>
      <c r="J125" s="76"/>
      <c r="K125" s="273"/>
      <c r="L125" s="84"/>
      <c r="M125" s="171"/>
      <c r="N125" s="8"/>
      <c r="O125" s="9"/>
      <c r="P125" s="70"/>
      <c r="Q125" s="9"/>
      <c r="R125" s="27"/>
      <c r="S125" s="27"/>
      <c r="T125" s="38"/>
    </row>
    <row r="126" spans="2:20" ht="12.75">
      <c r="B126" s="154" t="s">
        <v>804</v>
      </c>
      <c r="C126" s="332"/>
      <c r="D126" s="84"/>
      <c r="E126" s="53"/>
      <c r="F126" s="273"/>
      <c r="G126" s="68"/>
      <c r="H126" s="6"/>
      <c r="I126" s="23"/>
      <c r="J126" s="76"/>
      <c r="K126" s="273"/>
      <c r="L126" s="84"/>
      <c r="M126" s="171"/>
      <c r="N126" s="8"/>
      <c r="O126" s="9"/>
      <c r="P126" s="70"/>
      <c r="Q126" s="9"/>
      <c r="R126" s="27"/>
      <c r="S126" s="27"/>
      <c r="T126" s="147">
        <f>SUM(T127:T129)</f>
        <v>67008</v>
      </c>
    </row>
    <row r="127" spans="2:20" ht="12.75">
      <c r="B127" s="157" t="s">
        <v>730</v>
      </c>
      <c r="C127" s="332">
        <f>DATE(94,7,9)</f>
        <v>34524</v>
      </c>
      <c r="D127" s="84" t="s">
        <v>245</v>
      </c>
      <c r="E127" s="6" t="s">
        <v>63</v>
      </c>
      <c r="F127" s="273" t="s">
        <v>706</v>
      </c>
      <c r="G127" s="68">
        <v>34542</v>
      </c>
      <c r="H127" s="48" t="s">
        <v>246</v>
      </c>
      <c r="I127" s="78" t="s">
        <v>446</v>
      </c>
      <c r="J127" s="76" t="s">
        <v>34</v>
      </c>
      <c r="K127" s="273" t="s">
        <v>247</v>
      </c>
      <c r="L127" s="84" t="s">
        <v>36</v>
      </c>
      <c r="M127" s="171">
        <v>0.0595</v>
      </c>
      <c r="N127" s="8"/>
      <c r="O127" s="9" t="s">
        <v>205</v>
      </c>
      <c r="P127" s="70" t="s">
        <v>87</v>
      </c>
      <c r="Q127" s="9" t="s">
        <v>41</v>
      </c>
      <c r="R127" s="27">
        <v>8697</v>
      </c>
      <c r="S127" s="27"/>
      <c r="T127" s="38">
        <v>8697</v>
      </c>
    </row>
    <row r="128" spans="2:20" ht="12.75">
      <c r="B128" s="157" t="s">
        <v>731</v>
      </c>
      <c r="C128" s="332">
        <f>DATE(94,7,9)</f>
        <v>34524</v>
      </c>
      <c r="D128" s="84" t="s">
        <v>245</v>
      </c>
      <c r="E128" s="6" t="s">
        <v>63</v>
      </c>
      <c r="F128" s="273" t="s">
        <v>706</v>
      </c>
      <c r="G128" s="68">
        <v>34533</v>
      </c>
      <c r="H128" s="48" t="s">
        <v>246</v>
      </c>
      <c r="I128" s="78" t="s">
        <v>33</v>
      </c>
      <c r="J128" s="76" t="s">
        <v>34</v>
      </c>
      <c r="K128" s="273" t="s">
        <v>65</v>
      </c>
      <c r="L128" s="84" t="s">
        <v>36</v>
      </c>
      <c r="M128" s="171">
        <v>0.0595</v>
      </c>
      <c r="N128" s="8"/>
      <c r="O128" s="9" t="s">
        <v>205</v>
      </c>
      <c r="P128" s="70" t="s">
        <v>87</v>
      </c>
      <c r="Q128" s="9" t="s">
        <v>41</v>
      </c>
      <c r="R128" s="27">
        <v>29552</v>
      </c>
      <c r="S128" s="27"/>
      <c r="T128" s="38">
        <v>29552</v>
      </c>
    </row>
    <row r="129" spans="2:20" ht="12.75">
      <c r="B129" s="161" t="s">
        <v>759</v>
      </c>
      <c r="C129" s="332">
        <v>34612</v>
      </c>
      <c r="D129" s="84" t="s">
        <v>254</v>
      </c>
      <c r="E129" s="6" t="s">
        <v>63</v>
      </c>
      <c r="F129" s="273" t="s">
        <v>706</v>
      </c>
      <c r="G129" s="68">
        <v>34654</v>
      </c>
      <c r="H129" s="6" t="s">
        <v>50</v>
      </c>
      <c r="I129" s="23" t="s">
        <v>51</v>
      </c>
      <c r="J129" s="76" t="s">
        <v>34</v>
      </c>
      <c r="K129" s="273" t="s">
        <v>52</v>
      </c>
      <c r="L129" s="84" t="s">
        <v>36</v>
      </c>
      <c r="M129" s="171">
        <v>0.07</v>
      </c>
      <c r="N129" s="8"/>
      <c r="O129" s="9" t="s">
        <v>193</v>
      </c>
      <c r="P129" s="70" t="s">
        <v>94</v>
      </c>
      <c r="Q129" s="9" t="s">
        <v>41</v>
      </c>
      <c r="R129" s="27">
        <v>28759</v>
      </c>
      <c r="S129" s="27"/>
      <c r="T129" s="38">
        <v>28759</v>
      </c>
    </row>
    <row r="130" spans="2:20" ht="12.75">
      <c r="B130" s="157"/>
      <c r="C130" s="332"/>
      <c r="D130" s="84"/>
      <c r="E130" s="6"/>
      <c r="F130" s="273"/>
      <c r="G130" s="68"/>
      <c r="H130" s="48"/>
      <c r="I130" s="78"/>
      <c r="J130" s="76"/>
      <c r="K130" s="273"/>
      <c r="L130" s="84"/>
      <c r="M130" s="171"/>
      <c r="N130" s="8"/>
      <c r="O130" s="9"/>
      <c r="P130" s="70"/>
      <c r="Q130" s="9"/>
      <c r="R130" s="27"/>
      <c r="S130" s="27"/>
      <c r="T130" s="38"/>
    </row>
    <row r="131" spans="2:20" ht="12.75">
      <c r="B131" s="154" t="s">
        <v>270</v>
      </c>
      <c r="C131" s="332"/>
      <c r="D131" s="84"/>
      <c r="E131" s="6"/>
      <c r="F131" s="273"/>
      <c r="G131" s="68"/>
      <c r="H131" s="48"/>
      <c r="I131" s="78"/>
      <c r="J131" s="76"/>
      <c r="K131" s="273"/>
      <c r="L131" s="84"/>
      <c r="M131" s="171"/>
      <c r="N131" s="8"/>
      <c r="O131" s="9"/>
      <c r="P131" s="70"/>
      <c r="Q131" s="9"/>
      <c r="R131" s="27"/>
      <c r="S131" s="27"/>
      <c r="T131" s="147">
        <f>SUM(T132:T134)</f>
        <v>16288</v>
      </c>
    </row>
    <row r="132" spans="2:20" ht="12.75">
      <c r="B132" s="155" t="s">
        <v>961</v>
      </c>
      <c r="C132" s="332">
        <v>34698</v>
      </c>
      <c r="D132" s="84" t="s">
        <v>268</v>
      </c>
      <c r="E132" s="6" t="s">
        <v>269</v>
      </c>
      <c r="F132" s="273" t="s">
        <v>270</v>
      </c>
      <c r="G132" s="68">
        <v>34729</v>
      </c>
      <c r="H132" s="6" t="s">
        <v>50</v>
      </c>
      <c r="I132" s="23" t="s">
        <v>51</v>
      </c>
      <c r="J132" s="76" t="s">
        <v>34</v>
      </c>
      <c r="K132" s="273" t="s">
        <v>52</v>
      </c>
      <c r="L132" s="84" t="s">
        <v>36</v>
      </c>
      <c r="M132" s="171" t="s">
        <v>960</v>
      </c>
      <c r="N132" s="8"/>
      <c r="O132" s="9" t="s">
        <v>163</v>
      </c>
      <c r="P132" s="70" t="s">
        <v>38</v>
      </c>
      <c r="Q132" s="9" t="s">
        <v>41</v>
      </c>
      <c r="R132" s="27">
        <v>8083</v>
      </c>
      <c r="S132" s="27"/>
      <c r="T132" s="38">
        <v>8083</v>
      </c>
    </row>
    <row r="133" spans="2:20" ht="12.75">
      <c r="B133" s="155" t="s">
        <v>962</v>
      </c>
      <c r="C133" s="332">
        <v>34698</v>
      </c>
      <c r="D133" s="84" t="s">
        <v>271</v>
      </c>
      <c r="E133" s="6" t="s">
        <v>272</v>
      </c>
      <c r="F133" s="273" t="s">
        <v>825</v>
      </c>
      <c r="G133" s="68">
        <v>34699</v>
      </c>
      <c r="H133" s="6" t="s">
        <v>942</v>
      </c>
      <c r="I133" s="23" t="s">
        <v>51</v>
      </c>
      <c r="J133" s="76" t="s">
        <v>34</v>
      </c>
      <c r="K133" s="273" t="s">
        <v>52</v>
      </c>
      <c r="L133" s="84" t="s">
        <v>36</v>
      </c>
      <c r="M133" s="171">
        <v>0.07</v>
      </c>
      <c r="N133" s="8"/>
      <c r="O133" s="9" t="s">
        <v>163</v>
      </c>
      <c r="P133" s="70" t="s">
        <v>38</v>
      </c>
      <c r="Q133" s="9" t="s">
        <v>41</v>
      </c>
      <c r="R133" s="27">
        <v>948</v>
      </c>
      <c r="S133" s="27"/>
      <c r="T133" s="38">
        <v>948</v>
      </c>
    </row>
    <row r="134" spans="2:21" ht="13.5" thickBot="1">
      <c r="B134" s="159" t="s">
        <v>741</v>
      </c>
      <c r="C134" s="333">
        <v>34698</v>
      </c>
      <c r="D134" s="85" t="s">
        <v>271</v>
      </c>
      <c r="E134" s="3" t="s">
        <v>272</v>
      </c>
      <c r="F134" s="274" t="s">
        <v>270</v>
      </c>
      <c r="G134" s="69">
        <v>34699</v>
      </c>
      <c r="H134" s="3" t="s">
        <v>50</v>
      </c>
      <c r="I134" s="24" t="s">
        <v>51</v>
      </c>
      <c r="J134" s="77" t="s">
        <v>34</v>
      </c>
      <c r="K134" s="274" t="s">
        <v>52</v>
      </c>
      <c r="L134" s="85" t="s">
        <v>36</v>
      </c>
      <c r="M134" s="173">
        <v>0.07</v>
      </c>
      <c r="N134" s="4"/>
      <c r="O134" s="5" t="s">
        <v>163</v>
      </c>
      <c r="P134" s="91" t="s">
        <v>38</v>
      </c>
      <c r="Q134" s="5" t="s">
        <v>41</v>
      </c>
      <c r="R134" s="28">
        <v>7257</v>
      </c>
      <c r="S134" s="28"/>
      <c r="T134" s="55">
        <v>7257</v>
      </c>
      <c r="U134" s="13"/>
    </row>
    <row r="135" spans="2:20" s="94" customFormat="1" ht="18.75" thickTop="1">
      <c r="B135" s="162">
        <v>1995</v>
      </c>
      <c r="C135" s="340"/>
      <c r="D135" s="368"/>
      <c r="E135" s="106"/>
      <c r="F135" s="280"/>
      <c r="G135" s="107"/>
      <c r="H135" s="106"/>
      <c r="I135" s="108"/>
      <c r="J135" s="106"/>
      <c r="K135" s="280"/>
      <c r="L135" s="109"/>
      <c r="M135" s="108"/>
      <c r="N135" s="106"/>
      <c r="O135" s="106"/>
      <c r="P135" s="107"/>
      <c r="Q135" s="106"/>
      <c r="R135" s="110"/>
      <c r="S135" s="110"/>
      <c r="T135" s="111">
        <f>+T136+T142+T151</f>
        <v>678359.8640000001</v>
      </c>
    </row>
    <row r="136" spans="2:20" ht="12.75">
      <c r="B136" s="154" t="s">
        <v>803</v>
      </c>
      <c r="C136" s="329"/>
      <c r="D136" s="364"/>
      <c r="E136" s="7"/>
      <c r="F136" s="273"/>
      <c r="G136" s="68"/>
      <c r="H136" s="6"/>
      <c r="I136" s="23"/>
      <c r="J136" s="6"/>
      <c r="K136" s="273"/>
      <c r="L136" s="84"/>
      <c r="M136" s="171"/>
      <c r="N136" s="8"/>
      <c r="O136" s="9"/>
      <c r="P136" s="70"/>
      <c r="Q136" s="9"/>
      <c r="R136" s="27"/>
      <c r="S136" s="27"/>
      <c r="T136" s="147">
        <f>SUM(T137:T140)</f>
        <v>182009.864</v>
      </c>
    </row>
    <row r="137" spans="2:20" ht="12.75">
      <c r="B137" s="155" t="s">
        <v>288</v>
      </c>
      <c r="C137" s="332">
        <f>DATE(95,3,3)</f>
        <v>34761</v>
      </c>
      <c r="D137" s="84" t="s">
        <v>207</v>
      </c>
      <c r="E137" s="6" t="s">
        <v>107</v>
      </c>
      <c r="F137" s="273" t="s">
        <v>31</v>
      </c>
      <c r="G137" s="68">
        <v>34785</v>
      </c>
      <c r="H137" s="6" t="s">
        <v>287</v>
      </c>
      <c r="I137" s="23" t="s">
        <v>98</v>
      </c>
      <c r="J137" s="6" t="s">
        <v>34</v>
      </c>
      <c r="K137" s="273" t="s">
        <v>98</v>
      </c>
      <c r="L137" s="84" t="s">
        <v>36</v>
      </c>
      <c r="M137" s="171" t="s">
        <v>207</v>
      </c>
      <c r="N137" s="8"/>
      <c r="O137" s="9" t="s">
        <v>283</v>
      </c>
      <c r="P137" s="70" t="s">
        <v>231</v>
      </c>
      <c r="Q137" s="9" t="s">
        <v>41</v>
      </c>
      <c r="R137" s="27">
        <v>155000</v>
      </c>
      <c r="S137" s="27"/>
      <c r="T137" s="38">
        <v>155000</v>
      </c>
    </row>
    <row r="138" spans="2:20" ht="12.75">
      <c r="B138" s="155" t="s">
        <v>299</v>
      </c>
      <c r="C138" s="332">
        <f>DATE(95,9,9)</f>
        <v>34951</v>
      </c>
      <c r="D138" s="84" t="s">
        <v>386</v>
      </c>
      <c r="E138" s="6" t="s">
        <v>216</v>
      </c>
      <c r="F138" s="273" t="s">
        <v>31</v>
      </c>
      <c r="G138" s="68">
        <f>DATE(95,11,15)</f>
        <v>35018</v>
      </c>
      <c r="H138" s="6" t="s">
        <v>297</v>
      </c>
      <c r="I138" s="23" t="s">
        <v>33</v>
      </c>
      <c r="J138" s="6" t="s">
        <v>34</v>
      </c>
      <c r="K138" s="273" t="s">
        <v>298</v>
      </c>
      <c r="L138" s="84" t="s">
        <v>36</v>
      </c>
      <c r="M138" s="171">
        <v>0.0075</v>
      </c>
      <c r="N138" s="8"/>
      <c r="O138" s="9" t="s">
        <v>47</v>
      </c>
      <c r="P138" s="70" t="s">
        <v>218</v>
      </c>
      <c r="Q138" s="9" t="s">
        <v>220</v>
      </c>
      <c r="R138" s="27">
        <v>5000</v>
      </c>
      <c r="S138" s="27"/>
      <c r="T138" s="38">
        <v>3400</v>
      </c>
    </row>
    <row r="139" spans="2:20" ht="12.75">
      <c r="B139" s="155" t="s">
        <v>321</v>
      </c>
      <c r="C139" s="332">
        <f>DATE(95,12,21)</f>
        <v>35054</v>
      </c>
      <c r="D139" s="84" t="s">
        <v>180</v>
      </c>
      <c r="E139" s="11" t="s">
        <v>181</v>
      </c>
      <c r="F139" s="273" t="s">
        <v>31</v>
      </c>
      <c r="G139" s="68">
        <f>DATE(95,10,5)</f>
        <v>34977</v>
      </c>
      <c r="H139" s="6" t="s">
        <v>317</v>
      </c>
      <c r="I139" s="23" t="s">
        <v>127</v>
      </c>
      <c r="J139" s="6" t="s">
        <v>34</v>
      </c>
      <c r="K139" s="273" t="s">
        <v>318</v>
      </c>
      <c r="L139" s="84" t="s">
        <v>318</v>
      </c>
      <c r="M139" s="171">
        <v>0.03</v>
      </c>
      <c r="N139" s="8"/>
      <c r="O139" s="9" t="s">
        <v>319</v>
      </c>
      <c r="P139" s="70" t="s">
        <v>320</v>
      </c>
      <c r="Q139" s="9" t="s">
        <v>183</v>
      </c>
      <c r="R139" s="27">
        <v>58300</v>
      </c>
      <c r="S139" s="27"/>
      <c r="T139" s="38">
        <v>11770</v>
      </c>
    </row>
    <row r="140" spans="2:20" ht="12.75">
      <c r="B140" s="155" t="s">
        <v>328</v>
      </c>
      <c r="C140" s="332">
        <f>DATE(95,12,29)</f>
        <v>35062</v>
      </c>
      <c r="D140" s="84" t="s">
        <v>327</v>
      </c>
      <c r="E140" s="11" t="s">
        <v>266</v>
      </c>
      <c r="F140" s="273" t="s">
        <v>31</v>
      </c>
      <c r="G140" s="68">
        <v>35079</v>
      </c>
      <c r="H140" s="6" t="s">
        <v>50</v>
      </c>
      <c r="I140" s="23" t="s">
        <v>51</v>
      </c>
      <c r="J140" s="6" t="s">
        <v>34</v>
      </c>
      <c r="K140" s="273" t="s">
        <v>52</v>
      </c>
      <c r="L140" s="84" t="s">
        <v>36</v>
      </c>
      <c r="M140" s="171">
        <v>0.034</v>
      </c>
      <c r="N140" s="8"/>
      <c r="O140" s="9" t="s">
        <v>283</v>
      </c>
      <c r="P140" s="70" t="s">
        <v>66</v>
      </c>
      <c r="Q140" s="9" t="s">
        <v>41</v>
      </c>
      <c r="R140" s="27">
        <v>11839.864</v>
      </c>
      <c r="S140" s="27"/>
      <c r="T140" s="38">
        <v>11839.864</v>
      </c>
    </row>
    <row r="141" spans="2:20" ht="12.75">
      <c r="B141" s="155"/>
      <c r="C141" s="332"/>
      <c r="D141" s="84"/>
      <c r="E141" s="11"/>
      <c r="F141" s="273"/>
      <c r="G141" s="68"/>
      <c r="H141" s="6"/>
      <c r="I141" s="23"/>
      <c r="J141" s="6"/>
      <c r="K141" s="273"/>
      <c r="L141" s="84"/>
      <c r="M141" s="171"/>
      <c r="N141" s="8"/>
      <c r="O141" s="9"/>
      <c r="P141" s="70"/>
      <c r="Q141" s="9"/>
      <c r="R141" s="27"/>
      <c r="S141" s="27"/>
      <c r="T141" s="38"/>
    </row>
    <row r="142" spans="2:20" ht="12.75">
      <c r="B142" s="154" t="s">
        <v>805</v>
      </c>
      <c r="C142" s="332"/>
      <c r="D142" s="84"/>
      <c r="E142" s="11"/>
      <c r="F142" s="273"/>
      <c r="G142" s="68"/>
      <c r="H142" s="6"/>
      <c r="I142" s="23"/>
      <c r="J142" s="6"/>
      <c r="K142" s="273"/>
      <c r="L142" s="84"/>
      <c r="M142" s="171"/>
      <c r="N142" s="8"/>
      <c r="O142" s="9"/>
      <c r="P142" s="70"/>
      <c r="Q142" s="9"/>
      <c r="R142" s="27"/>
      <c r="S142" s="27"/>
      <c r="T142" s="147">
        <f>SUM(T143:T149)</f>
        <v>491750</v>
      </c>
    </row>
    <row r="143" spans="2:21" ht="12.75">
      <c r="B143" s="155" t="s">
        <v>286</v>
      </c>
      <c r="C143" s="332">
        <f>DATE(95,1,13)</f>
        <v>34712</v>
      </c>
      <c r="D143" s="84" t="s">
        <v>285</v>
      </c>
      <c r="E143" s="51" t="s">
        <v>719</v>
      </c>
      <c r="F143" s="273" t="s">
        <v>634</v>
      </c>
      <c r="G143" s="68">
        <v>34759</v>
      </c>
      <c r="H143" s="6" t="s">
        <v>103</v>
      </c>
      <c r="I143" s="23" t="s">
        <v>85</v>
      </c>
      <c r="J143" s="6" t="s">
        <v>34</v>
      </c>
      <c r="K143" s="273" t="s">
        <v>104</v>
      </c>
      <c r="L143" s="84" t="s">
        <v>104</v>
      </c>
      <c r="M143" s="171" t="s">
        <v>86</v>
      </c>
      <c r="N143" s="8"/>
      <c r="O143" s="9" t="s">
        <v>76</v>
      </c>
      <c r="P143" s="70" t="s">
        <v>38</v>
      </c>
      <c r="Q143" s="9" t="s">
        <v>41</v>
      </c>
      <c r="R143" s="27">
        <v>100000</v>
      </c>
      <c r="S143" s="27"/>
      <c r="T143" s="38">
        <v>100000</v>
      </c>
      <c r="U143" t="s">
        <v>1036</v>
      </c>
    </row>
    <row r="144" spans="2:21" ht="12.75">
      <c r="B144" s="155" t="s">
        <v>326</v>
      </c>
      <c r="C144" s="332">
        <f>DATE(96,2,8)</f>
        <v>35103</v>
      </c>
      <c r="D144" s="84" t="s">
        <v>322</v>
      </c>
      <c r="E144" s="51" t="s">
        <v>719</v>
      </c>
      <c r="F144" s="273" t="s">
        <v>634</v>
      </c>
      <c r="G144" s="68">
        <f>DATE(95,12,5)</f>
        <v>35038</v>
      </c>
      <c r="H144" s="6" t="s">
        <v>323</v>
      </c>
      <c r="I144" s="23" t="s">
        <v>85</v>
      </c>
      <c r="J144" s="6" t="s">
        <v>34</v>
      </c>
      <c r="K144" s="273" t="s">
        <v>104</v>
      </c>
      <c r="L144" s="84" t="s">
        <v>104</v>
      </c>
      <c r="M144" s="171">
        <v>0.02</v>
      </c>
      <c r="N144" s="8"/>
      <c r="O144" s="9" t="s">
        <v>324</v>
      </c>
      <c r="P144" s="70" t="s">
        <v>325</v>
      </c>
      <c r="Q144" s="9" t="s">
        <v>41</v>
      </c>
      <c r="R144" s="27">
        <v>25000</v>
      </c>
      <c r="S144" s="27"/>
      <c r="T144" s="38">
        <v>25000</v>
      </c>
      <c r="U144" t="s">
        <v>1036</v>
      </c>
    </row>
    <row r="145" spans="2:20" ht="12.75">
      <c r="B145" s="155" t="s">
        <v>296</v>
      </c>
      <c r="C145" s="332">
        <f>DATE(95,7,12)</f>
        <v>34892</v>
      </c>
      <c r="D145" s="84" t="s">
        <v>794</v>
      </c>
      <c r="E145" s="51" t="s">
        <v>719</v>
      </c>
      <c r="F145" s="273" t="s">
        <v>634</v>
      </c>
      <c r="G145" s="68">
        <f>DATE(95,7,14)</f>
        <v>34894</v>
      </c>
      <c r="H145" s="6" t="s">
        <v>294</v>
      </c>
      <c r="I145" s="23" t="s">
        <v>45</v>
      </c>
      <c r="J145" s="6" t="s">
        <v>34</v>
      </c>
      <c r="K145" s="273" t="s">
        <v>120</v>
      </c>
      <c r="L145" s="84" t="s">
        <v>36</v>
      </c>
      <c r="M145" s="172" t="s">
        <v>293</v>
      </c>
      <c r="N145" s="8"/>
      <c r="O145" s="9" t="s">
        <v>283</v>
      </c>
      <c r="P145" s="70" t="s">
        <v>295</v>
      </c>
      <c r="Q145" s="9" t="s">
        <v>150</v>
      </c>
      <c r="R145" s="27">
        <v>27000</v>
      </c>
      <c r="S145" s="27"/>
      <c r="T145" s="38">
        <v>36350</v>
      </c>
    </row>
    <row r="146" spans="2:20" ht="12.75">
      <c r="B146" s="155" t="s">
        <v>303</v>
      </c>
      <c r="C146" s="332">
        <f>DATE(95,12,6)</f>
        <v>35039</v>
      </c>
      <c r="D146" s="84" t="s">
        <v>300</v>
      </c>
      <c r="E146" s="51" t="s">
        <v>719</v>
      </c>
      <c r="F146" s="273" t="s">
        <v>634</v>
      </c>
      <c r="G146" s="68">
        <f>DATE(95,12,5)</f>
        <v>35038</v>
      </c>
      <c r="H146" s="6" t="s">
        <v>301</v>
      </c>
      <c r="I146" s="23" t="s">
        <v>85</v>
      </c>
      <c r="J146" s="6" t="s">
        <v>34</v>
      </c>
      <c r="K146" s="273" t="s">
        <v>36</v>
      </c>
      <c r="L146" s="84" t="s">
        <v>36</v>
      </c>
      <c r="M146" s="171" t="s">
        <v>86</v>
      </c>
      <c r="N146" s="8"/>
      <c r="O146" s="9" t="s">
        <v>116</v>
      </c>
      <c r="P146" s="70" t="s">
        <v>302</v>
      </c>
      <c r="Q146" s="9" t="s">
        <v>41</v>
      </c>
      <c r="R146" s="27">
        <v>4000</v>
      </c>
      <c r="S146" s="27"/>
      <c r="T146" s="38">
        <v>4000</v>
      </c>
    </row>
    <row r="147" spans="2:20" ht="12.75">
      <c r="B147" s="155" t="s">
        <v>307</v>
      </c>
      <c r="C147" s="332">
        <f>DATE(95,12,6)</f>
        <v>35039</v>
      </c>
      <c r="D147" s="84" t="s">
        <v>304</v>
      </c>
      <c r="E147" s="51" t="s">
        <v>719</v>
      </c>
      <c r="F147" s="273" t="s">
        <v>634</v>
      </c>
      <c r="G147" s="68">
        <f>DATE(95,12,7)</f>
        <v>35040</v>
      </c>
      <c r="H147" s="6" t="s">
        <v>305</v>
      </c>
      <c r="I147" s="23" t="s">
        <v>45</v>
      </c>
      <c r="J147" s="6" t="s">
        <v>34</v>
      </c>
      <c r="K147" s="273" t="s">
        <v>120</v>
      </c>
      <c r="L147" s="84" t="s">
        <v>36</v>
      </c>
      <c r="M147" s="171" t="s">
        <v>157</v>
      </c>
      <c r="N147" s="8"/>
      <c r="O147" s="9" t="s">
        <v>116</v>
      </c>
      <c r="P147" s="70" t="s">
        <v>306</v>
      </c>
      <c r="Q147" s="9" t="s">
        <v>41</v>
      </c>
      <c r="R147" s="27">
        <v>90000</v>
      </c>
      <c r="S147" s="27"/>
      <c r="T147" s="38">
        <v>90000</v>
      </c>
    </row>
    <row r="148" spans="2:20" ht="12.75">
      <c r="B148" s="155" t="s">
        <v>311</v>
      </c>
      <c r="C148" s="332">
        <f>DATE(95,12,8)</f>
        <v>35041</v>
      </c>
      <c r="D148" s="84" t="s">
        <v>308</v>
      </c>
      <c r="E148" s="51" t="s">
        <v>719</v>
      </c>
      <c r="F148" s="273" t="s">
        <v>634</v>
      </c>
      <c r="G148" s="68">
        <f>DATE(95,12,5)</f>
        <v>35038</v>
      </c>
      <c r="H148" s="6" t="s">
        <v>305</v>
      </c>
      <c r="I148" s="23" t="s">
        <v>45</v>
      </c>
      <c r="J148" s="6" t="s">
        <v>34</v>
      </c>
      <c r="K148" s="273" t="s">
        <v>120</v>
      </c>
      <c r="L148" s="84" t="s">
        <v>36</v>
      </c>
      <c r="M148" s="171" t="s">
        <v>86</v>
      </c>
      <c r="N148" s="8"/>
      <c r="O148" s="9" t="s">
        <v>309</v>
      </c>
      <c r="P148" s="70" t="s">
        <v>310</v>
      </c>
      <c r="Q148" s="9" t="s">
        <v>41</v>
      </c>
      <c r="R148" s="27">
        <v>90000</v>
      </c>
      <c r="S148" s="27"/>
      <c r="T148" s="38">
        <v>90000</v>
      </c>
    </row>
    <row r="149" spans="2:20" ht="12.75">
      <c r="B149" s="155" t="s">
        <v>316</v>
      </c>
      <c r="C149" s="332">
        <f>DATE(95,12,12)</f>
        <v>35045</v>
      </c>
      <c r="D149" s="84" t="s">
        <v>312</v>
      </c>
      <c r="E149" s="51" t="s">
        <v>719</v>
      </c>
      <c r="F149" s="273" t="s">
        <v>634</v>
      </c>
      <c r="G149" s="68">
        <f>DATE(95,12,7)</f>
        <v>35040</v>
      </c>
      <c r="H149" s="6" t="s">
        <v>313</v>
      </c>
      <c r="I149" s="23" t="s">
        <v>314</v>
      </c>
      <c r="J149" s="6" t="s">
        <v>34</v>
      </c>
      <c r="K149" s="273" t="s">
        <v>315</v>
      </c>
      <c r="L149" s="84" t="s">
        <v>36</v>
      </c>
      <c r="M149" s="171" t="s">
        <v>157</v>
      </c>
      <c r="N149" s="8"/>
      <c r="O149" s="9" t="s">
        <v>116</v>
      </c>
      <c r="P149" s="70" t="s">
        <v>306</v>
      </c>
      <c r="Q149" s="9" t="s">
        <v>41</v>
      </c>
      <c r="R149" s="27">
        <v>146400</v>
      </c>
      <c r="S149" s="27"/>
      <c r="T149" s="38">
        <v>146400</v>
      </c>
    </row>
    <row r="150" spans="2:20" ht="12.75">
      <c r="B150" s="155"/>
      <c r="C150" s="332"/>
      <c r="D150" s="84"/>
      <c r="E150" s="51"/>
      <c r="F150" s="273"/>
      <c r="G150" s="68"/>
      <c r="H150" s="6"/>
      <c r="I150" s="23"/>
      <c r="J150" s="6"/>
      <c r="K150" s="273"/>
      <c r="L150" s="84"/>
      <c r="M150" s="171"/>
      <c r="N150" s="8"/>
      <c r="O150" s="9"/>
      <c r="P150" s="70"/>
      <c r="Q150" s="9"/>
      <c r="R150" s="27"/>
      <c r="S150" s="27"/>
      <c r="T150" s="38"/>
    </row>
    <row r="151" spans="2:20" ht="12.75">
      <c r="B151" s="154" t="s">
        <v>804</v>
      </c>
      <c r="C151" s="332"/>
      <c r="D151" s="84"/>
      <c r="E151" s="51"/>
      <c r="F151" s="273"/>
      <c r="G151" s="68"/>
      <c r="H151" s="6"/>
      <c r="I151" s="23"/>
      <c r="J151" s="6"/>
      <c r="K151" s="273"/>
      <c r="L151" s="84"/>
      <c r="M151" s="171"/>
      <c r="N151" s="8"/>
      <c r="O151" s="9"/>
      <c r="P151" s="70"/>
      <c r="Q151" s="9"/>
      <c r="R151" s="27"/>
      <c r="S151" s="27"/>
      <c r="T151" s="147">
        <f>+T152</f>
        <v>4600</v>
      </c>
    </row>
    <row r="152" spans="2:20" ht="12.75">
      <c r="B152" s="157" t="s">
        <v>291</v>
      </c>
      <c r="C152" s="332">
        <f>DATE(95,3,31)</f>
        <v>34789</v>
      </c>
      <c r="D152" s="84" t="s">
        <v>289</v>
      </c>
      <c r="E152" s="6" t="s">
        <v>63</v>
      </c>
      <c r="F152" s="273" t="s">
        <v>786</v>
      </c>
      <c r="G152" s="68">
        <f>DATE(95,5,15)</f>
        <v>34834</v>
      </c>
      <c r="H152" s="6" t="s">
        <v>290</v>
      </c>
      <c r="I152" s="23" t="s">
        <v>80</v>
      </c>
      <c r="J152" s="6" t="s">
        <v>34</v>
      </c>
      <c r="K152" s="350" t="s">
        <v>81</v>
      </c>
      <c r="L152" s="84" t="s">
        <v>36</v>
      </c>
      <c r="M152" s="171">
        <v>0</v>
      </c>
      <c r="N152" s="8"/>
      <c r="O152" s="9" t="s">
        <v>53</v>
      </c>
      <c r="P152" s="70" t="s">
        <v>66</v>
      </c>
      <c r="Q152" s="9" t="s">
        <v>292</v>
      </c>
      <c r="R152" s="27">
        <v>2845.7626</v>
      </c>
      <c r="S152" s="27"/>
      <c r="T152" s="38">
        <v>4600</v>
      </c>
    </row>
    <row r="153" spans="2:20" ht="13.5" thickBot="1">
      <c r="B153" s="159"/>
      <c r="C153" s="333"/>
      <c r="D153" s="85"/>
      <c r="E153" s="10"/>
      <c r="F153" s="274"/>
      <c r="G153" s="69"/>
      <c r="H153" s="3"/>
      <c r="I153" s="24"/>
      <c r="J153" s="3"/>
      <c r="K153" s="274"/>
      <c r="L153" s="85"/>
      <c r="M153" s="173"/>
      <c r="N153" s="4"/>
      <c r="O153" s="5"/>
      <c r="P153" s="91"/>
      <c r="Q153" s="5"/>
      <c r="R153" s="28"/>
      <c r="S153" s="28"/>
      <c r="T153" s="55"/>
    </row>
    <row r="154" spans="2:20" s="94" customFormat="1" ht="18.75" thickTop="1">
      <c r="B154" s="227">
        <v>1996</v>
      </c>
      <c r="C154" s="331"/>
      <c r="D154" s="365"/>
      <c r="E154" s="245"/>
      <c r="F154" s="275"/>
      <c r="G154" s="230"/>
      <c r="H154" s="229"/>
      <c r="I154" s="231"/>
      <c r="J154" s="232"/>
      <c r="K154" s="275"/>
      <c r="L154" s="233"/>
      <c r="M154" s="234"/>
      <c r="N154" s="235"/>
      <c r="O154" s="236"/>
      <c r="P154" s="237"/>
      <c r="Q154" s="236"/>
      <c r="R154" s="238"/>
      <c r="S154" s="238"/>
      <c r="T154" s="239">
        <f>+T155+T170+T182</f>
        <v>1806309</v>
      </c>
    </row>
    <row r="155" spans="2:20" s="94" customFormat="1" ht="12.75">
      <c r="B155" s="154" t="s">
        <v>803</v>
      </c>
      <c r="C155" s="328"/>
      <c r="D155" s="363"/>
      <c r="E155" s="112"/>
      <c r="F155" s="279"/>
      <c r="G155" s="97"/>
      <c r="H155" s="96"/>
      <c r="I155" s="99"/>
      <c r="J155" s="100"/>
      <c r="K155" s="279"/>
      <c r="L155" s="101"/>
      <c r="M155" s="170"/>
      <c r="N155" s="98"/>
      <c r="O155" s="102"/>
      <c r="P155" s="103"/>
      <c r="Q155" s="102"/>
      <c r="R155" s="104"/>
      <c r="S155" s="104"/>
      <c r="T155" s="147">
        <f>SUM(T156:T168)</f>
        <v>1039980</v>
      </c>
    </row>
    <row r="156" spans="2:20" ht="12.75">
      <c r="B156" s="155" t="s">
        <v>744</v>
      </c>
      <c r="C156" s="332">
        <f>DATE(96,2,16)</f>
        <v>35111</v>
      </c>
      <c r="D156" s="84" t="s">
        <v>207</v>
      </c>
      <c r="E156" s="11" t="s">
        <v>107</v>
      </c>
      <c r="F156" s="273" t="s">
        <v>31</v>
      </c>
      <c r="G156" s="68">
        <f>DATE(96,2,19)</f>
        <v>35114</v>
      </c>
      <c r="H156" s="6" t="s">
        <v>329</v>
      </c>
      <c r="I156" s="23" t="s">
        <v>85</v>
      </c>
      <c r="J156" s="76" t="s">
        <v>34</v>
      </c>
      <c r="K156" s="273" t="s">
        <v>104</v>
      </c>
      <c r="L156" s="84" t="s">
        <v>104</v>
      </c>
      <c r="M156" s="171" t="s">
        <v>207</v>
      </c>
      <c r="N156" s="8"/>
      <c r="O156" s="9" t="s">
        <v>283</v>
      </c>
      <c r="P156" s="70" t="s">
        <v>330</v>
      </c>
      <c r="Q156" s="9" t="s">
        <v>41</v>
      </c>
      <c r="R156" s="27">
        <v>100000</v>
      </c>
      <c r="S156" s="27"/>
      <c r="T156" s="38">
        <v>100000</v>
      </c>
    </row>
    <row r="157" spans="2:20" ht="12.75">
      <c r="B157" s="155" t="s">
        <v>745</v>
      </c>
      <c r="C157" s="332">
        <f>DATE(96,2,29)</f>
        <v>35124</v>
      </c>
      <c r="D157" s="84" t="s">
        <v>180</v>
      </c>
      <c r="E157" s="11" t="s">
        <v>181</v>
      </c>
      <c r="F157" s="273" t="s">
        <v>31</v>
      </c>
      <c r="G157" s="68">
        <f>DATE(95,10,5)</f>
        <v>34977</v>
      </c>
      <c r="H157" s="6" t="s">
        <v>331</v>
      </c>
      <c r="I157" s="23" t="s">
        <v>127</v>
      </c>
      <c r="J157" s="76" t="s">
        <v>34</v>
      </c>
      <c r="K157" s="273" t="s">
        <v>763</v>
      </c>
      <c r="L157" s="84" t="s">
        <v>332</v>
      </c>
      <c r="M157" s="175">
        <v>0.03</v>
      </c>
      <c r="N157" s="8"/>
      <c r="O157" s="9" t="s">
        <v>319</v>
      </c>
      <c r="P157" s="70" t="s">
        <v>320</v>
      </c>
      <c r="Q157" s="9" t="s">
        <v>183</v>
      </c>
      <c r="R157" s="27">
        <v>1700</v>
      </c>
      <c r="S157" s="27"/>
      <c r="T157" s="38">
        <v>340</v>
      </c>
    </row>
    <row r="158" spans="2:20" ht="12.75">
      <c r="B158" s="155" t="s">
        <v>746</v>
      </c>
      <c r="C158" s="332">
        <f>DATE(96,3,24)</f>
        <v>35148</v>
      </c>
      <c r="D158" s="84" t="s">
        <v>106</v>
      </c>
      <c r="E158" s="11" t="s">
        <v>107</v>
      </c>
      <c r="F158" s="273" t="s">
        <v>31</v>
      </c>
      <c r="G158" s="68">
        <f>DATE(96,3,27)</f>
        <v>35151</v>
      </c>
      <c r="H158" s="6" t="s">
        <v>333</v>
      </c>
      <c r="I158" s="23" t="s">
        <v>127</v>
      </c>
      <c r="J158" s="76" t="s">
        <v>34</v>
      </c>
      <c r="K158" s="273" t="s">
        <v>128</v>
      </c>
      <c r="L158" s="84" t="s">
        <v>128</v>
      </c>
      <c r="M158" s="175">
        <v>0.03</v>
      </c>
      <c r="N158" s="8"/>
      <c r="O158" s="9" t="s">
        <v>334</v>
      </c>
      <c r="P158" s="70" t="s">
        <v>172</v>
      </c>
      <c r="Q158" s="9" t="s">
        <v>112</v>
      </c>
      <c r="R158" s="27">
        <v>8427000</v>
      </c>
      <c r="S158" s="27"/>
      <c r="T158" s="38">
        <v>78910</v>
      </c>
    </row>
    <row r="159" spans="2:20" ht="12.75">
      <c r="B159" s="155" t="s">
        <v>747</v>
      </c>
      <c r="C159" s="332">
        <f>DATE(96,3,24)</f>
        <v>35148</v>
      </c>
      <c r="D159" s="84" t="s">
        <v>106</v>
      </c>
      <c r="E159" s="11" t="s">
        <v>107</v>
      </c>
      <c r="F159" s="273" t="s">
        <v>31</v>
      </c>
      <c r="G159" s="68">
        <f>DATE(96,3,27)</f>
        <v>35151</v>
      </c>
      <c r="H159" s="6" t="s">
        <v>335</v>
      </c>
      <c r="I159" s="23" t="s">
        <v>45</v>
      </c>
      <c r="J159" s="76" t="s">
        <v>34</v>
      </c>
      <c r="K159" s="273" t="s">
        <v>120</v>
      </c>
      <c r="L159" s="84" t="s">
        <v>36</v>
      </c>
      <c r="M159" s="175">
        <v>0.03</v>
      </c>
      <c r="N159" s="8"/>
      <c r="O159" s="9" t="s">
        <v>334</v>
      </c>
      <c r="P159" s="70" t="s">
        <v>172</v>
      </c>
      <c r="Q159" s="9" t="s">
        <v>112</v>
      </c>
      <c r="R159" s="27">
        <v>16624000</v>
      </c>
      <c r="S159" s="27"/>
      <c r="T159" s="38">
        <v>155670</v>
      </c>
    </row>
    <row r="160" spans="2:20" ht="12.75">
      <c r="B160" s="155" t="s">
        <v>347</v>
      </c>
      <c r="C160" s="332">
        <f>DATE(96,6,5)</f>
        <v>35221</v>
      </c>
      <c r="D160" s="84" t="s">
        <v>386</v>
      </c>
      <c r="E160" s="11" t="s">
        <v>216</v>
      </c>
      <c r="F160" s="273" t="s">
        <v>31</v>
      </c>
      <c r="G160" s="68">
        <f>DATE(96,8,13)</f>
        <v>35290</v>
      </c>
      <c r="H160" s="6" t="s">
        <v>344</v>
      </c>
      <c r="I160" s="23" t="s">
        <v>45</v>
      </c>
      <c r="J160" s="76" t="s">
        <v>34</v>
      </c>
      <c r="K160" s="273" t="s">
        <v>120</v>
      </c>
      <c r="L160" s="84" t="s">
        <v>36</v>
      </c>
      <c r="M160" s="172" t="s">
        <v>345</v>
      </c>
      <c r="N160" s="8"/>
      <c r="O160" s="9" t="s">
        <v>334</v>
      </c>
      <c r="P160" s="70" t="s">
        <v>346</v>
      </c>
      <c r="Q160" s="9" t="s">
        <v>220</v>
      </c>
      <c r="R160" s="27">
        <v>83000</v>
      </c>
      <c r="S160" s="27"/>
      <c r="T160" s="38">
        <v>54050</v>
      </c>
    </row>
    <row r="161" spans="2:20" ht="12.75">
      <c r="B161" s="155" t="s">
        <v>748</v>
      </c>
      <c r="C161" s="332">
        <f>DATE(96,10,18)</f>
        <v>35356</v>
      </c>
      <c r="D161" s="84" t="s">
        <v>180</v>
      </c>
      <c r="E161" s="11" t="s">
        <v>181</v>
      </c>
      <c r="F161" s="273" t="s">
        <v>31</v>
      </c>
      <c r="G161" s="72">
        <v>35062</v>
      </c>
      <c r="H161" s="6" t="s">
        <v>360</v>
      </c>
      <c r="I161" s="23" t="s">
        <v>186</v>
      </c>
      <c r="J161" s="76" t="s">
        <v>34</v>
      </c>
      <c r="K161" s="273" t="s">
        <v>187</v>
      </c>
      <c r="L161" s="84" t="s">
        <v>36</v>
      </c>
      <c r="M161" s="215">
        <v>0.034</v>
      </c>
      <c r="N161" s="8"/>
      <c r="O161" s="34" t="s">
        <v>447</v>
      </c>
      <c r="P161" s="89" t="s">
        <v>264</v>
      </c>
      <c r="Q161" s="9" t="s">
        <v>183</v>
      </c>
      <c r="R161" s="27">
        <v>34500</v>
      </c>
      <c r="S161" s="27"/>
      <c r="T161" s="39">
        <v>6290</v>
      </c>
    </row>
    <row r="162" spans="2:20" ht="12.75">
      <c r="B162" s="155" t="s">
        <v>748</v>
      </c>
      <c r="C162" s="332">
        <f>DATE(96,10,18)</f>
        <v>35356</v>
      </c>
      <c r="D162" s="84" t="s">
        <v>180</v>
      </c>
      <c r="E162" s="11" t="s">
        <v>181</v>
      </c>
      <c r="F162" s="273" t="s">
        <v>31</v>
      </c>
      <c r="G162" s="72">
        <v>35062</v>
      </c>
      <c r="H162" s="6" t="s">
        <v>361</v>
      </c>
      <c r="I162" s="23" t="s">
        <v>186</v>
      </c>
      <c r="J162" s="76" t="s">
        <v>34</v>
      </c>
      <c r="K162" s="273" t="s">
        <v>187</v>
      </c>
      <c r="L162" s="84" t="s">
        <v>36</v>
      </c>
      <c r="M162" s="215">
        <v>0.034</v>
      </c>
      <c r="N162" s="8"/>
      <c r="O162" s="34" t="s">
        <v>447</v>
      </c>
      <c r="P162" s="89" t="s">
        <v>264</v>
      </c>
      <c r="Q162" s="9" t="s">
        <v>183</v>
      </c>
      <c r="R162" s="27">
        <v>30500</v>
      </c>
      <c r="S162" s="27"/>
      <c r="T162" s="39">
        <v>6200</v>
      </c>
    </row>
    <row r="163" spans="2:20" ht="12.75">
      <c r="B163" s="155" t="s">
        <v>750</v>
      </c>
      <c r="C163" s="318">
        <v>35427</v>
      </c>
      <c r="D163" s="84" t="s">
        <v>106</v>
      </c>
      <c r="E163" s="11" t="s">
        <v>107</v>
      </c>
      <c r="F163" s="273" t="s">
        <v>31</v>
      </c>
      <c r="G163" s="68">
        <f>DATE(96,9,24)</f>
        <v>35332</v>
      </c>
      <c r="H163" s="6" t="s">
        <v>371</v>
      </c>
      <c r="I163" s="23" t="s">
        <v>45</v>
      </c>
      <c r="J163" s="76" t="s">
        <v>34</v>
      </c>
      <c r="K163" s="273" t="s">
        <v>120</v>
      </c>
      <c r="L163" s="84" t="s">
        <v>36</v>
      </c>
      <c r="M163" s="172" t="s">
        <v>369</v>
      </c>
      <c r="N163" s="8"/>
      <c r="O163" s="9" t="s">
        <v>77</v>
      </c>
      <c r="P163" s="70" t="s">
        <v>370</v>
      </c>
      <c r="Q163" s="9" t="s">
        <v>112</v>
      </c>
      <c r="R163" s="27">
        <v>16421000</v>
      </c>
      <c r="S163" s="27"/>
      <c r="T163" s="38">
        <v>142940</v>
      </c>
    </row>
    <row r="164" spans="2:20" ht="12.75">
      <c r="B164" s="155" t="s">
        <v>751</v>
      </c>
      <c r="C164" s="318">
        <v>35426</v>
      </c>
      <c r="D164" s="84" t="s">
        <v>106</v>
      </c>
      <c r="E164" s="11" t="s">
        <v>107</v>
      </c>
      <c r="F164" s="273" t="s">
        <v>31</v>
      </c>
      <c r="G164" s="68">
        <f>DATE(96,9,24)</f>
        <v>35332</v>
      </c>
      <c r="H164" s="6" t="s">
        <v>372</v>
      </c>
      <c r="I164" s="23" t="s">
        <v>127</v>
      </c>
      <c r="J164" s="76" t="s">
        <v>34</v>
      </c>
      <c r="K164" s="273" t="s">
        <v>247</v>
      </c>
      <c r="L164" s="84" t="s">
        <v>36</v>
      </c>
      <c r="M164" s="172" t="s">
        <v>373</v>
      </c>
      <c r="N164" s="8"/>
      <c r="O164" s="9" t="s">
        <v>77</v>
      </c>
      <c r="P164" s="70" t="s">
        <v>370</v>
      </c>
      <c r="Q164" s="9" t="s">
        <v>112</v>
      </c>
      <c r="R164" s="27">
        <v>12660000</v>
      </c>
      <c r="S164" s="27"/>
      <c r="T164" s="38">
        <v>110210</v>
      </c>
    </row>
    <row r="165" spans="2:20" ht="12.75">
      <c r="B165" s="155" t="s">
        <v>749</v>
      </c>
      <c r="C165" s="318">
        <v>35428</v>
      </c>
      <c r="D165" s="84" t="s">
        <v>106</v>
      </c>
      <c r="E165" s="11" t="s">
        <v>107</v>
      </c>
      <c r="F165" s="273" t="s">
        <v>31</v>
      </c>
      <c r="G165" s="68">
        <f>DATE(96,9,24)</f>
        <v>35332</v>
      </c>
      <c r="H165" s="6" t="s">
        <v>368</v>
      </c>
      <c r="I165" s="23" t="s">
        <v>98</v>
      </c>
      <c r="J165" s="76" t="s">
        <v>34</v>
      </c>
      <c r="K165" s="273" t="s">
        <v>201</v>
      </c>
      <c r="L165" s="84" t="s">
        <v>36</v>
      </c>
      <c r="M165" s="172" t="s">
        <v>369</v>
      </c>
      <c r="N165" s="8"/>
      <c r="O165" s="9" t="s">
        <v>77</v>
      </c>
      <c r="P165" s="70" t="s">
        <v>370</v>
      </c>
      <c r="Q165" s="9" t="s">
        <v>112</v>
      </c>
      <c r="R165" s="27">
        <v>33000000</v>
      </c>
      <c r="S165" s="27"/>
      <c r="T165" s="38">
        <v>287270</v>
      </c>
    </row>
    <row r="166" spans="2:20" ht="12.75">
      <c r="B166" s="163" t="s">
        <v>393</v>
      </c>
      <c r="C166" s="332">
        <v>35426</v>
      </c>
      <c r="D166" s="83" t="s">
        <v>386</v>
      </c>
      <c r="E166" s="33" t="s">
        <v>216</v>
      </c>
      <c r="F166" s="281" t="s">
        <v>31</v>
      </c>
      <c r="G166" s="71" t="s">
        <v>151</v>
      </c>
      <c r="H166" s="8" t="s">
        <v>391</v>
      </c>
      <c r="I166" s="25" t="s">
        <v>127</v>
      </c>
      <c r="J166" s="76" t="s">
        <v>34</v>
      </c>
      <c r="K166" s="281" t="s">
        <v>217</v>
      </c>
      <c r="L166" s="83" t="s">
        <v>36</v>
      </c>
      <c r="M166" s="176" t="s">
        <v>392</v>
      </c>
      <c r="N166" s="8"/>
      <c r="O166" s="34" t="s">
        <v>66</v>
      </c>
      <c r="P166" s="89" t="s">
        <v>172</v>
      </c>
      <c r="Q166" s="34" t="s">
        <v>220</v>
      </c>
      <c r="R166" s="27">
        <v>47966</v>
      </c>
      <c r="S166" s="27"/>
      <c r="T166" s="38">
        <v>30890</v>
      </c>
    </row>
    <row r="167" spans="2:20" ht="12.75">
      <c r="B167" s="155" t="s">
        <v>752</v>
      </c>
      <c r="C167" s="318">
        <v>35429</v>
      </c>
      <c r="D167" s="84" t="s">
        <v>106</v>
      </c>
      <c r="E167" s="11" t="s">
        <v>107</v>
      </c>
      <c r="F167" s="273" t="s">
        <v>31</v>
      </c>
      <c r="G167" s="68">
        <f>DATE(96,9,24)</f>
        <v>35332</v>
      </c>
      <c r="H167" s="6" t="s">
        <v>374</v>
      </c>
      <c r="I167" s="23" t="s">
        <v>33</v>
      </c>
      <c r="J167" s="76" t="s">
        <v>34</v>
      </c>
      <c r="K167" s="273" t="s">
        <v>65</v>
      </c>
      <c r="L167" s="84" t="s">
        <v>36</v>
      </c>
      <c r="M167" s="23" t="s">
        <v>375</v>
      </c>
      <c r="N167" s="8"/>
      <c r="O167" s="9" t="s">
        <v>352</v>
      </c>
      <c r="P167" s="70" t="s">
        <v>376</v>
      </c>
      <c r="Q167" s="9" t="s">
        <v>112</v>
      </c>
      <c r="R167" s="27">
        <v>6723000</v>
      </c>
      <c r="S167" s="27"/>
      <c r="T167" s="38">
        <v>58520</v>
      </c>
    </row>
    <row r="168" spans="2:20" ht="12.75">
      <c r="B168" s="163" t="s">
        <v>390</v>
      </c>
      <c r="C168" s="318">
        <v>35427</v>
      </c>
      <c r="D168" s="83" t="s">
        <v>386</v>
      </c>
      <c r="E168" s="33" t="s">
        <v>216</v>
      </c>
      <c r="F168" s="281" t="s">
        <v>387</v>
      </c>
      <c r="G168" s="72">
        <v>35474</v>
      </c>
      <c r="H168" s="8" t="s">
        <v>388</v>
      </c>
      <c r="I168" s="25" t="s">
        <v>127</v>
      </c>
      <c r="J168" s="76" t="s">
        <v>34</v>
      </c>
      <c r="K168" s="281" t="s">
        <v>389</v>
      </c>
      <c r="L168" s="83" t="s">
        <v>36</v>
      </c>
      <c r="M168" s="174">
        <v>0.0075</v>
      </c>
      <c r="N168" s="8"/>
      <c r="O168" s="34" t="s">
        <v>66</v>
      </c>
      <c r="P168" s="89" t="s">
        <v>218</v>
      </c>
      <c r="Q168" s="34" t="s">
        <v>220</v>
      </c>
      <c r="R168" s="31">
        <v>13500</v>
      </c>
      <c r="S168" s="31"/>
      <c r="T168" s="39">
        <v>8690</v>
      </c>
    </row>
    <row r="169" spans="2:20" ht="12.75">
      <c r="B169" s="155"/>
      <c r="C169" s="318"/>
      <c r="D169" s="84"/>
      <c r="E169" s="11"/>
      <c r="F169" s="273"/>
      <c r="G169" s="68"/>
      <c r="H169" s="6"/>
      <c r="I169" s="23"/>
      <c r="J169" s="76"/>
      <c r="K169" s="273"/>
      <c r="L169" s="84"/>
      <c r="M169" s="172"/>
      <c r="N169" s="8"/>
      <c r="O169" s="9"/>
      <c r="P169" s="70"/>
      <c r="Q169" s="9"/>
      <c r="R169" s="27"/>
      <c r="S169" s="27"/>
      <c r="T169" s="38"/>
    </row>
    <row r="170" spans="2:20" ht="12.75">
      <c r="B170" s="154" t="s">
        <v>805</v>
      </c>
      <c r="C170" s="318"/>
      <c r="D170" s="84"/>
      <c r="E170" s="11"/>
      <c r="F170" s="273"/>
      <c r="G170" s="68"/>
      <c r="H170" s="6"/>
      <c r="I170" s="23"/>
      <c r="J170" s="76"/>
      <c r="K170" s="273"/>
      <c r="L170" s="84"/>
      <c r="M170" s="172"/>
      <c r="N170" s="8"/>
      <c r="O170" s="9"/>
      <c r="P170" s="70"/>
      <c r="Q170" s="9"/>
      <c r="R170" s="27"/>
      <c r="S170" s="27"/>
      <c r="T170" s="147">
        <f>SUM(T171:T180)</f>
        <v>750030</v>
      </c>
    </row>
    <row r="171" spans="2:20" ht="12.75">
      <c r="B171" s="155" t="s">
        <v>757</v>
      </c>
      <c r="C171" s="332">
        <f>DATE(96,4,10)</f>
        <v>35165</v>
      </c>
      <c r="D171" s="84" t="s">
        <v>339</v>
      </c>
      <c r="E171" s="51" t="s">
        <v>719</v>
      </c>
      <c r="F171" s="273" t="s">
        <v>634</v>
      </c>
      <c r="G171" s="68">
        <f>DATE(96,6,21)</f>
        <v>35237</v>
      </c>
      <c r="H171" s="6" t="s">
        <v>340</v>
      </c>
      <c r="I171" s="23" t="s">
        <v>33</v>
      </c>
      <c r="J171" s="76" t="s">
        <v>34</v>
      </c>
      <c r="K171" s="273" t="s">
        <v>65</v>
      </c>
      <c r="L171" s="84" t="s">
        <v>36</v>
      </c>
      <c r="M171" s="172" t="s">
        <v>339</v>
      </c>
      <c r="N171" s="8"/>
      <c r="O171" s="9" t="s">
        <v>76</v>
      </c>
      <c r="P171" s="70" t="s">
        <v>341</v>
      </c>
      <c r="Q171" s="9" t="s">
        <v>177</v>
      </c>
      <c r="R171" s="27">
        <v>8250</v>
      </c>
      <c r="S171" s="27"/>
      <c r="T171" s="38">
        <v>12030</v>
      </c>
    </row>
    <row r="172" spans="2:20" ht="12.75">
      <c r="B172" s="155" t="s">
        <v>756</v>
      </c>
      <c r="C172" s="332">
        <f>DATE(96,4,19)</f>
        <v>35174</v>
      </c>
      <c r="D172" s="84" t="s">
        <v>860</v>
      </c>
      <c r="E172" s="51" t="s">
        <v>719</v>
      </c>
      <c r="F172" s="273" t="s">
        <v>634</v>
      </c>
      <c r="G172" s="68">
        <f>DATE(96,5,8)</f>
        <v>35193</v>
      </c>
      <c r="H172" s="6" t="s">
        <v>338</v>
      </c>
      <c r="I172" s="23" t="s">
        <v>33</v>
      </c>
      <c r="J172" s="76" t="s">
        <v>34</v>
      </c>
      <c r="K172" s="273" t="s">
        <v>65</v>
      </c>
      <c r="L172" s="84" t="s">
        <v>36</v>
      </c>
      <c r="M172" s="172" t="s">
        <v>86</v>
      </c>
      <c r="N172" s="8"/>
      <c r="O172" s="9" t="s">
        <v>283</v>
      </c>
      <c r="P172" s="70" t="s">
        <v>295</v>
      </c>
      <c r="Q172" s="9" t="s">
        <v>41</v>
      </c>
      <c r="R172" s="27">
        <v>21000</v>
      </c>
      <c r="S172" s="27"/>
      <c r="T172" s="38">
        <v>21000</v>
      </c>
    </row>
    <row r="173" spans="2:20" ht="12.75">
      <c r="B173" s="155" t="s">
        <v>755</v>
      </c>
      <c r="C173" s="332">
        <f>DATE(96,4,26)</f>
        <v>35181</v>
      </c>
      <c r="D173" s="84" t="s">
        <v>137</v>
      </c>
      <c r="E173" s="51" t="s">
        <v>719</v>
      </c>
      <c r="F173" s="273" t="s">
        <v>634</v>
      </c>
      <c r="G173" s="68">
        <f>DATE(96,4,19)</f>
        <v>35174</v>
      </c>
      <c r="H173" s="6" t="s">
        <v>336</v>
      </c>
      <c r="I173" s="23" t="s">
        <v>45</v>
      </c>
      <c r="J173" s="76" t="s">
        <v>34</v>
      </c>
      <c r="K173" s="273" t="s">
        <v>120</v>
      </c>
      <c r="L173" s="84" t="s">
        <v>36</v>
      </c>
      <c r="M173" s="171" t="s">
        <v>243</v>
      </c>
      <c r="N173" s="8"/>
      <c r="O173" s="9" t="s">
        <v>283</v>
      </c>
      <c r="P173" s="70" t="s">
        <v>337</v>
      </c>
      <c r="Q173" s="9" t="s">
        <v>41</v>
      </c>
      <c r="R173" s="27">
        <v>80000</v>
      </c>
      <c r="S173" s="27"/>
      <c r="T173" s="38">
        <v>80000</v>
      </c>
    </row>
    <row r="174" spans="2:20" ht="12.75">
      <c r="B174" s="155" t="s">
        <v>343</v>
      </c>
      <c r="C174" s="332">
        <f>DATE(96,7,11)</f>
        <v>35257</v>
      </c>
      <c r="D174" s="84" t="s">
        <v>861</v>
      </c>
      <c r="E174" s="51" t="s">
        <v>719</v>
      </c>
      <c r="F174" s="273" t="s">
        <v>634</v>
      </c>
      <c r="G174" s="68">
        <f>DATE(96,7,11)</f>
        <v>35257</v>
      </c>
      <c r="H174" s="6" t="s">
        <v>342</v>
      </c>
      <c r="I174" s="144" t="s">
        <v>776</v>
      </c>
      <c r="J174" s="76" t="s">
        <v>34</v>
      </c>
      <c r="K174" s="273" t="s">
        <v>224</v>
      </c>
      <c r="L174" s="84" t="s">
        <v>36</v>
      </c>
      <c r="M174" s="172" t="s">
        <v>86</v>
      </c>
      <c r="N174" s="8"/>
      <c r="O174" s="9" t="s">
        <v>283</v>
      </c>
      <c r="P174" s="70" t="s">
        <v>310</v>
      </c>
      <c r="Q174" s="9" t="s">
        <v>41</v>
      </c>
      <c r="R174" s="27">
        <v>150000</v>
      </c>
      <c r="S174" s="27"/>
      <c r="T174" s="38">
        <v>150000</v>
      </c>
    </row>
    <row r="175" spans="2:20" ht="12.75">
      <c r="B175" s="155" t="s">
        <v>349</v>
      </c>
      <c r="C175" s="332">
        <f>DATE(96,8,20)</f>
        <v>35297</v>
      </c>
      <c r="D175" s="84" t="s">
        <v>862</v>
      </c>
      <c r="E175" s="51" t="s">
        <v>719</v>
      </c>
      <c r="F175" s="273" t="s">
        <v>634</v>
      </c>
      <c r="G175" s="68">
        <f>DATE(96,8,21)</f>
        <v>35298</v>
      </c>
      <c r="H175" s="6" t="s">
        <v>342</v>
      </c>
      <c r="I175" s="144" t="s">
        <v>776</v>
      </c>
      <c r="J175" s="76" t="s">
        <v>34</v>
      </c>
      <c r="K175" s="273" t="s">
        <v>224</v>
      </c>
      <c r="L175" s="84" t="s">
        <v>36</v>
      </c>
      <c r="M175" s="172" t="s">
        <v>157</v>
      </c>
      <c r="N175" s="8"/>
      <c r="O175" s="9" t="s">
        <v>38</v>
      </c>
      <c r="P175" s="70" t="s">
        <v>348</v>
      </c>
      <c r="Q175" s="9" t="s">
        <v>41</v>
      </c>
      <c r="R175" s="27">
        <v>150000</v>
      </c>
      <c r="S175" s="27"/>
      <c r="T175" s="38">
        <v>150000</v>
      </c>
    </row>
    <row r="176" spans="2:20" ht="12.75">
      <c r="B176" s="155" t="s">
        <v>356</v>
      </c>
      <c r="C176" s="332">
        <f>DATE(96,8,21)</f>
        <v>35298</v>
      </c>
      <c r="D176" s="84" t="s">
        <v>863</v>
      </c>
      <c r="E176" s="51" t="s">
        <v>719</v>
      </c>
      <c r="F176" s="273" t="s">
        <v>634</v>
      </c>
      <c r="G176" s="73">
        <v>35376</v>
      </c>
      <c r="H176" s="6" t="s">
        <v>353</v>
      </c>
      <c r="I176" s="23" t="s">
        <v>33</v>
      </c>
      <c r="J176" s="76" t="s">
        <v>34</v>
      </c>
      <c r="K176" s="273" t="s">
        <v>65</v>
      </c>
      <c r="L176" s="84" t="s">
        <v>36</v>
      </c>
      <c r="M176" s="172" t="s">
        <v>157</v>
      </c>
      <c r="N176" s="8"/>
      <c r="O176" s="9" t="s">
        <v>354</v>
      </c>
      <c r="P176" s="70" t="s">
        <v>355</v>
      </c>
      <c r="Q176" s="9" t="s">
        <v>41</v>
      </c>
      <c r="R176" s="27">
        <v>85000</v>
      </c>
      <c r="S176" s="27"/>
      <c r="T176" s="38">
        <v>85000</v>
      </c>
    </row>
    <row r="177" spans="2:20" ht="12.75">
      <c r="B177" s="155" t="s">
        <v>359</v>
      </c>
      <c r="C177" s="332">
        <f>DATE(96,9,25)</f>
        <v>35333</v>
      </c>
      <c r="D177" s="84" t="s">
        <v>864</v>
      </c>
      <c r="E177" s="51" t="s">
        <v>719</v>
      </c>
      <c r="F177" s="273" t="s">
        <v>634</v>
      </c>
      <c r="G177" s="68">
        <f>DATE(96,9,26)</f>
        <v>35334</v>
      </c>
      <c r="H177" s="6" t="s">
        <v>357</v>
      </c>
      <c r="I177" s="23" t="s">
        <v>314</v>
      </c>
      <c r="J177" s="76" t="s">
        <v>34</v>
      </c>
      <c r="K177" s="273" t="s">
        <v>315</v>
      </c>
      <c r="L177" s="84" t="s">
        <v>36</v>
      </c>
      <c r="M177" s="172" t="s">
        <v>86</v>
      </c>
      <c r="N177" s="8"/>
      <c r="O177" s="9" t="s">
        <v>358</v>
      </c>
      <c r="P177" s="70" t="s">
        <v>197</v>
      </c>
      <c r="Q177" s="9" t="s">
        <v>41</v>
      </c>
      <c r="R177" s="27">
        <v>500</v>
      </c>
      <c r="S177" s="27"/>
      <c r="T177" s="38">
        <v>500</v>
      </c>
    </row>
    <row r="178" spans="2:20" ht="12.75">
      <c r="B178" s="155" t="s">
        <v>367</v>
      </c>
      <c r="C178" s="332">
        <v>35375</v>
      </c>
      <c r="D178" s="84" t="s">
        <v>865</v>
      </c>
      <c r="E178" s="51" t="s">
        <v>719</v>
      </c>
      <c r="F178" s="273" t="s">
        <v>634</v>
      </c>
      <c r="G178" s="72">
        <v>35382</v>
      </c>
      <c r="H178" s="6" t="s">
        <v>362</v>
      </c>
      <c r="I178" s="23" t="s">
        <v>363</v>
      </c>
      <c r="J178" s="76" t="s">
        <v>34</v>
      </c>
      <c r="K178" s="273" t="s">
        <v>364</v>
      </c>
      <c r="L178" s="84" t="s">
        <v>36</v>
      </c>
      <c r="M178" s="172" t="s">
        <v>86</v>
      </c>
      <c r="N178" s="8"/>
      <c r="O178" s="34" t="s">
        <v>473</v>
      </c>
      <c r="P178" s="89" t="s">
        <v>366</v>
      </c>
      <c r="Q178" s="9" t="s">
        <v>41</v>
      </c>
      <c r="R178" s="27">
        <v>1500</v>
      </c>
      <c r="S178" s="27"/>
      <c r="T178" s="39">
        <v>1500</v>
      </c>
    </row>
    <row r="179" spans="2:20" ht="12.75">
      <c r="B179" s="439" t="s">
        <v>758</v>
      </c>
      <c r="C179" s="318">
        <v>35407</v>
      </c>
      <c r="D179" s="83" t="s">
        <v>866</v>
      </c>
      <c r="E179" s="51" t="s">
        <v>719</v>
      </c>
      <c r="F179" s="273" t="s">
        <v>634</v>
      </c>
      <c r="G179" s="72">
        <v>35408</v>
      </c>
      <c r="H179" s="8" t="s">
        <v>377</v>
      </c>
      <c r="I179" s="25" t="s">
        <v>378</v>
      </c>
      <c r="J179" s="76" t="s">
        <v>34</v>
      </c>
      <c r="K179" s="281" t="s">
        <v>315</v>
      </c>
      <c r="L179" s="83" t="s">
        <v>36</v>
      </c>
      <c r="M179" s="176" t="s">
        <v>86</v>
      </c>
      <c r="N179" s="8"/>
      <c r="O179" s="34" t="s">
        <v>366</v>
      </c>
      <c r="P179" s="89" t="s">
        <v>172</v>
      </c>
      <c r="Q179" s="34" t="s">
        <v>41</v>
      </c>
      <c r="R179" s="31">
        <v>100000</v>
      </c>
      <c r="S179" s="31"/>
      <c r="T179" s="39">
        <v>100000</v>
      </c>
    </row>
    <row r="180" spans="2:21" ht="12.75">
      <c r="B180" s="163" t="s">
        <v>385</v>
      </c>
      <c r="C180" s="318">
        <v>35427</v>
      </c>
      <c r="D180" s="83" t="s">
        <v>867</v>
      </c>
      <c r="E180" s="51" t="s">
        <v>719</v>
      </c>
      <c r="F180" s="273" t="s">
        <v>634</v>
      </c>
      <c r="G180" s="72">
        <v>35430</v>
      </c>
      <c r="H180" s="8" t="s">
        <v>382</v>
      </c>
      <c r="I180" s="25" t="s">
        <v>85</v>
      </c>
      <c r="J180" s="76" t="s">
        <v>34</v>
      </c>
      <c r="K180" s="281" t="s">
        <v>36</v>
      </c>
      <c r="L180" s="83" t="s">
        <v>36</v>
      </c>
      <c r="M180" s="176" t="s">
        <v>86</v>
      </c>
      <c r="N180" s="8" t="s">
        <v>11</v>
      </c>
      <c r="O180" s="34" t="s">
        <v>383</v>
      </c>
      <c r="P180" s="89" t="s">
        <v>384</v>
      </c>
      <c r="Q180" s="49" t="s">
        <v>41</v>
      </c>
      <c r="R180" s="31">
        <v>150000</v>
      </c>
      <c r="S180" s="31"/>
      <c r="T180" s="39">
        <v>150000</v>
      </c>
      <c r="U180" t="s">
        <v>1032</v>
      </c>
    </row>
    <row r="181" spans="2:20" ht="12.75">
      <c r="B181" s="163"/>
      <c r="C181" s="318"/>
      <c r="D181" s="83"/>
      <c r="E181" s="51"/>
      <c r="F181" s="273"/>
      <c r="G181" s="72"/>
      <c r="H181" s="8"/>
      <c r="I181" s="25"/>
      <c r="J181" s="76"/>
      <c r="K181" s="281"/>
      <c r="L181" s="83"/>
      <c r="M181" s="176"/>
      <c r="N181" s="8"/>
      <c r="O181" s="34"/>
      <c r="P181" s="89"/>
      <c r="Q181" s="49"/>
      <c r="R181" s="31"/>
      <c r="S181" s="31"/>
      <c r="T181" s="39"/>
    </row>
    <row r="182" spans="2:20" ht="12.75">
      <c r="B182" s="154" t="s">
        <v>804</v>
      </c>
      <c r="C182" s="318"/>
      <c r="D182" s="83"/>
      <c r="E182" s="51"/>
      <c r="F182" s="273"/>
      <c r="G182" s="72"/>
      <c r="H182" s="8"/>
      <c r="I182" s="25"/>
      <c r="J182" s="76"/>
      <c r="K182" s="281"/>
      <c r="L182" s="83"/>
      <c r="M182" s="176"/>
      <c r="N182" s="8"/>
      <c r="O182" s="34"/>
      <c r="P182" s="89"/>
      <c r="Q182" s="49"/>
      <c r="R182" s="31"/>
      <c r="S182" s="31"/>
      <c r="T182" s="148">
        <f>SUM(T183:T184)</f>
        <v>16299</v>
      </c>
    </row>
    <row r="183" spans="2:20" ht="12.75">
      <c r="B183" s="157" t="s">
        <v>753</v>
      </c>
      <c r="C183" s="332">
        <f>DATE(96,8,25)</f>
        <v>35302</v>
      </c>
      <c r="D183" s="84" t="s">
        <v>350</v>
      </c>
      <c r="E183" s="11" t="s">
        <v>63</v>
      </c>
      <c r="F183" s="273" t="s">
        <v>706</v>
      </c>
      <c r="G183" s="68">
        <f>DATE(95,12,29)</f>
        <v>35062</v>
      </c>
      <c r="H183" s="6" t="s">
        <v>351</v>
      </c>
      <c r="I183" s="23" t="s">
        <v>446</v>
      </c>
      <c r="J183" s="76" t="s">
        <v>34</v>
      </c>
      <c r="K183" s="273" t="s">
        <v>247</v>
      </c>
      <c r="L183" s="122" t="s">
        <v>36</v>
      </c>
      <c r="M183" s="171">
        <v>0</v>
      </c>
      <c r="N183" s="6" t="s">
        <v>11</v>
      </c>
      <c r="O183" s="9" t="s">
        <v>38</v>
      </c>
      <c r="P183" s="70" t="s">
        <v>352</v>
      </c>
      <c r="Q183" s="9" t="s">
        <v>41</v>
      </c>
      <c r="R183" s="27">
        <v>9999</v>
      </c>
      <c r="S183" s="27"/>
      <c r="T183" s="38">
        <v>9999</v>
      </c>
    </row>
    <row r="184" spans="2:20" ht="13.5" thickBot="1">
      <c r="B184" s="454" t="s">
        <v>754</v>
      </c>
      <c r="C184" s="322">
        <v>35415</v>
      </c>
      <c r="D184" s="86" t="s">
        <v>379</v>
      </c>
      <c r="E184" s="14" t="s">
        <v>63</v>
      </c>
      <c r="F184" s="274" t="s">
        <v>706</v>
      </c>
      <c r="G184" s="246">
        <v>35185</v>
      </c>
      <c r="H184" s="4" t="s">
        <v>380</v>
      </c>
      <c r="I184" s="26" t="s">
        <v>446</v>
      </c>
      <c r="J184" s="77" t="s">
        <v>34</v>
      </c>
      <c r="K184" s="283" t="s">
        <v>247</v>
      </c>
      <c r="L184" s="86" t="s">
        <v>36</v>
      </c>
      <c r="M184" s="173">
        <v>0</v>
      </c>
      <c r="N184" s="4"/>
      <c r="O184" s="16" t="s">
        <v>381</v>
      </c>
      <c r="P184" s="92" t="s">
        <v>66</v>
      </c>
      <c r="Q184" s="16" t="s">
        <v>41</v>
      </c>
      <c r="R184" s="29">
        <v>6300</v>
      </c>
      <c r="S184" s="29"/>
      <c r="T184" s="247">
        <v>6300</v>
      </c>
    </row>
    <row r="185" spans="2:20" s="94" customFormat="1" ht="18.75" thickTop="1">
      <c r="B185" s="165">
        <v>1997</v>
      </c>
      <c r="C185" s="331"/>
      <c r="D185" s="369"/>
      <c r="E185" s="113"/>
      <c r="F185" s="282"/>
      <c r="G185" s="97"/>
      <c r="H185" s="98"/>
      <c r="I185" s="114"/>
      <c r="J185" s="100"/>
      <c r="K185" s="282"/>
      <c r="L185" s="115"/>
      <c r="M185" s="178"/>
      <c r="N185" s="98"/>
      <c r="O185" s="116"/>
      <c r="P185" s="117"/>
      <c r="Q185" s="116"/>
      <c r="R185" s="104"/>
      <c r="S185" s="104"/>
      <c r="T185" s="93">
        <f>+T186+T198+T215</f>
        <v>1707527</v>
      </c>
    </row>
    <row r="186" spans="2:20" ht="12.75">
      <c r="B186" s="154" t="s">
        <v>803</v>
      </c>
      <c r="C186" s="341"/>
      <c r="D186" s="83"/>
      <c r="E186" s="51"/>
      <c r="F186" s="273"/>
      <c r="G186" s="72"/>
      <c r="H186" s="8"/>
      <c r="I186" s="25"/>
      <c r="J186" s="76"/>
      <c r="K186" s="281"/>
      <c r="L186" s="83"/>
      <c r="M186" s="176"/>
      <c r="N186" s="8"/>
      <c r="O186" s="34"/>
      <c r="P186" s="89"/>
      <c r="Q186" s="49"/>
      <c r="R186" s="31"/>
      <c r="S186" s="31"/>
      <c r="T186" s="148">
        <f>SUM(T187:T196)</f>
        <v>486030</v>
      </c>
    </row>
    <row r="187" spans="2:20" ht="12.75">
      <c r="B187" s="163" t="s">
        <v>461</v>
      </c>
      <c r="C187" s="318">
        <v>35805</v>
      </c>
      <c r="D187" s="83" t="s">
        <v>386</v>
      </c>
      <c r="E187" s="8" t="s">
        <v>216</v>
      </c>
      <c r="F187" s="281" t="s">
        <v>31</v>
      </c>
      <c r="G187" s="121" t="s">
        <v>151</v>
      </c>
      <c r="H187" s="8" t="s">
        <v>459</v>
      </c>
      <c r="I187" s="25" t="s">
        <v>378</v>
      </c>
      <c r="J187" s="76" t="s">
        <v>34</v>
      </c>
      <c r="K187" s="281" t="s">
        <v>460</v>
      </c>
      <c r="L187" s="83" t="s">
        <v>36</v>
      </c>
      <c r="M187" s="174">
        <v>0.0075</v>
      </c>
      <c r="N187" s="8"/>
      <c r="O187" s="34" t="s">
        <v>66</v>
      </c>
      <c r="P187" s="89" t="s">
        <v>218</v>
      </c>
      <c r="Q187" s="34" t="s">
        <v>220</v>
      </c>
      <c r="R187" s="31">
        <v>15000</v>
      </c>
      <c r="S187" s="31"/>
      <c r="T187" s="39">
        <v>8390</v>
      </c>
    </row>
    <row r="188" spans="2:20" ht="12.75">
      <c r="B188" s="163" t="s">
        <v>409</v>
      </c>
      <c r="C188" s="318">
        <v>35488</v>
      </c>
      <c r="D188" s="83" t="s">
        <v>207</v>
      </c>
      <c r="E188" s="33" t="s">
        <v>107</v>
      </c>
      <c r="F188" s="281" t="s">
        <v>31</v>
      </c>
      <c r="G188" s="72">
        <v>35489</v>
      </c>
      <c r="H188" s="8" t="s">
        <v>947</v>
      </c>
      <c r="I188" s="25" t="s">
        <v>85</v>
      </c>
      <c r="J188" s="76" t="s">
        <v>34</v>
      </c>
      <c r="K188" s="281" t="s">
        <v>36</v>
      </c>
      <c r="L188" s="83" t="s">
        <v>36</v>
      </c>
      <c r="M188" s="176" t="s">
        <v>963</v>
      </c>
      <c r="N188" s="8"/>
      <c r="O188" s="34" t="s">
        <v>408</v>
      </c>
      <c r="P188" s="89" t="s">
        <v>330</v>
      </c>
      <c r="Q188" s="34" t="s">
        <v>41</v>
      </c>
      <c r="R188" s="32">
        <v>38000</v>
      </c>
      <c r="S188" s="32"/>
      <c r="T188" s="41">
        <v>38000</v>
      </c>
    </row>
    <row r="189" spans="2:20" ht="12.75">
      <c r="B189" s="163" t="s">
        <v>410</v>
      </c>
      <c r="C189" s="318">
        <v>35488</v>
      </c>
      <c r="D189" s="83" t="s">
        <v>207</v>
      </c>
      <c r="E189" s="33" t="s">
        <v>107</v>
      </c>
      <c r="F189" s="281" t="s">
        <v>31</v>
      </c>
      <c r="G189" s="72">
        <v>35489</v>
      </c>
      <c r="H189" s="8" t="s">
        <v>932</v>
      </c>
      <c r="I189" s="25" t="s">
        <v>85</v>
      </c>
      <c r="J189" s="76" t="s">
        <v>34</v>
      </c>
      <c r="K189" s="281" t="s">
        <v>36</v>
      </c>
      <c r="L189" s="83" t="s">
        <v>36</v>
      </c>
      <c r="M189" s="176" t="s">
        <v>963</v>
      </c>
      <c r="N189" s="8"/>
      <c r="O189" s="34" t="s">
        <v>366</v>
      </c>
      <c r="P189" s="89" t="s">
        <v>406</v>
      </c>
      <c r="Q189" s="34" t="s">
        <v>41</v>
      </c>
      <c r="R189" s="32">
        <v>80000</v>
      </c>
      <c r="S189" s="32"/>
      <c r="T189" s="41">
        <v>80000</v>
      </c>
    </row>
    <row r="190" spans="2:20" ht="12.75">
      <c r="B190" s="163" t="s">
        <v>429</v>
      </c>
      <c r="C190" s="318">
        <v>35745</v>
      </c>
      <c r="D190" s="83" t="s">
        <v>106</v>
      </c>
      <c r="E190" s="8" t="s">
        <v>107</v>
      </c>
      <c r="F190" s="281" t="s">
        <v>31</v>
      </c>
      <c r="G190" s="72">
        <v>35746</v>
      </c>
      <c r="H190" s="8" t="s">
        <v>425</v>
      </c>
      <c r="I190" s="25" t="s">
        <v>98</v>
      </c>
      <c r="J190" s="76" t="s">
        <v>34</v>
      </c>
      <c r="K190" s="281" t="s">
        <v>426</v>
      </c>
      <c r="L190" s="83" t="s">
        <v>36</v>
      </c>
      <c r="M190" s="176" t="s">
        <v>427</v>
      </c>
      <c r="N190" s="8"/>
      <c r="O190" s="34" t="s">
        <v>419</v>
      </c>
      <c r="P190" s="89" t="s">
        <v>428</v>
      </c>
      <c r="Q190" s="34" t="s">
        <v>112</v>
      </c>
      <c r="R190" s="31">
        <v>10140000</v>
      </c>
      <c r="S190" s="31"/>
      <c r="T190" s="39">
        <v>81630</v>
      </c>
    </row>
    <row r="191" spans="2:20" ht="12.75">
      <c r="B191" s="163" t="s">
        <v>432</v>
      </c>
      <c r="C191" s="318">
        <v>35745</v>
      </c>
      <c r="D191" s="83" t="s">
        <v>106</v>
      </c>
      <c r="E191" s="8" t="s">
        <v>107</v>
      </c>
      <c r="F191" s="281" t="s">
        <v>31</v>
      </c>
      <c r="G191" s="72">
        <v>35746</v>
      </c>
      <c r="H191" s="8" t="s">
        <v>430</v>
      </c>
      <c r="I191" s="25" t="s">
        <v>127</v>
      </c>
      <c r="J191" s="76" t="s">
        <v>34</v>
      </c>
      <c r="K191" s="281" t="s">
        <v>128</v>
      </c>
      <c r="L191" s="83" t="s">
        <v>36</v>
      </c>
      <c r="M191" s="176" t="s">
        <v>431</v>
      </c>
      <c r="N191" s="8"/>
      <c r="O191" s="34" t="s">
        <v>419</v>
      </c>
      <c r="P191" s="89" t="s">
        <v>428</v>
      </c>
      <c r="Q191" s="34" t="s">
        <v>112</v>
      </c>
      <c r="R191" s="31">
        <v>11640000</v>
      </c>
      <c r="S191" s="31"/>
      <c r="T191" s="39">
        <v>93700</v>
      </c>
    </row>
    <row r="192" spans="2:20" ht="12.75">
      <c r="B192" s="163" t="s">
        <v>434</v>
      </c>
      <c r="C192" s="318">
        <v>35745</v>
      </c>
      <c r="D192" s="83" t="s">
        <v>106</v>
      </c>
      <c r="E192" s="8" t="s">
        <v>107</v>
      </c>
      <c r="F192" s="281" t="s">
        <v>31</v>
      </c>
      <c r="G192" s="72">
        <v>35746</v>
      </c>
      <c r="H192" s="8" t="s">
        <v>964</v>
      </c>
      <c r="I192" s="145" t="s">
        <v>776</v>
      </c>
      <c r="J192" s="76" t="s">
        <v>34</v>
      </c>
      <c r="K192" s="281" t="s">
        <v>224</v>
      </c>
      <c r="L192" s="83" t="s">
        <v>36</v>
      </c>
      <c r="M192" s="176" t="s">
        <v>433</v>
      </c>
      <c r="N192" s="8"/>
      <c r="O192" s="34" t="s">
        <v>419</v>
      </c>
      <c r="P192" s="89" t="s">
        <v>428</v>
      </c>
      <c r="Q192" s="34" t="s">
        <v>112</v>
      </c>
      <c r="R192" s="31">
        <v>5976000</v>
      </c>
      <c r="S192" s="31"/>
      <c r="T192" s="39">
        <v>48110</v>
      </c>
    </row>
    <row r="193" spans="2:20" ht="12.75">
      <c r="B193" s="163" t="s">
        <v>435</v>
      </c>
      <c r="C193" s="318">
        <v>35745</v>
      </c>
      <c r="D193" s="83" t="s">
        <v>106</v>
      </c>
      <c r="E193" s="8" t="s">
        <v>107</v>
      </c>
      <c r="F193" s="281" t="s">
        <v>31</v>
      </c>
      <c r="G193" s="72">
        <v>35746</v>
      </c>
      <c r="H193" s="8" t="s">
        <v>651</v>
      </c>
      <c r="I193" s="25" t="s">
        <v>33</v>
      </c>
      <c r="J193" s="76" t="s">
        <v>34</v>
      </c>
      <c r="K193" s="281" t="s">
        <v>65</v>
      </c>
      <c r="L193" s="83" t="s">
        <v>36</v>
      </c>
      <c r="M193" s="176" t="s">
        <v>431</v>
      </c>
      <c r="N193" s="8"/>
      <c r="O193" s="34" t="s">
        <v>419</v>
      </c>
      <c r="P193" s="89" t="s">
        <v>428</v>
      </c>
      <c r="Q193" s="34" t="s">
        <v>112</v>
      </c>
      <c r="R193" s="31">
        <v>5677000</v>
      </c>
      <c r="S193" s="31"/>
      <c r="T193" s="39">
        <v>45700</v>
      </c>
    </row>
    <row r="194" spans="2:20" ht="12.75">
      <c r="B194" s="163" t="s">
        <v>438</v>
      </c>
      <c r="C194" s="318">
        <v>35745</v>
      </c>
      <c r="D194" s="83" t="s">
        <v>106</v>
      </c>
      <c r="E194" s="8" t="s">
        <v>107</v>
      </c>
      <c r="F194" s="281" t="s">
        <v>31</v>
      </c>
      <c r="G194" s="72">
        <v>35746</v>
      </c>
      <c r="H194" s="8" t="s">
        <v>436</v>
      </c>
      <c r="I194" s="25" t="s">
        <v>45</v>
      </c>
      <c r="J194" s="76" t="s">
        <v>34</v>
      </c>
      <c r="K194" s="281" t="s">
        <v>437</v>
      </c>
      <c r="L194" s="83" t="s">
        <v>36</v>
      </c>
      <c r="M194" s="176" t="s">
        <v>427</v>
      </c>
      <c r="N194" s="8"/>
      <c r="O194" s="34" t="s">
        <v>419</v>
      </c>
      <c r="P194" s="89" t="s">
        <v>428</v>
      </c>
      <c r="Q194" s="34" t="s">
        <v>112</v>
      </c>
      <c r="R194" s="31">
        <v>9184000</v>
      </c>
      <c r="S194" s="31"/>
      <c r="T194" s="39">
        <v>73930</v>
      </c>
    </row>
    <row r="195" spans="2:20" ht="12.75">
      <c r="B195" s="163" t="s">
        <v>440</v>
      </c>
      <c r="C195" s="318">
        <v>35763</v>
      </c>
      <c r="D195" s="83" t="s">
        <v>386</v>
      </c>
      <c r="E195" s="8" t="s">
        <v>216</v>
      </c>
      <c r="F195" s="281" t="s">
        <v>31</v>
      </c>
      <c r="G195" s="72">
        <v>35823</v>
      </c>
      <c r="H195" s="8" t="s">
        <v>439</v>
      </c>
      <c r="I195" s="25" t="s">
        <v>33</v>
      </c>
      <c r="J195" s="76" t="s">
        <v>34</v>
      </c>
      <c r="K195" s="281" t="s">
        <v>298</v>
      </c>
      <c r="L195" s="83" t="s">
        <v>36</v>
      </c>
      <c r="M195" s="174" t="s">
        <v>859</v>
      </c>
      <c r="N195" s="8"/>
      <c r="O195" s="34" t="s">
        <v>66</v>
      </c>
      <c r="P195" s="89" t="s">
        <v>218</v>
      </c>
      <c r="Q195" s="34" t="s">
        <v>220</v>
      </c>
      <c r="R195" s="31">
        <v>15000</v>
      </c>
      <c r="S195" s="31"/>
      <c r="T195" s="39">
        <v>8500</v>
      </c>
    </row>
    <row r="196" spans="2:20" ht="12.75">
      <c r="B196" s="163" t="s">
        <v>458</v>
      </c>
      <c r="C196" s="318">
        <v>35783</v>
      </c>
      <c r="D196" s="83" t="s">
        <v>386</v>
      </c>
      <c r="E196" s="8" t="s">
        <v>216</v>
      </c>
      <c r="F196" s="281" t="s">
        <v>31</v>
      </c>
      <c r="G196" s="72">
        <v>35823</v>
      </c>
      <c r="H196" s="8" t="s">
        <v>457</v>
      </c>
      <c r="I196" s="145" t="s">
        <v>446</v>
      </c>
      <c r="J196" s="76" t="s">
        <v>34</v>
      </c>
      <c r="K196" s="281" t="s">
        <v>273</v>
      </c>
      <c r="L196" s="83" t="s">
        <v>36</v>
      </c>
      <c r="M196" s="179">
        <v>0.02</v>
      </c>
      <c r="N196" s="8"/>
      <c r="O196" s="34" t="s">
        <v>66</v>
      </c>
      <c r="P196" s="89" t="s">
        <v>172</v>
      </c>
      <c r="Q196" s="34" t="s">
        <v>220</v>
      </c>
      <c r="R196" s="31">
        <v>14300</v>
      </c>
      <c r="S196" s="31"/>
      <c r="T196" s="39">
        <v>8070</v>
      </c>
    </row>
    <row r="197" spans="2:20" ht="12.75">
      <c r="B197" s="163"/>
      <c r="C197" s="318"/>
      <c r="D197" s="83"/>
      <c r="E197" s="8"/>
      <c r="F197" s="281"/>
      <c r="G197" s="121"/>
      <c r="H197" s="8"/>
      <c r="I197" s="25"/>
      <c r="J197" s="76"/>
      <c r="K197" s="281"/>
      <c r="L197" s="83"/>
      <c r="M197" s="174"/>
      <c r="N197" s="8"/>
      <c r="O197" s="34"/>
      <c r="P197" s="89"/>
      <c r="Q197" s="34"/>
      <c r="R197" s="31"/>
      <c r="S197" s="31"/>
      <c r="T197" s="39"/>
    </row>
    <row r="198" spans="2:20" ht="12.75">
      <c r="B198" s="154" t="s">
        <v>634</v>
      </c>
      <c r="C198" s="318"/>
      <c r="D198" s="83"/>
      <c r="E198" s="51"/>
      <c r="F198" s="273"/>
      <c r="G198" s="72"/>
      <c r="H198" s="8"/>
      <c r="I198" s="25"/>
      <c r="J198" s="76"/>
      <c r="K198" s="281"/>
      <c r="L198" s="83"/>
      <c r="M198" s="176"/>
      <c r="N198" s="8"/>
      <c r="O198" s="34"/>
      <c r="P198" s="89"/>
      <c r="Q198" s="49"/>
      <c r="R198" s="31"/>
      <c r="S198" s="31"/>
      <c r="T198" s="148">
        <f>SUM(T199:T213)</f>
        <v>1205090</v>
      </c>
    </row>
    <row r="199" spans="2:21" ht="12.75">
      <c r="B199" s="164" t="s">
        <v>396</v>
      </c>
      <c r="C199" s="318">
        <v>35423</v>
      </c>
      <c r="D199" s="83" t="s">
        <v>394</v>
      </c>
      <c r="E199" s="51" t="s">
        <v>719</v>
      </c>
      <c r="F199" s="281" t="s">
        <v>634</v>
      </c>
      <c r="G199" s="72">
        <v>35454</v>
      </c>
      <c r="H199" s="8" t="s">
        <v>395</v>
      </c>
      <c r="I199" s="25" t="s">
        <v>85</v>
      </c>
      <c r="J199" s="76" t="s">
        <v>34</v>
      </c>
      <c r="K199" s="281" t="s">
        <v>36</v>
      </c>
      <c r="L199" s="83" t="s">
        <v>36</v>
      </c>
      <c r="M199" s="176" t="s">
        <v>394</v>
      </c>
      <c r="N199" s="8"/>
      <c r="O199" s="34" t="s">
        <v>647</v>
      </c>
      <c r="P199" s="89" t="s">
        <v>383</v>
      </c>
      <c r="Q199" s="34" t="s">
        <v>177</v>
      </c>
      <c r="R199" s="32">
        <v>160500</v>
      </c>
      <c r="S199" s="32"/>
      <c r="T199" s="41">
        <v>221800</v>
      </c>
      <c r="U199" t="s">
        <v>1032</v>
      </c>
    </row>
    <row r="200" spans="2:21" ht="12.75">
      <c r="B200" s="163" t="s">
        <v>398</v>
      </c>
      <c r="C200" s="318">
        <v>35469</v>
      </c>
      <c r="D200" s="83" t="s">
        <v>868</v>
      </c>
      <c r="E200" s="51" t="s">
        <v>719</v>
      </c>
      <c r="F200" s="281" t="s">
        <v>634</v>
      </c>
      <c r="G200" s="72">
        <v>35486</v>
      </c>
      <c r="H200" s="8" t="s">
        <v>397</v>
      </c>
      <c r="I200" s="25" t="s">
        <v>85</v>
      </c>
      <c r="J200" s="76" t="s">
        <v>34</v>
      </c>
      <c r="K200" s="281" t="s">
        <v>36</v>
      </c>
      <c r="L200" s="83" t="s">
        <v>36</v>
      </c>
      <c r="M200" s="176" t="s">
        <v>86</v>
      </c>
      <c r="N200" s="8"/>
      <c r="O200" s="34" t="s">
        <v>383</v>
      </c>
      <c r="P200" s="89" t="s">
        <v>384</v>
      </c>
      <c r="Q200" s="34" t="s">
        <v>41</v>
      </c>
      <c r="R200" s="32">
        <v>235500</v>
      </c>
      <c r="S200" s="32"/>
      <c r="T200" s="41">
        <v>235500</v>
      </c>
      <c r="U200" t="s">
        <v>1032</v>
      </c>
    </row>
    <row r="201" spans="2:21" ht="12.75">
      <c r="B201" s="163" t="s">
        <v>407</v>
      </c>
      <c r="C201" s="318">
        <v>35480</v>
      </c>
      <c r="D201" s="83" t="s">
        <v>869</v>
      </c>
      <c r="E201" s="51" t="s">
        <v>719</v>
      </c>
      <c r="F201" s="281" t="s">
        <v>634</v>
      </c>
      <c r="G201" s="72">
        <v>35487</v>
      </c>
      <c r="H201" s="8" t="s">
        <v>646</v>
      </c>
      <c r="I201" s="25" t="s">
        <v>85</v>
      </c>
      <c r="J201" s="76" t="s">
        <v>34</v>
      </c>
      <c r="K201" s="281" t="s">
        <v>36</v>
      </c>
      <c r="L201" s="83" t="s">
        <v>36</v>
      </c>
      <c r="M201" s="176" t="s">
        <v>157</v>
      </c>
      <c r="N201" s="8"/>
      <c r="O201" s="34" t="s">
        <v>366</v>
      </c>
      <c r="P201" s="89" t="s">
        <v>406</v>
      </c>
      <c r="Q201" s="34" t="s">
        <v>41</v>
      </c>
      <c r="R201" s="32">
        <v>183000</v>
      </c>
      <c r="S201" s="32"/>
      <c r="T201" s="41">
        <v>183000</v>
      </c>
      <c r="U201" t="s">
        <v>1032</v>
      </c>
    </row>
    <row r="202" spans="2:21" ht="12.75">
      <c r="B202" s="163" t="s">
        <v>407</v>
      </c>
      <c r="C202" s="318">
        <v>35481</v>
      </c>
      <c r="D202" s="83" t="s">
        <v>869</v>
      </c>
      <c r="E202" s="51" t="s">
        <v>719</v>
      </c>
      <c r="F202" s="281" t="s">
        <v>634</v>
      </c>
      <c r="G202" s="72">
        <v>35487</v>
      </c>
      <c r="H202" s="8" t="s">
        <v>646</v>
      </c>
      <c r="I202" s="25" t="s">
        <v>85</v>
      </c>
      <c r="J202" s="76" t="s">
        <v>34</v>
      </c>
      <c r="K202" s="281" t="s">
        <v>36</v>
      </c>
      <c r="L202" s="83" t="s">
        <v>36</v>
      </c>
      <c r="M202" s="176" t="s">
        <v>157</v>
      </c>
      <c r="N202" s="8"/>
      <c r="O202" s="34" t="s">
        <v>366</v>
      </c>
      <c r="P202" s="89" t="s">
        <v>406</v>
      </c>
      <c r="Q202" s="34" t="s">
        <v>41</v>
      </c>
      <c r="R202" s="32">
        <v>100000</v>
      </c>
      <c r="S202" s="32"/>
      <c r="T202" s="41">
        <v>100000</v>
      </c>
      <c r="U202" t="s">
        <v>1032</v>
      </c>
    </row>
    <row r="203" spans="2:20" ht="12.75">
      <c r="B203" s="163" t="s">
        <v>413</v>
      </c>
      <c r="C203" s="318">
        <v>35521</v>
      </c>
      <c r="D203" s="83" t="s">
        <v>870</v>
      </c>
      <c r="E203" s="51" t="s">
        <v>719</v>
      </c>
      <c r="F203" s="281" t="s">
        <v>634</v>
      </c>
      <c r="G203" s="72">
        <v>35531</v>
      </c>
      <c r="H203" s="8" t="s">
        <v>411</v>
      </c>
      <c r="I203" s="25" t="s">
        <v>33</v>
      </c>
      <c r="J203" s="76" t="s">
        <v>34</v>
      </c>
      <c r="K203" s="281" t="s">
        <v>782</v>
      </c>
      <c r="L203" s="83" t="s">
        <v>36</v>
      </c>
      <c r="M203" s="176" t="s">
        <v>157</v>
      </c>
      <c r="N203" s="8"/>
      <c r="O203" s="34" t="s">
        <v>408</v>
      </c>
      <c r="P203" s="89" t="s">
        <v>412</v>
      </c>
      <c r="Q203" s="34" t="s">
        <v>41</v>
      </c>
      <c r="R203" s="32">
        <v>51000</v>
      </c>
      <c r="S203" s="32"/>
      <c r="T203" s="41">
        <v>51000</v>
      </c>
    </row>
    <row r="204" spans="2:20" ht="12.75">
      <c r="B204" s="163" t="s">
        <v>415</v>
      </c>
      <c r="C204" s="318">
        <v>35571</v>
      </c>
      <c r="D204" s="83" t="s">
        <v>274</v>
      </c>
      <c r="E204" s="51" t="s">
        <v>719</v>
      </c>
      <c r="F204" s="281" t="s">
        <v>634</v>
      </c>
      <c r="G204" s="71">
        <v>35664</v>
      </c>
      <c r="H204" s="8" t="s">
        <v>414</v>
      </c>
      <c r="I204" s="145" t="s">
        <v>776</v>
      </c>
      <c r="J204" s="76" t="s">
        <v>34</v>
      </c>
      <c r="K204" s="281" t="s">
        <v>224</v>
      </c>
      <c r="L204" s="83" t="s">
        <v>36</v>
      </c>
      <c r="M204" s="179">
        <v>0.04</v>
      </c>
      <c r="N204" s="8"/>
      <c r="O204" s="34" t="s">
        <v>366</v>
      </c>
      <c r="P204" s="89" t="s">
        <v>406</v>
      </c>
      <c r="Q204" s="34" t="s">
        <v>41</v>
      </c>
      <c r="R204" s="32">
        <v>5000</v>
      </c>
      <c r="S204" s="32"/>
      <c r="T204" s="41">
        <v>5000</v>
      </c>
    </row>
    <row r="205" spans="2:20" ht="12.75">
      <c r="B205" s="163" t="s">
        <v>420</v>
      </c>
      <c r="C205" s="318">
        <v>35610</v>
      </c>
      <c r="D205" s="83" t="s">
        <v>137</v>
      </c>
      <c r="E205" s="51" t="s">
        <v>719</v>
      </c>
      <c r="F205" s="281" t="s">
        <v>634</v>
      </c>
      <c r="G205" s="72">
        <v>35612</v>
      </c>
      <c r="H205" s="8" t="s">
        <v>416</v>
      </c>
      <c r="I205" s="25" t="s">
        <v>446</v>
      </c>
      <c r="J205" s="76" t="s">
        <v>34</v>
      </c>
      <c r="K205" s="281" t="s">
        <v>273</v>
      </c>
      <c r="L205" s="83" t="s">
        <v>36</v>
      </c>
      <c r="M205" s="176" t="s">
        <v>417</v>
      </c>
      <c r="N205" s="8"/>
      <c r="O205" s="34" t="s">
        <v>418</v>
      </c>
      <c r="P205" s="89" t="s">
        <v>419</v>
      </c>
      <c r="Q205" s="34" t="s">
        <v>41</v>
      </c>
      <c r="R205" s="31">
        <v>17100</v>
      </c>
      <c r="S205" s="31"/>
      <c r="T205" s="39">
        <v>17100</v>
      </c>
    </row>
    <row r="206" spans="2:20" ht="12.75">
      <c r="B206" s="163" t="s">
        <v>422</v>
      </c>
      <c r="C206" s="318">
        <v>35719</v>
      </c>
      <c r="D206" s="83" t="s">
        <v>871</v>
      </c>
      <c r="E206" s="51" t="s">
        <v>719</v>
      </c>
      <c r="F206" s="281" t="s">
        <v>634</v>
      </c>
      <c r="G206" s="72">
        <v>35779</v>
      </c>
      <c r="H206" s="8" t="s">
        <v>421</v>
      </c>
      <c r="I206" s="25" t="s">
        <v>33</v>
      </c>
      <c r="J206" s="76" t="s">
        <v>34</v>
      </c>
      <c r="K206" s="281" t="s">
        <v>65</v>
      </c>
      <c r="L206" s="83" t="s">
        <v>36</v>
      </c>
      <c r="M206" s="176" t="s">
        <v>86</v>
      </c>
      <c r="N206" s="8"/>
      <c r="O206" s="34" t="s">
        <v>366</v>
      </c>
      <c r="P206" s="89" t="s">
        <v>231</v>
      </c>
      <c r="Q206" s="34" t="s">
        <v>41</v>
      </c>
      <c r="R206" s="31">
        <v>45600</v>
      </c>
      <c r="S206" s="31"/>
      <c r="T206" s="39">
        <v>45600</v>
      </c>
    </row>
    <row r="207" spans="2:20" ht="12.75">
      <c r="B207" s="163" t="s">
        <v>424</v>
      </c>
      <c r="C207" s="318">
        <v>35742</v>
      </c>
      <c r="D207" s="83" t="s">
        <v>872</v>
      </c>
      <c r="E207" s="51" t="s">
        <v>719</v>
      </c>
      <c r="F207" s="281" t="s">
        <v>634</v>
      </c>
      <c r="G207" s="72">
        <v>35744</v>
      </c>
      <c r="H207" s="8" t="s">
        <v>648</v>
      </c>
      <c r="I207" s="145" t="s">
        <v>776</v>
      </c>
      <c r="J207" s="76" t="s">
        <v>34</v>
      </c>
      <c r="K207" s="281" t="s">
        <v>423</v>
      </c>
      <c r="L207" s="83" t="s">
        <v>36</v>
      </c>
      <c r="M207" s="176" t="s">
        <v>86</v>
      </c>
      <c r="N207" s="8"/>
      <c r="O207" s="34" t="s">
        <v>365</v>
      </c>
      <c r="P207" s="89" t="s">
        <v>366</v>
      </c>
      <c r="Q207" s="34" t="s">
        <v>41</v>
      </c>
      <c r="R207" s="31">
        <v>140</v>
      </c>
      <c r="S207" s="31"/>
      <c r="T207" s="39">
        <v>140</v>
      </c>
    </row>
    <row r="208" spans="2:21" ht="12.75">
      <c r="B208" s="163" t="s">
        <v>444</v>
      </c>
      <c r="C208" s="318">
        <v>35775</v>
      </c>
      <c r="D208" s="83" t="s">
        <v>873</v>
      </c>
      <c r="E208" s="51" t="s">
        <v>719</v>
      </c>
      <c r="F208" s="281" t="s">
        <v>634</v>
      </c>
      <c r="G208" s="72">
        <v>35776</v>
      </c>
      <c r="H208" s="8" t="s">
        <v>441</v>
      </c>
      <c r="I208" s="25" t="s">
        <v>442</v>
      </c>
      <c r="J208" s="76" t="s">
        <v>34</v>
      </c>
      <c r="K208" s="281" t="s">
        <v>443</v>
      </c>
      <c r="L208" s="83" t="s">
        <v>36</v>
      </c>
      <c r="M208" s="176" t="s">
        <v>86</v>
      </c>
      <c r="N208" s="8"/>
      <c r="O208" s="34" t="s">
        <v>366</v>
      </c>
      <c r="P208" s="89" t="s">
        <v>231</v>
      </c>
      <c r="Q208" s="34" t="s">
        <v>41</v>
      </c>
      <c r="R208" s="31"/>
      <c r="S208" s="31"/>
      <c r="T208" s="39">
        <v>20000</v>
      </c>
      <c r="U208" s="17"/>
    </row>
    <row r="209" spans="2:20" ht="12.75">
      <c r="B209" s="163" t="s">
        <v>449</v>
      </c>
      <c r="C209" s="318">
        <v>35776</v>
      </c>
      <c r="D209" s="83" t="s">
        <v>874</v>
      </c>
      <c r="E209" s="51" t="s">
        <v>719</v>
      </c>
      <c r="F209" s="281" t="s">
        <v>634</v>
      </c>
      <c r="G209" s="72">
        <v>35780</v>
      </c>
      <c r="H209" s="8" t="s">
        <v>445</v>
      </c>
      <c r="I209" s="25" t="s">
        <v>446</v>
      </c>
      <c r="J209" s="76" t="s">
        <v>34</v>
      </c>
      <c r="K209" s="281" t="s">
        <v>36</v>
      </c>
      <c r="L209" s="83" t="s">
        <v>36</v>
      </c>
      <c r="M209" s="176" t="s">
        <v>86</v>
      </c>
      <c r="N209" s="8"/>
      <c r="O209" s="34" t="s">
        <v>447</v>
      </c>
      <c r="P209" s="89" t="s">
        <v>448</v>
      </c>
      <c r="Q209" s="34" t="s">
        <v>41</v>
      </c>
      <c r="R209" s="31">
        <v>150000</v>
      </c>
      <c r="S209" s="31"/>
      <c r="T209" s="39">
        <v>150000</v>
      </c>
    </row>
    <row r="210" spans="2:21" ht="12.75">
      <c r="B210" s="163" t="s">
        <v>450</v>
      </c>
      <c r="C210" s="318">
        <v>35776</v>
      </c>
      <c r="D210" s="83" t="s">
        <v>875</v>
      </c>
      <c r="E210" s="51" t="s">
        <v>719</v>
      </c>
      <c r="F210" s="281" t="s">
        <v>634</v>
      </c>
      <c r="G210" s="72">
        <v>35781</v>
      </c>
      <c r="H210" s="8" t="s">
        <v>445</v>
      </c>
      <c r="I210" s="25" t="s">
        <v>446</v>
      </c>
      <c r="J210" s="76" t="s">
        <v>34</v>
      </c>
      <c r="K210" s="281" t="s">
        <v>36</v>
      </c>
      <c r="L210" s="83" t="s">
        <v>36</v>
      </c>
      <c r="M210" s="176" t="s">
        <v>157</v>
      </c>
      <c r="N210" s="8"/>
      <c r="O210" s="34" t="s">
        <v>366</v>
      </c>
      <c r="P210" s="89" t="s">
        <v>406</v>
      </c>
      <c r="Q210" s="34" t="s">
        <v>41</v>
      </c>
      <c r="R210" s="31">
        <v>150000</v>
      </c>
      <c r="S210" s="31"/>
      <c r="T210" s="39">
        <v>150000</v>
      </c>
      <c r="U210" s="17"/>
    </row>
    <row r="211" spans="2:20" ht="12.75">
      <c r="B211" s="163" t="s">
        <v>452</v>
      </c>
      <c r="C211" s="318">
        <v>35779</v>
      </c>
      <c r="D211" s="83" t="s">
        <v>876</v>
      </c>
      <c r="E211" s="51" t="s">
        <v>719</v>
      </c>
      <c r="F211" s="281" t="s">
        <v>634</v>
      </c>
      <c r="G211" s="72">
        <v>35781</v>
      </c>
      <c r="H211" s="8" t="s">
        <v>451</v>
      </c>
      <c r="I211" s="25" t="s">
        <v>442</v>
      </c>
      <c r="J211" s="76" t="s">
        <v>34</v>
      </c>
      <c r="K211" s="281" t="s">
        <v>443</v>
      </c>
      <c r="L211" s="83" t="s">
        <v>36</v>
      </c>
      <c r="M211" s="176" t="s">
        <v>157</v>
      </c>
      <c r="N211" s="8"/>
      <c r="O211" s="34" t="s">
        <v>366</v>
      </c>
      <c r="P211" s="89" t="s">
        <v>406</v>
      </c>
      <c r="Q211" s="34" t="s">
        <v>41</v>
      </c>
      <c r="R211" s="31">
        <v>22500</v>
      </c>
      <c r="S211" s="31"/>
      <c r="T211" s="39">
        <v>22500</v>
      </c>
    </row>
    <row r="212" spans="2:21" ht="12.75">
      <c r="B212" s="163" t="s">
        <v>454</v>
      </c>
      <c r="C212" s="318">
        <v>35780</v>
      </c>
      <c r="D212" s="83" t="s">
        <v>877</v>
      </c>
      <c r="E212" s="51" t="s">
        <v>719</v>
      </c>
      <c r="F212" s="281" t="s">
        <v>634</v>
      </c>
      <c r="G212" s="72">
        <v>35783</v>
      </c>
      <c r="H212" s="8" t="s">
        <v>649</v>
      </c>
      <c r="I212" s="25" t="s">
        <v>85</v>
      </c>
      <c r="J212" s="76" t="s">
        <v>34</v>
      </c>
      <c r="K212" s="281" t="s">
        <v>36</v>
      </c>
      <c r="L212" s="83" t="s">
        <v>36</v>
      </c>
      <c r="M212" s="176" t="s">
        <v>86</v>
      </c>
      <c r="N212" s="8"/>
      <c r="O212" s="34" t="s">
        <v>453</v>
      </c>
      <c r="P212" s="89" t="s">
        <v>428</v>
      </c>
      <c r="Q212" s="34" t="s">
        <v>41</v>
      </c>
      <c r="R212" s="31">
        <v>750</v>
      </c>
      <c r="S212" s="31"/>
      <c r="T212" s="39">
        <v>750</v>
      </c>
      <c r="U212" s="17"/>
    </row>
    <row r="213" spans="2:20" ht="12.75">
      <c r="B213" s="163" t="s">
        <v>456</v>
      </c>
      <c r="C213" s="318">
        <v>35782</v>
      </c>
      <c r="D213" s="83" t="s">
        <v>878</v>
      </c>
      <c r="E213" s="51" t="s">
        <v>719</v>
      </c>
      <c r="F213" s="281" t="s">
        <v>634</v>
      </c>
      <c r="G213" s="72">
        <v>35794</v>
      </c>
      <c r="H213" s="8" t="s">
        <v>650</v>
      </c>
      <c r="I213" s="25" t="s">
        <v>85</v>
      </c>
      <c r="J213" s="76" t="s">
        <v>34</v>
      </c>
      <c r="K213" s="281" t="s">
        <v>455</v>
      </c>
      <c r="L213" s="83" t="s">
        <v>36</v>
      </c>
      <c r="M213" s="176" t="s">
        <v>86</v>
      </c>
      <c r="N213" s="8"/>
      <c r="O213" s="34" t="s">
        <v>447</v>
      </c>
      <c r="P213" s="89" t="s">
        <v>264</v>
      </c>
      <c r="Q213" s="34" t="s">
        <v>41</v>
      </c>
      <c r="R213" s="31">
        <v>2700</v>
      </c>
      <c r="S213" s="31"/>
      <c r="T213" s="39">
        <v>2700</v>
      </c>
    </row>
    <row r="214" spans="2:20" ht="12.75">
      <c r="B214" s="163"/>
      <c r="C214" s="318"/>
      <c r="D214" s="83"/>
      <c r="E214" s="51"/>
      <c r="F214" s="281"/>
      <c r="G214" s="72"/>
      <c r="H214" s="8"/>
      <c r="I214" s="25"/>
      <c r="J214" s="76"/>
      <c r="K214" s="281"/>
      <c r="L214" s="83"/>
      <c r="M214" s="176"/>
      <c r="N214" s="8"/>
      <c r="O214" s="34"/>
      <c r="P214" s="89"/>
      <c r="Q214" s="34"/>
      <c r="R214" s="31"/>
      <c r="S214" s="31"/>
      <c r="T214" s="39"/>
    </row>
    <row r="215" spans="2:20" ht="12.75">
      <c r="B215" s="154" t="s">
        <v>804</v>
      </c>
      <c r="C215" s="318"/>
      <c r="D215" s="83"/>
      <c r="E215" s="51"/>
      <c r="F215" s="273"/>
      <c r="G215" s="72"/>
      <c r="H215" s="8"/>
      <c r="I215" s="25"/>
      <c r="J215" s="76"/>
      <c r="K215" s="281"/>
      <c r="L215" s="83"/>
      <c r="M215" s="176"/>
      <c r="N215" s="8"/>
      <c r="O215" s="34"/>
      <c r="P215" s="89"/>
      <c r="Q215" s="49"/>
      <c r="R215" s="31"/>
      <c r="S215" s="31"/>
      <c r="T215" s="148">
        <f>SUM(T216)</f>
        <v>16407</v>
      </c>
    </row>
    <row r="216" spans="2:20" ht="13.5" thickBot="1">
      <c r="B216" s="203" t="s">
        <v>404</v>
      </c>
      <c r="C216" s="322">
        <v>35474</v>
      </c>
      <c r="D216" s="86" t="s">
        <v>399</v>
      </c>
      <c r="E216" s="14" t="s">
        <v>63</v>
      </c>
      <c r="F216" s="283" t="s">
        <v>706</v>
      </c>
      <c r="G216" s="246">
        <v>35523</v>
      </c>
      <c r="H216" s="4" t="s">
        <v>400</v>
      </c>
      <c r="I216" s="248" t="s">
        <v>446</v>
      </c>
      <c r="J216" s="77" t="s">
        <v>34</v>
      </c>
      <c r="K216" s="283" t="s">
        <v>247</v>
      </c>
      <c r="L216" s="86" t="s">
        <v>36</v>
      </c>
      <c r="M216" s="177" t="s">
        <v>401</v>
      </c>
      <c r="N216" s="4"/>
      <c r="O216" s="16" t="s">
        <v>402</v>
      </c>
      <c r="P216" s="92" t="s">
        <v>403</v>
      </c>
      <c r="Q216" s="16" t="s">
        <v>405</v>
      </c>
      <c r="R216" s="249">
        <v>16407</v>
      </c>
      <c r="S216" s="249"/>
      <c r="T216" s="247">
        <v>16407</v>
      </c>
    </row>
    <row r="217" spans="2:20" s="94" customFormat="1" ht="18.75" thickTop="1">
      <c r="B217" s="165">
        <v>1998</v>
      </c>
      <c r="C217" s="349"/>
      <c r="D217" s="369"/>
      <c r="E217" s="98"/>
      <c r="F217" s="282"/>
      <c r="G217" s="119"/>
      <c r="H217" s="98"/>
      <c r="I217" s="114"/>
      <c r="J217" s="119"/>
      <c r="K217" s="282"/>
      <c r="L217" s="115"/>
      <c r="M217" s="178"/>
      <c r="N217" s="98"/>
      <c r="O217" s="116"/>
      <c r="P217" s="117"/>
      <c r="Q217" s="98"/>
      <c r="R217" s="120"/>
      <c r="S217" s="120"/>
      <c r="T217" s="118">
        <f>+T218+T222+T231+T238</f>
        <v>476619.30700000003</v>
      </c>
    </row>
    <row r="218" spans="2:20" ht="12.75">
      <c r="B218" s="154" t="s">
        <v>632</v>
      </c>
      <c r="C218" s="341"/>
      <c r="D218" s="83"/>
      <c r="E218" s="51"/>
      <c r="F218" s="273"/>
      <c r="G218" s="72"/>
      <c r="H218" s="8"/>
      <c r="I218" s="25"/>
      <c r="J218" s="76"/>
      <c r="K218" s="281"/>
      <c r="L218" s="83"/>
      <c r="M218" s="176"/>
      <c r="N218" s="8"/>
      <c r="O218" s="34"/>
      <c r="P218" s="89"/>
      <c r="Q218" s="49"/>
      <c r="R218" s="31"/>
      <c r="S218" s="31"/>
      <c r="T218" s="148">
        <f>SUM(T219:T220)</f>
        <v>14394.306999999999</v>
      </c>
    </row>
    <row r="219" spans="2:20" ht="12.75">
      <c r="B219" s="166" t="s">
        <v>625</v>
      </c>
      <c r="C219" s="347">
        <v>36160</v>
      </c>
      <c r="D219" s="370" t="s">
        <v>622</v>
      </c>
      <c r="E219" s="19" t="s">
        <v>266</v>
      </c>
      <c r="F219" s="87" t="s">
        <v>623</v>
      </c>
      <c r="G219" s="30"/>
      <c r="H219" s="19" t="s">
        <v>50</v>
      </c>
      <c r="I219" s="146" t="s">
        <v>51</v>
      </c>
      <c r="J219" s="58" t="s">
        <v>34</v>
      </c>
      <c r="K219" s="87" t="s">
        <v>620</v>
      </c>
      <c r="L219" s="125" t="s">
        <v>36</v>
      </c>
      <c r="M219" s="66" t="s">
        <v>624</v>
      </c>
      <c r="N219" s="8"/>
      <c r="O219" s="20" t="s">
        <v>532</v>
      </c>
      <c r="P219" s="79" t="s">
        <v>533</v>
      </c>
      <c r="Q219" s="20" t="s">
        <v>41</v>
      </c>
      <c r="R219" s="21">
        <v>12625.283</v>
      </c>
      <c r="S219" s="188" t="s">
        <v>944</v>
      </c>
      <c r="T219" s="40">
        <f>+R219</f>
        <v>12625.283</v>
      </c>
    </row>
    <row r="220" spans="2:20" ht="12.75">
      <c r="B220" s="166" t="s">
        <v>625</v>
      </c>
      <c r="C220" s="347">
        <v>36160</v>
      </c>
      <c r="D220" s="370" t="s">
        <v>622</v>
      </c>
      <c r="E220" s="19" t="s">
        <v>266</v>
      </c>
      <c r="F220" s="87" t="s">
        <v>623</v>
      </c>
      <c r="G220" s="30"/>
      <c r="H220" s="19" t="s">
        <v>50</v>
      </c>
      <c r="I220" s="146" t="s">
        <v>51</v>
      </c>
      <c r="J220" s="58" t="s">
        <v>34</v>
      </c>
      <c r="K220" s="87" t="s">
        <v>620</v>
      </c>
      <c r="L220" s="125" t="s">
        <v>36</v>
      </c>
      <c r="M220" s="66" t="s">
        <v>624</v>
      </c>
      <c r="N220" s="8"/>
      <c r="O220" s="20" t="s">
        <v>532</v>
      </c>
      <c r="P220" s="79" t="s">
        <v>533</v>
      </c>
      <c r="Q220" s="20" t="s">
        <v>41</v>
      </c>
      <c r="R220" s="21">
        <v>1769.024</v>
      </c>
      <c r="S220" s="188" t="s">
        <v>965</v>
      </c>
      <c r="T220" s="40">
        <f>+R220</f>
        <v>1769.024</v>
      </c>
    </row>
    <row r="221" spans="2:20" ht="12.75">
      <c r="B221" s="166"/>
      <c r="C221" s="347"/>
      <c r="D221" s="370"/>
      <c r="E221" s="19"/>
      <c r="F221" s="87"/>
      <c r="G221" s="30"/>
      <c r="H221" s="19"/>
      <c r="I221" s="146"/>
      <c r="J221" s="58"/>
      <c r="K221" s="87"/>
      <c r="L221" s="125"/>
      <c r="M221" s="66"/>
      <c r="N221" s="8"/>
      <c r="O221" s="20"/>
      <c r="P221" s="79"/>
      <c r="Q221" s="20"/>
      <c r="R221" s="21"/>
      <c r="S221" s="21"/>
      <c r="T221" s="40"/>
    </row>
    <row r="222" spans="2:20" ht="12.75">
      <c r="B222" s="154" t="s">
        <v>803</v>
      </c>
      <c r="C222" s="318"/>
      <c r="D222" s="83"/>
      <c r="E222" s="51"/>
      <c r="F222" s="273"/>
      <c r="G222" s="72"/>
      <c r="H222" s="8"/>
      <c r="I222" s="25"/>
      <c r="J222" s="76"/>
      <c r="K222" s="281"/>
      <c r="L222" s="83"/>
      <c r="M222" s="176"/>
      <c r="N222" s="8"/>
      <c r="O222" s="34"/>
      <c r="P222" s="89"/>
      <c r="Q222" s="49"/>
      <c r="R222" s="31"/>
      <c r="S222" s="31"/>
      <c r="T222" s="148">
        <f>SUM(T223:T229)</f>
        <v>85846</v>
      </c>
    </row>
    <row r="223" spans="2:20" ht="12.75">
      <c r="B223" s="166" t="s">
        <v>539</v>
      </c>
      <c r="C223" s="347">
        <v>35883</v>
      </c>
      <c r="D223" s="370" t="s">
        <v>386</v>
      </c>
      <c r="E223" s="19" t="s">
        <v>216</v>
      </c>
      <c r="F223" s="87" t="s">
        <v>31</v>
      </c>
      <c r="G223" s="30"/>
      <c r="H223" s="19" t="s">
        <v>797</v>
      </c>
      <c r="I223" s="18" t="s">
        <v>186</v>
      </c>
      <c r="J223" s="58" t="s">
        <v>34</v>
      </c>
      <c r="K223" s="87" t="s">
        <v>187</v>
      </c>
      <c r="L223" s="87" t="s">
        <v>36</v>
      </c>
      <c r="M223" s="180">
        <v>0.02</v>
      </c>
      <c r="N223" s="8"/>
      <c r="O223" s="20" t="s">
        <v>66</v>
      </c>
      <c r="P223" s="79" t="s">
        <v>172</v>
      </c>
      <c r="Q223" s="20" t="s">
        <v>220</v>
      </c>
      <c r="R223" s="21">
        <v>15000</v>
      </c>
      <c r="S223" s="21"/>
      <c r="T223" s="40">
        <v>8243</v>
      </c>
    </row>
    <row r="224" spans="2:20" ht="12.75">
      <c r="B224" s="166" t="s">
        <v>547</v>
      </c>
      <c r="C224" s="347">
        <v>36007</v>
      </c>
      <c r="D224" s="370" t="s">
        <v>540</v>
      </c>
      <c r="E224" s="19" t="s">
        <v>541</v>
      </c>
      <c r="F224" s="87" t="s">
        <v>31</v>
      </c>
      <c r="G224" s="30"/>
      <c r="H224" s="19" t="s">
        <v>543</v>
      </c>
      <c r="I224" s="18" t="s">
        <v>33</v>
      </c>
      <c r="J224" s="58" t="s">
        <v>34</v>
      </c>
      <c r="K224" s="87" t="s">
        <v>544</v>
      </c>
      <c r="L224" s="125" t="s">
        <v>36</v>
      </c>
      <c r="M224" s="66" t="s">
        <v>545</v>
      </c>
      <c r="N224" s="8"/>
      <c r="O224" s="20" t="s">
        <v>366</v>
      </c>
      <c r="P224" s="79" t="s">
        <v>546</v>
      </c>
      <c r="Q224" s="20" t="s">
        <v>41</v>
      </c>
      <c r="R224" s="21">
        <v>10000</v>
      </c>
      <c r="S224" s="21"/>
      <c r="T224" s="40">
        <v>10000</v>
      </c>
    </row>
    <row r="225" spans="2:20" ht="12.75">
      <c r="B225" s="166" t="s">
        <v>557</v>
      </c>
      <c r="C225" s="347">
        <v>36074</v>
      </c>
      <c r="D225" s="370" t="s">
        <v>386</v>
      </c>
      <c r="E225" s="19" t="s">
        <v>216</v>
      </c>
      <c r="F225" s="87" t="s">
        <v>31</v>
      </c>
      <c r="G225" s="30"/>
      <c r="H225" s="19" t="s">
        <v>556</v>
      </c>
      <c r="I225" s="18" t="s">
        <v>45</v>
      </c>
      <c r="J225" s="58" t="s">
        <v>34</v>
      </c>
      <c r="K225" s="87" t="s">
        <v>778</v>
      </c>
      <c r="L225" s="125" t="s">
        <v>36</v>
      </c>
      <c r="M225" s="180">
        <v>0.02</v>
      </c>
      <c r="N225" s="8"/>
      <c r="O225" s="20" t="s">
        <v>66</v>
      </c>
      <c r="P225" s="79" t="s">
        <v>172</v>
      </c>
      <c r="Q225" s="20" t="s">
        <v>220</v>
      </c>
      <c r="R225" s="21">
        <v>20000</v>
      </c>
      <c r="S225" s="21"/>
      <c r="T225" s="40">
        <v>12250</v>
      </c>
    </row>
    <row r="226" spans="2:20" ht="12.75">
      <c r="B226" s="166" t="s">
        <v>559</v>
      </c>
      <c r="C226" s="347">
        <v>36078</v>
      </c>
      <c r="D226" s="370" t="s">
        <v>180</v>
      </c>
      <c r="E226" s="19" t="s">
        <v>181</v>
      </c>
      <c r="F226" s="87" t="s">
        <v>31</v>
      </c>
      <c r="G226" s="30"/>
      <c r="H226" s="19" t="s">
        <v>558</v>
      </c>
      <c r="I226" s="18" t="s">
        <v>186</v>
      </c>
      <c r="J226" s="58" t="s">
        <v>34</v>
      </c>
      <c r="K226" s="87" t="s">
        <v>187</v>
      </c>
      <c r="L226" s="125" t="s">
        <v>36</v>
      </c>
      <c r="M226" s="180">
        <v>0.029</v>
      </c>
      <c r="N226" s="8"/>
      <c r="O226" s="20" t="s">
        <v>563</v>
      </c>
      <c r="P226" s="79" t="s">
        <v>564</v>
      </c>
      <c r="Q226" s="20" t="s">
        <v>560</v>
      </c>
      <c r="R226" s="21">
        <v>8900</v>
      </c>
      <c r="S226" s="21"/>
      <c r="T226" s="40">
        <v>1643</v>
      </c>
    </row>
    <row r="227" spans="2:20" ht="12.75">
      <c r="B227" s="166" t="s">
        <v>559</v>
      </c>
      <c r="C227" s="347">
        <v>36078</v>
      </c>
      <c r="D227" s="370" t="s">
        <v>180</v>
      </c>
      <c r="E227" s="19" t="s">
        <v>181</v>
      </c>
      <c r="F227" s="87" t="s">
        <v>31</v>
      </c>
      <c r="G227" s="30"/>
      <c r="H227" s="19" t="s">
        <v>561</v>
      </c>
      <c r="I227" s="18" t="s">
        <v>186</v>
      </c>
      <c r="J227" s="58" t="s">
        <v>34</v>
      </c>
      <c r="K227" s="87" t="s">
        <v>187</v>
      </c>
      <c r="L227" s="125" t="s">
        <v>36</v>
      </c>
      <c r="M227" s="180">
        <v>0.029</v>
      </c>
      <c r="N227" s="8"/>
      <c r="O227" s="20" t="s">
        <v>563</v>
      </c>
      <c r="P227" s="79" t="s">
        <v>564</v>
      </c>
      <c r="Q227" s="20" t="s">
        <v>560</v>
      </c>
      <c r="R227" s="21">
        <v>19900</v>
      </c>
      <c r="S227" s="21"/>
      <c r="T227" s="40">
        <v>3673</v>
      </c>
    </row>
    <row r="228" spans="2:20" ht="12.75">
      <c r="B228" s="166" t="s">
        <v>559</v>
      </c>
      <c r="C228" s="347">
        <v>36078</v>
      </c>
      <c r="D228" s="370" t="s">
        <v>180</v>
      </c>
      <c r="E228" s="19" t="s">
        <v>181</v>
      </c>
      <c r="F228" s="87" t="s">
        <v>31</v>
      </c>
      <c r="G228" s="30"/>
      <c r="H228" s="19" t="s">
        <v>562</v>
      </c>
      <c r="I228" s="18" t="s">
        <v>186</v>
      </c>
      <c r="J228" s="58" t="s">
        <v>34</v>
      </c>
      <c r="K228" s="87" t="s">
        <v>187</v>
      </c>
      <c r="L228" s="125" t="s">
        <v>36</v>
      </c>
      <c r="M228" s="180">
        <v>0.029</v>
      </c>
      <c r="N228" s="8"/>
      <c r="O228" s="20" t="s">
        <v>563</v>
      </c>
      <c r="P228" s="79" t="s">
        <v>564</v>
      </c>
      <c r="Q228" s="20" t="s">
        <v>560</v>
      </c>
      <c r="R228" s="21">
        <v>200</v>
      </c>
      <c r="S228" s="21"/>
      <c r="T228" s="40">
        <v>37</v>
      </c>
    </row>
    <row r="229" spans="2:20" ht="12.75">
      <c r="B229" s="166" t="s">
        <v>573</v>
      </c>
      <c r="C229" s="347">
        <v>36158</v>
      </c>
      <c r="D229" s="370" t="s">
        <v>499</v>
      </c>
      <c r="E229" s="19" t="s">
        <v>107</v>
      </c>
      <c r="F229" s="87" t="s">
        <v>31</v>
      </c>
      <c r="G229" s="30"/>
      <c r="H229" s="19" t="s">
        <v>571</v>
      </c>
      <c r="I229" s="18" t="s">
        <v>33</v>
      </c>
      <c r="J229" s="58" t="s">
        <v>34</v>
      </c>
      <c r="K229" s="87" t="s">
        <v>572</v>
      </c>
      <c r="L229" s="125" t="s">
        <v>36</v>
      </c>
      <c r="M229" s="66" t="s">
        <v>401</v>
      </c>
      <c r="N229" s="8"/>
      <c r="O229" s="20" t="s">
        <v>532</v>
      </c>
      <c r="P229" s="79" t="s">
        <v>210</v>
      </c>
      <c r="Q229" s="20" t="s">
        <v>41</v>
      </c>
      <c r="R229" s="21">
        <v>50000</v>
      </c>
      <c r="S229" s="21"/>
      <c r="T229" s="40">
        <v>50000</v>
      </c>
    </row>
    <row r="230" spans="2:20" ht="12.75">
      <c r="B230" s="166"/>
      <c r="C230" s="347"/>
      <c r="D230" s="370"/>
      <c r="E230" s="19"/>
      <c r="F230" s="87"/>
      <c r="G230" s="30"/>
      <c r="H230" s="19"/>
      <c r="I230" s="18"/>
      <c r="J230" s="58"/>
      <c r="K230" s="87"/>
      <c r="L230" s="125"/>
      <c r="M230" s="66"/>
      <c r="N230" s="8"/>
      <c r="O230" s="20"/>
      <c r="P230" s="79"/>
      <c r="Q230" s="20"/>
      <c r="R230" s="21"/>
      <c r="S230" s="21"/>
      <c r="T230" s="40"/>
    </row>
    <row r="231" spans="2:20" ht="12.75">
      <c r="B231" s="154" t="s">
        <v>634</v>
      </c>
      <c r="C231" s="318"/>
      <c r="D231" s="83"/>
      <c r="E231" s="51"/>
      <c r="F231" s="273"/>
      <c r="G231" s="72"/>
      <c r="H231" s="8"/>
      <c r="I231" s="25"/>
      <c r="J231" s="76"/>
      <c r="K231" s="281"/>
      <c r="L231" s="83"/>
      <c r="M231" s="176"/>
      <c r="N231" s="8"/>
      <c r="O231" s="34"/>
      <c r="P231" s="89"/>
      <c r="Q231" s="49"/>
      <c r="R231" s="31"/>
      <c r="S231" s="31"/>
      <c r="T231" s="148">
        <f>SUM(T232:T236)</f>
        <v>374700</v>
      </c>
    </row>
    <row r="232" spans="2:20" ht="12.75">
      <c r="B232" s="166" t="s">
        <v>551</v>
      </c>
      <c r="C232" s="347">
        <v>36040</v>
      </c>
      <c r="D232" s="370" t="s">
        <v>879</v>
      </c>
      <c r="E232" s="52" t="s">
        <v>719</v>
      </c>
      <c r="F232" s="87" t="s">
        <v>634</v>
      </c>
      <c r="G232" s="30"/>
      <c r="H232" s="19" t="s">
        <v>548</v>
      </c>
      <c r="I232" s="18" t="s">
        <v>85</v>
      </c>
      <c r="J232" s="58" t="s">
        <v>34</v>
      </c>
      <c r="K232" s="87" t="s">
        <v>549</v>
      </c>
      <c r="L232" s="125" t="s">
        <v>36</v>
      </c>
      <c r="M232" s="66" t="s">
        <v>86</v>
      </c>
      <c r="N232" s="8"/>
      <c r="O232" s="20" t="s">
        <v>365</v>
      </c>
      <c r="P232" s="79" t="s">
        <v>550</v>
      </c>
      <c r="Q232" s="20" t="s">
        <v>41</v>
      </c>
      <c r="R232" s="21">
        <v>1500</v>
      </c>
      <c r="S232" s="21"/>
      <c r="T232" s="40">
        <v>1500</v>
      </c>
    </row>
    <row r="233" spans="2:20" s="8" customFormat="1" ht="12.75">
      <c r="B233" s="166" t="s">
        <v>554</v>
      </c>
      <c r="C233" s="347">
        <v>36070</v>
      </c>
      <c r="D233" s="370" t="s">
        <v>880</v>
      </c>
      <c r="E233" s="52" t="s">
        <v>719</v>
      </c>
      <c r="F233" s="87" t="s">
        <v>634</v>
      </c>
      <c r="G233" s="30"/>
      <c r="H233" s="19" t="s">
        <v>552</v>
      </c>
      <c r="I233" s="18" t="s">
        <v>45</v>
      </c>
      <c r="J233" s="58" t="s">
        <v>34</v>
      </c>
      <c r="K233" s="87" t="s">
        <v>553</v>
      </c>
      <c r="L233" s="125" t="s">
        <v>36</v>
      </c>
      <c r="M233" s="66" t="s">
        <v>157</v>
      </c>
      <c r="O233" s="20" t="s">
        <v>366</v>
      </c>
      <c r="P233" s="79" t="s">
        <v>406</v>
      </c>
      <c r="Q233" s="20" t="s">
        <v>41</v>
      </c>
      <c r="R233" s="21">
        <v>38000</v>
      </c>
      <c r="S233" s="21"/>
      <c r="T233" s="40">
        <v>38000</v>
      </c>
    </row>
    <row r="234" spans="2:21" ht="12.75">
      <c r="B234" s="166" t="s">
        <v>555</v>
      </c>
      <c r="C234" s="347">
        <v>36070</v>
      </c>
      <c r="D234" s="370" t="s">
        <v>881</v>
      </c>
      <c r="E234" s="52" t="s">
        <v>719</v>
      </c>
      <c r="F234" s="87" t="s">
        <v>634</v>
      </c>
      <c r="G234" s="30"/>
      <c r="H234" s="19" t="s">
        <v>796</v>
      </c>
      <c r="I234" s="18" t="s">
        <v>85</v>
      </c>
      <c r="J234" s="58" t="s">
        <v>34</v>
      </c>
      <c r="K234" s="87" t="s">
        <v>104</v>
      </c>
      <c r="L234" s="125" t="s">
        <v>104</v>
      </c>
      <c r="M234" s="66" t="s">
        <v>86</v>
      </c>
      <c r="N234" s="8"/>
      <c r="O234" s="20" t="s">
        <v>447</v>
      </c>
      <c r="P234" s="79" t="s">
        <v>448</v>
      </c>
      <c r="Q234" s="20" t="s">
        <v>41</v>
      </c>
      <c r="R234" s="21">
        <v>30000</v>
      </c>
      <c r="S234" s="21"/>
      <c r="T234" s="40">
        <v>30000</v>
      </c>
      <c r="U234" t="s">
        <v>1036</v>
      </c>
    </row>
    <row r="235" spans="2:20" ht="12.75">
      <c r="B235" s="166" t="s">
        <v>568</v>
      </c>
      <c r="C235" s="347">
        <v>36133</v>
      </c>
      <c r="D235" s="370" t="s">
        <v>137</v>
      </c>
      <c r="E235" s="52" t="s">
        <v>719</v>
      </c>
      <c r="F235" s="87" t="s">
        <v>634</v>
      </c>
      <c r="G235" s="30"/>
      <c r="H235" s="19" t="s">
        <v>565</v>
      </c>
      <c r="I235" s="18" t="s">
        <v>45</v>
      </c>
      <c r="J235" s="58" t="s">
        <v>34</v>
      </c>
      <c r="K235" s="87" t="s">
        <v>778</v>
      </c>
      <c r="L235" s="125" t="s">
        <v>36</v>
      </c>
      <c r="M235" s="66" t="s">
        <v>566</v>
      </c>
      <c r="N235" s="8"/>
      <c r="O235" s="20" t="s">
        <v>567</v>
      </c>
      <c r="P235" s="79" t="s">
        <v>477</v>
      </c>
      <c r="Q235" s="20" t="s">
        <v>41</v>
      </c>
      <c r="R235" s="21">
        <v>5200</v>
      </c>
      <c r="S235" s="21"/>
      <c r="T235" s="40">
        <v>5200</v>
      </c>
    </row>
    <row r="236" spans="2:20" ht="12.75">
      <c r="B236" s="166" t="s">
        <v>569</v>
      </c>
      <c r="C236" s="347">
        <v>36157</v>
      </c>
      <c r="D236" s="370" t="s">
        <v>882</v>
      </c>
      <c r="E236" s="52" t="s">
        <v>719</v>
      </c>
      <c r="F236" s="87" t="s">
        <v>634</v>
      </c>
      <c r="G236" s="30"/>
      <c r="H236" s="19" t="s">
        <v>570</v>
      </c>
      <c r="I236" s="18" t="s">
        <v>45</v>
      </c>
      <c r="J236" s="58" t="s">
        <v>34</v>
      </c>
      <c r="K236" s="87" t="s">
        <v>778</v>
      </c>
      <c r="L236" s="125" t="s">
        <v>36</v>
      </c>
      <c r="M236" s="66" t="s">
        <v>86</v>
      </c>
      <c r="N236" s="8"/>
      <c r="O236" s="20" t="s">
        <v>366</v>
      </c>
      <c r="P236" s="79" t="s">
        <v>231</v>
      </c>
      <c r="Q236" s="20" t="s">
        <v>41</v>
      </c>
      <c r="R236" s="21">
        <v>300000</v>
      </c>
      <c r="S236" s="21"/>
      <c r="T236" s="40">
        <v>300000</v>
      </c>
    </row>
    <row r="237" spans="2:20" ht="12.75">
      <c r="B237" s="166"/>
      <c r="C237" s="347"/>
      <c r="D237" s="370"/>
      <c r="E237" s="52"/>
      <c r="F237" s="87"/>
      <c r="G237" s="30"/>
      <c r="H237" s="19"/>
      <c r="I237" s="18"/>
      <c r="J237" s="58"/>
      <c r="K237" s="87"/>
      <c r="L237" s="125"/>
      <c r="M237" s="66"/>
      <c r="N237" s="8"/>
      <c r="O237" s="20"/>
      <c r="P237" s="79"/>
      <c r="Q237" s="20"/>
      <c r="R237" s="21"/>
      <c r="S237" s="21"/>
      <c r="T237" s="40"/>
    </row>
    <row r="238" spans="2:20" ht="12.75">
      <c r="B238" s="154" t="s">
        <v>270</v>
      </c>
      <c r="C238" s="318"/>
      <c r="D238" s="83"/>
      <c r="E238" s="51"/>
      <c r="F238" s="273"/>
      <c r="G238" s="72"/>
      <c r="H238" s="8"/>
      <c r="I238" s="25"/>
      <c r="J238" s="76"/>
      <c r="K238" s="281"/>
      <c r="L238" s="83"/>
      <c r="M238" s="176"/>
      <c r="N238" s="8"/>
      <c r="O238" s="34"/>
      <c r="P238" s="89"/>
      <c r="Q238" s="49"/>
      <c r="R238" s="31"/>
      <c r="S238" s="31"/>
      <c r="T238" s="148">
        <f>SUM(T239)</f>
        <v>1679</v>
      </c>
    </row>
    <row r="239" spans="2:20" ht="13.5" thickBot="1">
      <c r="B239" s="167" t="s">
        <v>621</v>
      </c>
      <c r="C239" s="348">
        <v>36158</v>
      </c>
      <c r="D239" s="371" t="s">
        <v>574</v>
      </c>
      <c r="E239" s="35" t="s">
        <v>575</v>
      </c>
      <c r="F239" s="284" t="s">
        <v>270</v>
      </c>
      <c r="G239" s="75"/>
      <c r="H239" s="35" t="s">
        <v>50</v>
      </c>
      <c r="I239" s="185" t="s">
        <v>51</v>
      </c>
      <c r="J239" s="186" t="s">
        <v>34</v>
      </c>
      <c r="K239" s="284" t="s">
        <v>620</v>
      </c>
      <c r="L239" s="126" t="s">
        <v>36</v>
      </c>
      <c r="M239" s="250">
        <v>0.07</v>
      </c>
      <c r="N239" s="4"/>
      <c r="O239" s="36" t="s">
        <v>473</v>
      </c>
      <c r="P239" s="80" t="s">
        <v>366</v>
      </c>
      <c r="Q239" s="36" t="s">
        <v>41</v>
      </c>
      <c r="R239" s="37">
        <v>1679</v>
      </c>
      <c r="S239" s="37"/>
      <c r="T239" s="56">
        <v>1679</v>
      </c>
    </row>
    <row r="240" spans="2:20" s="94" customFormat="1" ht="18.75" thickTop="1">
      <c r="B240" s="165">
        <v>1999</v>
      </c>
      <c r="C240" s="346"/>
      <c r="D240" s="369"/>
      <c r="E240" s="98"/>
      <c r="F240" s="282"/>
      <c r="G240" s="119"/>
      <c r="H240" s="98"/>
      <c r="I240" s="114"/>
      <c r="J240" s="119"/>
      <c r="K240" s="282"/>
      <c r="L240" s="115"/>
      <c r="M240" s="178"/>
      <c r="N240" s="98"/>
      <c r="O240" s="116"/>
      <c r="P240" s="117"/>
      <c r="Q240" s="98"/>
      <c r="R240" s="120"/>
      <c r="S240" s="120"/>
      <c r="T240" s="118">
        <f>+T241+T246+T249+T264+T277+T280</f>
        <v>2226027.23954</v>
      </c>
    </row>
    <row r="241" spans="2:20" ht="12.75">
      <c r="B241" s="154" t="s">
        <v>807</v>
      </c>
      <c r="C241" s="318"/>
      <c r="D241" s="83"/>
      <c r="E241" s="51"/>
      <c r="F241" s="273"/>
      <c r="G241" s="72"/>
      <c r="H241" s="8"/>
      <c r="I241" s="25"/>
      <c r="J241" s="76"/>
      <c r="K241" s="281"/>
      <c r="L241" s="83"/>
      <c r="M241" s="176"/>
      <c r="N241" s="8"/>
      <c r="O241" s="34"/>
      <c r="P241" s="89"/>
      <c r="Q241" s="49"/>
      <c r="R241" s="31"/>
      <c r="S241" s="31"/>
      <c r="T241" s="148">
        <f>SUM(T242:T244)</f>
        <v>33167.23954</v>
      </c>
    </row>
    <row r="242" spans="2:20" ht="12.75">
      <c r="B242" s="166" t="s">
        <v>478</v>
      </c>
      <c r="C242" s="347">
        <v>36217</v>
      </c>
      <c r="D242" s="370" t="s">
        <v>475</v>
      </c>
      <c r="E242" s="19" t="s">
        <v>70</v>
      </c>
      <c r="F242" s="87" t="s">
        <v>630</v>
      </c>
      <c r="G242" s="30"/>
      <c r="H242" s="19" t="s">
        <v>476</v>
      </c>
      <c r="I242" s="18" t="s">
        <v>45</v>
      </c>
      <c r="J242" s="79" t="s">
        <v>34</v>
      </c>
      <c r="K242" s="353" t="s">
        <v>120</v>
      </c>
      <c r="L242" s="125" t="s">
        <v>36</v>
      </c>
      <c r="M242" s="66" t="s">
        <v>708</v>
      </c>
      <c r="N242" s="8"/>
      <c r="O242" s="20" t="s">
        <v>709</v>
      </c>
      <c r="P242" s="79" t="s">
        <v>477</v>
      </c>
      <c r="Q242" s="20" t="s">
        <v>41</v>
      </c>
      <c r="R242" s="21">
        <f>4512.585</f>
        <v>4512.585</v>
      </c>
      <c r="S242" s="21"/>
      <c r="T242" s="40">
        <v>4513</v>
      </c>
    </row>
    <row r="243" spans="2:20" ht="12.75">
      <c r="B243" s="166" t="s">
        <v>513</v>
      </c>
      <c r="C243" s="347">
        <v>36349</v>
      </c>
      <c r="D243" s="370" t="s">
        <v>512</v>
      </c>
      <c r="E243" s="19" t="s">
        <v>70</v>
      </c>
      <c r="F243" s="87" t="s">
        <v>631</v>
      </c>
      <c r="G243" s="30"/>
      <c r="H243" s="19" t="s">
        <v>476</v>
      </c>
      <c r="I243" s="18" t="s">
        <v>45</v>
      </c>
      <c r="J243" s="79" t="s">
        <v>34</v>
      </c>
      <c r="K243" s="353" t="s">
        <v>120</v>
      </c>
      <c r="L243" s="125" t="s">
        <v>36</v>
      </c>
      <c r="M243" s="66" t="s">
        <v>713</v>
      </c>
      <c r="N243" s="8"/>
      <c r="O243" s="20" t="s">
        <v>709</v>
      </c>
      <c r="P243" s="79" t="s">
        <v>477</v>
      </c>
      <c r="Q243" s="20" t="s">
        <v>41</v>
      </c>
      <c r="R243" s="21">
        <f>1999.23954</f>
        <v>1999.23954</v>
      </c>
      <c r="S243" s="21"/>
      <c r="T243" s="40">
        <f>+R243</f>
        <v>1999.23954</v>
      </c>
    </row>
    <row r="244" spans="2:20" ht="12.75">
      <c r="B244" s="166" t="s">
        <v>761</v>
      </c>
      <c r="C244" s="347">
        <v>36497</v>
      </c>
      <c r="D244" s="125" t="s">
        <v>707</v>
      </c>
      <c r="E244" s="19" t="s">
        <v>70</v>
      </c>
      <c r="F244" s="87" t="s">
        <v>630</v>
      </c>
      <c r="G244" s="30"/>
      <c r="H244" s="19" t="s">
        <v>780</v>
      </c>
      <c r="I244" s="146" t="s">
        <v>446</v>
      </c>
      <c r="J244" s="79" t="s">
        <v>34</v>
      </c>
      <c r="K244" s="87" t="s">
        <v>273</v>
      </c>
      <c r="L244" s="125" t="s">
        <v>36</v>
      </c>
      <c r="M244" s="66" t="s">
        <v>708</v>
      </c>
      <c r="N244" s="8"/>
      <c r="O244" s="20" t="s">
        <v>567</v>
      </c>
      <c r="P244" s="79" t="s">
        <v>710</v>
      </c>
      <c r="Q244" s="19" t="s">
        <v>629</v>
      </c>
      <c r="R244" s="21">
        <v>26655</v>
      </c>
      <c r="S244" s="21"/>
      <c r="T244" s="40">
        <v>26655</v>
      </c>
    </row>
    <row r="245" spans="2:20" ht="12.75">
      <c r="B245" s="166"/>
      <c r="C245" s="347"/>
      <c r="D245" s="125"/>
      <c r="E245" s="19"/>
      <c r="F245" s="87"/>
      <c r="G245" s="30"/>
      <c r="H245" s="19"/>
      <c r="I245" s="146"/>
      <c r="J245" s="79"/>
      <c r="K245" s="87"/>
      <c r="L245" s="125"/>
      <c r="M245" s="66"/>
      <c r="N245" s="8"/>
      <c r="O245" s="20"/>
      <c r="P245" s="79"/>
      <c r="Q245" s="19"/>
      <c r="R245" s="21"/>
      <c r="S245" s="21"/>
      <c r="T245" s="40"/>
    </row>
    <row r="246" spans="2:20" ht="12.75">
      <c r="B246" s="154" t="s">
        <v>632</v>
      </c>
      <c r="C246" s="318"/>
      <c r="D246" s="83"/>
      <c r="E246" s="51"/>
      <c r="F246" s="273"/>
      <c r="G246" s="72"/>
      <c r="H246" s="8"/>
      <c r="I246" s="25"/>
      <c r="J246" s="76"/>
      <c r="K246" s="281"/>
      <c r="L246" s="83"/>
      <c r="M246" s="176"/>
      <c r="N246" s="8"/>
      <c r="O246" s="34"/>
      <c r="P246" s="89"/>
      <c r="Q246" s="49"/>
      <c r="R246" s="31"/>
      <c r="S246" s="31"/>
      <c r="T246" s="148">
        <f>+T247</f>
        <v>1403</v>
      </c>
    </row>
    <row r="247" spans="2:20" ht="12.75">
      <c r="B247" s="166" t="s">
        <v>530</v>
      </c>
      <c r="C247" s="347">
        <v>36422</v>
      </c>
      <c r="D247" s="370" t="s">
        <v>526</v>
      </c>
      <c r="E247" s="19" t="s">
        <v>527</v>
      </c>
      <c r="F247" s="87" t="s">
        <v>632</v>
      </c>
      <c r="G247" s="30"/>
      <c r="H247" s="22" t="s">
        <v>528</v>
      </c>
      <c r="I247" s="146" t="s">
        <v>777</v>
      </c>
      <c r="J247" s="79" t="s">
        <v>34</v>
      </c>
      <c r="K247" s="87" t="s">
        <v>783</v>
      </c>
      <c r="L247" s="125" t="s">
        <v>36</v>
      </c>
      <c r="M247" s="181">
        <v>0.08</v>
      </c>
      <c r="N247" s="8"/>
      <c r="O247" s="20" t="s">
        <v>529</v>
      </c>
      <c r="P247" s="79" t="s">
        <v>945</v>
      </c>
      <c r="Q247" s="20" t="s">
        <v>41</v>
      </c>
      <c r="R247" s="21">
        <v>1403</v>
      </c>
      <c r="S247" s="21"/>
      <c r="T247" s="40">
        <v>1403</v>
      </c>
    </row>
    <row r="248" spans="2:20" ht="12.75">
      <c r="B248" s="166"/>
      <c r="C248" s="347"/>
      <c r="D248" s="370"/>
      <c r="E248" s="19"/>
      <c r="F248" s="87"/>
      <c r="G248" s="30"/>
      <c r="H248" s="22"/>
      <c r="I248" s="146"/>
      <c r="J248" s="79"/>
      <c r="K248" s="87"/>
      <c r="L248" s="125"/>
      <c r="M248" s="181"/>
      <c r="N248" s="8"/>
      <c r="O248" s="20"/>
      <c r="P248" s="79"/>
      <c r="Q248" s="20"/>
      <c r="R248" s="21"/>
      <c r="S248" s="21"/>
      <c r="T248" s="40"/>
    </row>
    <row r="249" spans="2:20" ht="12.75">
      <c r="B249" s="154" t="s">
        <v>803</v>
      </c>
      <c r="C249" s="318"/>
      <c r="D249" s="83"/>
      <c r="E249" s="51"/>
      <c r="F249" s="273"/>
      <c r="G249" s="72"/>
      <c r="H249" s="8"/>
      <c r="I249" s="25"/>
      <c r="J249" s="76"/>
      <c r="K249" s="281"/>
      <c r="L249" s="83"/>
      <c r="M249" s="176"/>
      <c r="N249" s="8"/>
      <c r="O249" s="34"/>
      <c r="P249" s="89"/>
      <c r="Q249" s="49"/>
      <c r="R249" s="31"/>
      <c r="S249" s="31"/>
      <c r="T249" s="148">
        <f>SUM(T250:T262)</f>
        <v>1193400</v>
      </c>
    </row>
    <row r="250" spans="2:20" ht="12.75">
      <c r="B250" s="166" t="s">
        <v>483</v>
      </c>
      <c r="C250" s="347">
        <v>36258</v>
      </c>
      <c r="D250" s="370" t="s">
        <v>106</v>
      </c>
      <c r="E250" s="19" t="s">
        <v>107</v>
      </c>
      <c r="F250" s="87" t="s">
        <v>31</v>
      </c>
      <c r="G250" s="30"/>
      <c r="H250" s="19" t="s">
        <v>481</v>
      </c>
      <c r="I250" s="18" t="s">
        <v>33</v>
      </c>
      <c r="J250" s="79" t="s">
        <v>34</v>
      </c>
      <c r="K250" s="87" t="s">
        <v>482</v>
      </c>
      <c r="L250" s="125" t="s">
        <v>36</v>
      </c>
      <c r="M250" s="180" t="s">
        <v>987</v>
      </c>
      <c r="N250" s="8"/>
      <c r="O250" s="20" t="s">
        <v>989</v>
      </c>
      <c r="P250" s="79" t="s">
        <v>677</v>
      </c>
      <c r="Q250" s="20" t="s">
        <v>112</v>
      </c>
      <c r="R250" s="21">
        <v>7259000</v>
      </c>
      <c r="S250" s="21"/>
      <c r="T250" s="40">
        <v>59790</v>
      </c>
    </row>
    <row r="251" spans="2:20" ht="12.75">
      <c r="B251" s="166" t="s">
        <v>484</v>
      </c>
      <c r="C251" s="347">
        <v>36258</v>
      </c>
      <c r="D251" s="370" t="s">
        <v>106</v>
      </c>
      <c r="E251" s="19" t="s">
        <v>107</v>
      </c>
      <c r="F251" s="87" t="s">
        <v>31</v>
      </c>
      <c r="G251" s="30"/>
      <c r="H251" s="19" t="s">
        <v>795</v>
      </c>
      <c r="I251" s="18" t="s">
        <v>127</v>
      </c>
      <c r="J251" s="79" t="s">
        <v>34</v>
      </c>
      <c r="K251" s="87" t="s">
        <v>785</v>
      </c>
      <c r="L251" s="125" t="s">
        <v>36</v>
      </c>
      <c r="M251" s="180" t="s">
        <v>987</v>
      </c>
      <c r="N251" s="8"/>
      <c r="O251" s="20" t="s">
        <v>989</v>
      </c>
      <c r="P251" s="79" t="s">
        <v>677</v>
      </c>
      <c r="Q251" s="20" t="s">
        <v>112</v>
      </c>
      <c r="R251" s="21">
        <v>13901000</v>
      </c>
      <c r="S251" s="21"/>
      <c r="T251" s="40">
        <v>114500</v>
      </c>
    </row>
    <row r="252" spans="2:20" ht="12.75">
      <c r="B252" s="166" t="s">
        <v>486</v>
      </c>
      <c r="C252" s="347">
        <v>36258</v>
      </c>
      <c r="D252" s="370" t="s">
        <v>106</v>
      </c>
      <c r="E252" s="19" t="s">
        <v>107</v>
      </c>
      <c r="F252" s="87" t="s">
        <v>31</v>
      </c>
      <c r="G252" s="30"/>
      <c r="H252" s="19" t="s">
        <v>485</v>
      </c>
      <c r="I252" s="18" t="s">
        <v>446</v>
      </c>
      <c r="J252" s="79" t="s">
        <v>34</v>
      </c>
      <c r="K252" s="87" t="s">
        <v>224</v>
      </c>
      <c r="L252" s="125" t="s">
        <v>36</v>
      </c>
      <c r="M252" s="180">
        <v>0.017</v>
      </c>
      <c r="N252" s="8"/>
      <c r="O252" s="20" t="s">
        <v>419</v>
      </c>
      <c r="P252" s="79" t="s">
        <v>428</v>
      </c>
      <c r="Q252" s="20" t="s">
        <v>112</v>
      </c>
      <c r="R252" s="21">
        <v>7003000</v>
      </c>
      <c r="S252" s="21"/>
      <c r="T252" s="40">
        <v>57690</v>
      </c>
    </row>
    <row r="253" spans="2:20" ht="12.75">
      <c r="B253" s="166" t="s">
        <v>488</v>
      </c>
      <c r="C253" s="347">
        <v>36258</v>
      </c>
      <c r="D253" s="370" t="s">
        <v>106</v>
      </c>
      <c r="E253" s="19" t="s">
        <v>107</v>
      </c>
      <c r="F253" s="87" t="s">
        <v>31</v>
      </c>
      <c r="G253" s="30"/>
      <c r="H253" s="19" t="s">
        <v>487</v>
      </c>
      <c r="I253" s="146" t="s">
        <v>98</v>
      </c>
      <c r="J253" s="79" t="s">
        <v>34</v>
      </c>
      <c r="K253" s="87" t="s">
        <v>201</v>
      </c>
      <c r="L253" s="125" t="s">
        <v>36</v>
      </c>
      <c r="M253" s="180" t="s">
        <v>988</v>
      </c>
      <c r="N253" s="8"/>
      <c r="O253" s="20" t="s">
        <v>989</v>
      </c>
      <c r="P253" s="79" t="s">
        <v>677</v>
      </c>
      <c r="Q253" s="20" t="s">
        <v>112</v>
      </c>
      <c r="R253" s="21">
        <v>13157000</v>
      </c>
      <c r="S253" s="21"/>
      <c r="T253" s="40">
        <v>108380</v>
      </c>
    </row>
    <row r="254" spans="2:20" ht="12.75">
      <c r="B254" s="166" t="s">
        <v>490</v>
      </c>
      <c r="C254" s="347">
        <v>36258</v>
      </c>
      <c r="D254" s="370" t="s">
        <v>106</v>
      </c>
      <c r="E254" s="19" t="s">
        <v>107</v>
      </c>
      <c r="F254" s="87" t="s">
        <v>31</v>
      </c>
      <c r="G254" s="30"/>
      <c r="H254" s="19" t="s">
        <v>489</v>
      </c>
      <c r="I254" s="18" t="s">
        <v>45</v>
      </c>
      <c r="J254" s="79" t="s">
        <v>34</v>
      </c>
      <c r="K254" s="353" t="s">
        <v>120</v>
      </c>
      <c r="L254" s="125" t="s">
        <v>36</v>
      </c>
      <c r="M254" s="180" t="s">
        <v>988</v>
      </c>
      <c r="N254" s="8"/>
      <c r="O254" s="20" t="s">
        <v>989</v>
      </c>
      <c r="P254" s="79" t="s">
        <v>677</v>
      </c>
      <c r="Q254" s="20" t="s">
        <v>112</v>
      </c>
      <c r="R254" s="21">
        <v>15833000</v>
      </c>
      <c r="S254" s="21"/>
      <c r="T254" s="40">
        <v>130420</v>
      </c>
    </row>
    <row r="255" spans="2:20" ht="12.75">
      <c r="B255" s="166" t="s">
        <v>492</v>
      </c>
      <c r="C255" s="347">
        <v>36266</v>
      </c>
      <c r="D255" s="370" t="s">
        <v>386</v>
      </c>
      <c r="E255" s="19" t="s">
        <v>216</v>
      </c>
      <c r="F255" s="87" t="s">
        <v>31</v>
      </c>
      <c r="G255" s="30"/>
      <c r="H255" s="19" t="s">
        <v>491</v>
      </c>
      <c r="I255" s="146" t="s">
        <v>446</v>
      </c>
      <c r="J255" s="79" t="s">
        <v>34</v>
      </c>
      <c r="K255" s="87" t="s">
        <v>273</v>
      </c>
      <c r="L255" s="125" t="s">
        <v>36</v>
      </c>
      <c r="M255" s="180">
        <v>0.0075</v>
      </c>
      <c r="N255" s="8"/>
      <c r="O255" s="20" t="s">
        <v>66</v>
      </c>
      <c r="P255" s="79" t="s">
        <v>218</v>
      </c>
      <c r="Q255" s="20" t="s">
        <v>220</v>
      </c>
      <c r="R255" s="21">
        <v>18000</v>
      </c>
      <c r="S255" s="21"/>
      <c r="T255" s="40">
        <v>9850</v>
      </c>
    </row>
    <row r="256" spans="2:20" ht="12.75">
      <c r="B256" s="166" t="s">
        <v>495</v>
      </c>
      <c r="C256" s="347">
        <v>36271</v>
      </c>
      <c r="D256" s="370" t="s">
        <v>386</v>
      </c>
      <c r="E256" s="19" t="s">
        <v>216</v>
      </c>
      <c r="F256" s="87" t="s">
        <v>31</v>
      </c>
      <c r="G256" s="30"/>
      <c r="H256" s="19" t="s">
        <v>493</v>
      </c>
      <c r="I256" s="18" t="s">
        <v>127</v>
      </c>
      <c r="J256" s="79" t="s">
        <v>34</v>
      </c>
      <c r="K256" s="87" t="s">
        <v>494</v>
      </c>
      <c r="L256" s="125" t="s">
        <v>36</v>
      </c>
      <c r="M256" s="180">
        <v>0.02</v>
      </c>
      <c r="N256" s="8"/>
      <c r="O256" s="20" t="s">
        <v>66</v>
      </c>
      <c r="P256" s="79" t="s">
        <v>172</v>
      </c>
      <c r="Q256" s="20" t="s">
        <v>220</v>
      </c>
      <c r="R256" s="21">
        <v>10000</v>
      </c>
      <c r="S256" s="21"/>
      <c r="T256" s="40">
        <v>5440</v>
      </c>
    </row>
    <row r="257" spans="2:20" ht="12.75">
      <c r="B257" s="166" t="s">
        <v>501</v>
      </c>
      <c r="C257" s="347">
        <v>36293</v>
      </c>
      <c r="D257" s="370" t="s">
        <v>499</v>
      </c>
      <c r="E257" s="19" t="s">
        <v>107</v>
      </c>
      <c r="F257" s="87" t="s">
        <v>31</v>
      </c>
      <c r="G257" s="30"/>
      <c r="H257" s="19" t="s">
        <v>500</v>
      </c>
      <c r="I257" s="18" t="s">
        <v>85</v>
      </c>
      <c r="J257" s="79" t="s">
        <v>34</v>
      </c>
      <c r="K257" s="87" t="s">
        <v>104</v>
      </c>
      <c r="L257" s="125" t="s">
        <v>104</v>
      </c>
      <c r="M257" s="66" t="s">
        <v>499</v>
      </c>
      <c r="N257" s="8"/>
      <c r="O257" s="20" t="s">
        <v>711</v>
      </c>
      <c r="P257" s="79" t="s">
        <v>46</v>
      </c>
      <c r="Q257" s="20" t="s">
        <v>112</v>
      </c>
      <c r="R257" s="21">
        <v>5000000</v>
      </c>
      <c r="S257" s="21"/>
      <c r="T257" s="40">
        <v>41380</v>
      </c>
    </row>
    <row r="258" spans="2:20" ht="12.75">
      <c r="B258" s="166" t="s">
        <v>504</v>
      </c>
      <c r="C258" s="347">
        <v>36308</v>
      </c>
      <c r="D258" s="370" t="s">
        <v>386</v>
      </c>
      <c r="E258" s="19" t="s">
        <v>216</v>
      </c>
      <c r="F258" s="87" t="s">
        <v>31</v>
      </c>
      <c r="G258" s="30"/>
      <c r="H258" s="19" t="s">
        <v>502</v>
      </c>
      <c r="I258" s="18" t="s">
        <v>127</v>
      </c>
      <c r="J258" s="79" t="s">
        <v>34</v>
      </c>
      <c r="K258" s="87" t="s">
        <v>503</v>
      </c>
      <c r="L258" s="125" t="s">
        <v>36</v>
      </c>
      <c r="M258" s="180">
        <v>0.02</v>
      </c>
      <c r="N258" s="8"/>
      <c r="O258" s="20" t="s">
        <v>66</v>
      </c>
      <c r="P258" s="79" t="s">
        <v>172</v>
      </c>
      <c r="Q258" s="20" t="s">
        <v>220</v>
      </c>
      <c r="R258" s="21">
        <v>20000</v>
      </c>
      <c r="S258" s="21"/>
      <c r="T258" s="40">
        <v>10670</v>
      </c>
    </row>
    <row r="259" spans="2:20" ht="12.75">
      <c r="B259" s="166" t="s">
        <v>531</v>
      </c>
      <c r="C259" s="347">
        <v>36427</v>
      </c>
      <c r="D259" s="370" t="s">
        <v>499</v>
      </c>
      <c r="E259" s="19" t="s">
        <v>107</v>
      </c>
      <c r="F259" s="87" t="s">
        <v>31</v>
      </c>
      <c r="G259" s="30"/>
      <c r="H259" s="19" t="s">
        <v>466</v>
      </c>
      <c r="I259" s="146" t="s">
        <v>85</v>
      </c>
      <c r="J259" s="79" t="s">
        <v>34</v>
      </c>
      <c r="K259" s="87" t="s">
        <v>104</v>
      </c>
      <c r="L259" s="125" t="s">
        <v>104</v>
      </c>
      <c r="M259" s="66" t="s">
        <v>712</v>
      </c>
      <c r="N259" s="8"/>
      <c r="O259" s="20" t="s">
        <v>366</v>
      </c>
      <c r="P259" s="79" t="s">
        <v>231</v>
      </c>
      <c r="Q259" s="20" t="s">
        <v>41</v>
      </c>
      <c r="R259" s="21">
        <v>200000</v>
      </c>
      <c r="S259" s="21"/>
      <c r="T259" s="40">
        <v>200000</v>
      </c>
    </row>
    <row r="260" spans="2:20" ht="12.75">
      <c r="B260" s="166" t="s">
        <v>538</v>
      </c>
      <c r="C260" s="347">
        <v>36450</v>
      </c>
      <c r="D260" s="370" t="s">
        <v>534</v>
      </c>
      <c r="E260" s="19" t="s">
        <v>107</v>
      </c>
      <c r="F260" s="87" t="s">
        <v>31</v>
      </c>
      <c r="G260" s="30"/>
      <c r="H260" s="19" t="s">
        <v>535</v>
      </c>
      <c r="I260" s="18" t="s">
        <v>446</v>
      </c>
      <c r="J260" s="79" t="s">
        <v>34</v>
      </c>
      <c r="K260" s="87" t="s">
        <v>536</v>
      </c>
      <c r="L260" s="125" t="s">
        <v>36</v>
      </c>
      <c r="M260" s="66" t="s">
        <v>401</v>
      </c>
      <c r="N260" s="8"/>
      <c r="O260" s="20" t="s">
        <v>537</v>
      </c>
      <c r="P260" s="79" t="s">
        <v>523</v>
      </c>
      <c r="Q260" s="20" t="s">
        <v>41</v>
      </c>
      <c r="R260" s="21">
        <v>150000</v>
      </c>
      <c r="S260" s="21"/>
      <c r="T260" s="40">
        <v>150000</v>
      </c>
    </row>
    <row r="261" spans="2:20" ht="12.75">
      <c r="B261" s="166" t="s">
        <v>721</v>
      </c>
      <c r="C261" s="347">
        <v>36487</v>
      </c>
      <c r="D261" s="370" t="s">
        <v>688</v>
      </c>
      <c r="E261" s="19" t="s">
        <v>216</v>
      </c>
      <c r="F261" s="87" t="s">
        <v>31</v>
      </c>
      <c r="G261" s="30"/>
      <c r="H261" s="19" t="s">
        <v>798</v>
      </c>
      <c r="I261" s="146" t="s">
        <v>85</v>
      </c>
      <c r="J261" s="149" t="s">
        <v>446</v>
      </c>
      <c r="K261" s="87" t="s">
        <v>104</v>
      </c>
      <c r="L261" s="125" t="s">
        <v>104</v>
      </c>
      <c r="M261" s="180">
        <v>0.02</v>
      </c>
      <c r="N261" s="8"/>
      <c r="O261" s="20" t="s">
        <v>66</v>
      </c>
      <c r="P261" s="79" t="s">
        <v>172</v>
      </c>
      <c r="Q261" s="20" t="s">
        <v>220</v>
      </c>
      <c r="R261" s="21">
        <v>10000</v>
      </c>
      <c r="S261" s="21"/>
      <c r="T261" s="40">
        <v>5280</v>
      </c>
    </row>
    <row r="262" spans="2:21" ht="12.75">
      <c r="B262" s="166" t="s">
        <v>720</v>
      </c>
      <c r="C262" s="347">
        <v>36502</v>
      </c>
      <c r="D262" s="370" t="s">
        <v>534</v>
      </c>
      <c r="E262" s="19" t="s">
        <v>107</v>
      </c>
      <c r="F262" s="87" t="s">
        <v>31</v>
      </c>
      <c r="G262" s="30"/>
      <c r="H262" s="19" t="s">
        <v>800</v>
      </c>
      <c r="I262" s="18" t="s">
        <v>85</v>
      </c>
      <c r="J262" s="79" t="s">
        <v>34</v>
      </c>
      <c r="K262" s="87" t="s">
        <v>36</v>
      </c>
      <c r="L262" s="125" t="s">
        <v>36</v>
      </c>
      <c r="M262" s="66" t="s">
        <v>966</v>
      </c>
      <c r="N262" s="8"/>
      <c r="O262" s="20" t="s">
        <v>366</v>
      </c>
      <c r="P262" s="79" t="s">
        <v>406</v>
      </c>
      <c r="Q262" s="20" t="s">
        <v>41</v>
      </c>
      <c r="R262" s="21">
        <v>300000</v>
      </c>
      <c r="S262" s="21"/>
      <c r="T262" s="40">
        <v>300000</v>
      </c>
      <c r="U262" t="s">
        <v>1032</v>
      </c>
    </row>
    <row r="263" spans="2:20" ht="12.75">
      <c r="B263" s="166"/>
      <c r="C263" s="347"/>
      <c r="D263" s="370"/>
      <c r="E263" s="19"/>
      <c r="F263" s="87"/>
      <c r="G263" s="30"/>
      <c r="H263" s="19"/>
      <c r="I263" s="18"/>
      <c r="J263" s="79"/>
      <c r="K263" s="87"/>
      <c r="L263" s="125"/>
      <c r="M263" s="66"/>
      <c r="N263" s="8"/>
      <c r="O263" s="20"/>
      <c r="P263" s="79"/>
      <c r="Q263" s="20"/>
      <c r="R263" s="21"/>
      <c r="S263" s="21"/>
      <c r="T263" s="40"/>
    </row>
    <row r="264" spans="2:20" ht="12.75">
      <c r="B264" s="154" t="s">
        <v>634</v>
      </c>
      <c r="C264" s="318"/>
      <c r="D264" s="83"/>
      <c r="E264" s="51"/>
      <c r="F264" s="273"/>
      <c r="G264" s="72"/>
      <c r="H264" s="8"/>
      <c r="I264" s="25"/>
      <c r="J264" s="76"/>
      <c r="K264" s="281"/>
      <c r="L264" s="83"/>
      <c r="M264" s="176"/>
      <c r="N264" s="8"/>
      <c r="O264" s="34"/>
      <c r="P264" s="89"/>
      <c r="Q264" s="49"/>
      <c r="R264" s="31"/>
      <c r="S264" s="31"/>
      <c r="T264" s="148">
        <f>SUM(T265:T275)</f>
        <v>980548</v>
      </c>
    </row>
    <row r="265" spans="2:21" ht="12.75">
      <c r="B265" s="166" t="s">
        <v>467</v>
      </c>
      <c r="C265" s="347">
        <v>36187</v>
      </c>
      <c r="D265" s="370" t="s">
        <v>883</v>
      </c>
      <c r="E265" s="52" t="s">
        <v>719</v>
      </c>
      <c r="F265" s="87" t="s">
        <v>634</v>
      </c>
      <c r="G265" s="30"/>
      <c r="H265" s="19" t="s">
        <v>466</v>
      </c>
      <c r="I265" s="146" t="s">
        <v>85</v>
      </c>
      <c r="J265" s="79" t="s">
        <v>34</v>
      </c>
      <c r="K265" s="281" t="s">
        <v>104</v>
      </c>
      <c r="L265" s="125" t="s">
        <v>104</v>
      </c>
      <c r="M265" s="66" t="s">
        <v>86</v>
      </c>
      <c r="N265" s="8"/>
      <c r="O265" s="20" t="s">
        <v>366</v>
      </c>
      <c r="P265" s="79" t="s">
        <v>231</v>
      </c>
      <c r="Q265" s="20" t="s">
        <v>41</v>
      </c>
      <c r="R265" s="21">
        <v>200000</v>
      </c>
      <c r="S265" s="21"/>
      <c r="T265" s="40">
        <v>200000</v>
      </c>
      <c r="U265" t="s">
        <v>1036</v>
      </c>
    </row>
    <row r="266" spans="2:20" ht="12.75">
      <c r="B266" s="166" t="s">
        <v>470</v>
      </c>
      <c r="C266" s="347">
        <v>36187</v>
      </c>
      <c r="D266" s="370" t="s">
        <v>884</v>
      </c>
      <c r="E266" s="52" t="s">
        <v>719</v>
      </c>
      <c r="F266" s="87" t="s">
        <v>634</v>
      </c>
      <c r="G266" s="30"/>
      <c r="H266" s="19" t="s">
        <v>468</v>
      </c>
      <c r="I266" s="146" t="s">
        <v>776</v>
      </c>
      <c r="J266" s="79" t="s">
        <v>34</v>
      </c>
      <c r="K266" s="87" t="s">
        <v>469</v>
      </c>
      <c r="L266" s="125" t="s">
        <v>36</v>
      </c>
      <c r="M266" s="66" t="s">
        <v>86</v>
      </c>
      <c r="N266" s="8"/>
      <c r="O266" s="20" t="s">
        <v>447</v>
      </c>
      <c r="P266" s="79" t="s">
        <v>448</v>
      </c>
      <c r="Q266" s="20" t="s">
        <v>41</v>
      </c>
      <c r="R266" s="21">
        <v>46600</v>
      </c>
      <c r="S266" s="21"/>
      <c r="T266" s="40">
        <v>46600</v>
      </c>
    </row>
    <row r="267" spans="2:20" ht="12.75">
      <c r="B267" s="166" t="s">
        <v>474</v>
      </c>
      <c r="C267" s="347">
        <v>36199</v>
      </c>
      <c r="D267" s="370" t="s">
        <v>137</v>
      </c>
      <c r="E267" s="52" t="s">
        <v>719</v>
      </c>
      <c r="F267" s="87" t="s">
        <v>634</v>
      </c>
      <c r="G267" s="30"/>
      <c r="H267" s="19" t="s">
        <v>471</v>
      </c>
      <c r="I267" s="146" t="s">
        <v>446</v>
      </c>
      <c r="J267" s="79" t="s">
        <v>34</v>
      </c>
      <c r="K267" s="87" t="s">
        <v>273</v>
      </c>
      <c r="L267" s="125" t="s">
        <v>36</v>
      </c>
      <c r="M267" s="66" t="s">
        <v>472</v>
      </c>
      <c r="N267" s="8"/>
      <c r="O267" s="20" t="s">
        <v>473</v>
      </c>
      <c r="P267" s="79" t="s">
        <v>66</v>
      </c>
      <c r="Q267" s="20" t="s">
        <v>41</v>
      </c>
      <c r="R267" s="21">
        <v>17000</v>
      </c>
      <c r="S267" s="21"/>
      <c r="T267" s="40">
        <v>17000</v>
      </c>
    </row>
    <row r="268" spans="2:20" ht="12.75">
      <c r="B268" s="166" t="s">
        <v>498</v>
      </c>
      <c r="C268" s="347">
        <v>36273</v>
      </c>
      <c r="D268" s="370" t="s">
        <v>496</v>
      </c>
      <c r="E268" s="52" t="s">
        <v>719</v>
      </c>
      <c r="F268" s="87" t="s">
        <v>634</v>
      </c>
      <c r="G268" s="30"/>
      <c r="H268" s="19" t="s">
        <v>497</v>
      </c>
      <c r="I268" s="18" t="s">
        <v>85</v>
      </c>
      <c r="J268" s="79" t="s">
        <v>34</v>
      </c>
      <c r="K268" s="281" t="s">
        <v>104</v>
      </c>
      <c r="L268" s="125" t="s">
        <v>36</v>
      </c>
      <c r="M268" s="180">
        <v>0.04</v>
      </c>
      <c r="N268" s="8"/>
      <c r="O268" s="20" t="s">
        <v>366</v>
      </c>
      <c r="P268" s="79" t="s">
        <v>406</v>
      </c>
      <c r="Q268" s="20" t="s">
        <v>41</v>
      </c>
      <c r="R268" s="21">
        <v>4000</v>
      </c>
      <c r="S268" s="21"/>
      <c r="T268" s="40">
        <v>4000</v>
      </c>
    </row>
    <row r="269" spans="2:21" ht="12.75">
      <c r="B269" s="166" t="s">
        <v>507</v>
      </c>
      <c r="C269" s="347">
        <v>36330</v>
      </c>
      <c r="D269" s="370" t="s">
        <v>885</v>
      </c>
      <c r="E269" s="52" t="s">
        <v>719</v>
      </c>
      <c r="F269" s="87" t="s">
        <v>634</v>
      </c>
      <c r="G269" s="30"/>
      <c r="H269" s="19" t="s">
        <v>505</v>
      </c>
      <c r="I269" s="18" t="s">
        <v>85</v>
      </c>
      <c r="J269" s="79" t="s">
        <v>34</v>
      </c>
      <c r="K269" s="87" t="s">
        <v>506</v>
      </c>
      <c r="L269" s="125" t="s">
        <v>36</v>
      </c>
      <c r="M269" s="66" t="s">
        <v>157</v>
      </c>
      <c r="N269" s="8"/>
      <c r="O269" s="20" t="s">
        <v>366</v>
      </c>
      <c r="P269" s="79" t="s">
        <v>406</v>
      </c>
      <c r="Q269" s="20" t="s">
        <v>41</v>
      </c>
      <c r="R269" s="21">
        <v>300000</v>
      </c>
      <c r="S269" s="21"/>
      <c r="T269" s="40">
        <v>300000</v>
      </c>
      <c r="U269" t="s">
        <v>1032</v>
      </c>
    </row>
    <row r="270" spans="2:20" ht="12.75">
      <c r="B270" s="166" t="s">
        <v>511</v>
      </c>
      <c r="C270" s="347">
        <v>36339</v>
      </c>
      <c r="D270" s="370" t="s">
        <v>137</v>
      </c>
      <c r="E270" s="52" t="s">
        <v>719</v>
      </c>
      <c r="F270" s="87" t="s">
        <v>634</v>
      </c>
      <c r="G270" s="30"/>
      <c r="H270" s="19" t="s">
        <v>508</v>
      </c>
      <c r="I270" s="18" t="s">
        <v>45</v>
      </c>
      <c r="J270" s="79" t="s">
        <v>34</v>
      </c>
      <c r="K270" s="353" t="s">
        <v>767</v>
      </c>
      <c r="L270" s="125" t="s">
        <v>36</v>
      </c>
      <c r="M270" s="66" t="s">
        <v>509</v>
      </c>
      <c r="N270" s="8"/>
      <c r="O270" s="20" t="s">
        <v>473</v>
      </c>
      <c r="P270" s="79" t="s">
        <v>510</v>
      </c>
      <c r="Q270" s="20" t="s">
        <v>41</v>
      </c>
      <c r="R270" s="21">
        <v>50000</v>
      </c>
      <c r="S270" s="21"/>
      <c r="T270" s="40">
        <v>50000</v>
      </c>
    </row>
    <row r="271" spans="2:20" ht="12.75">
      <c r="B271" s="166" t="s">
        <v>518</v>
      </c>
      <c r="C271" s="347">
        <v>36379</v>
      </c>
      <c r="D271" s="370" t="s">
        <v>137</v>
      </c>
      <c r="E271" s="52" t="s">
        <v>719</v>
      </c>
      <c r="F271" s="87" t="s">
        <v>634</v>
      </c>
      <c r="G271" s="30"/>
      <c r="H271" s="19" t="s">
        <v>514</v>
      </c>
      <c r="I271" s="146" t="s">
        <v>98</v>
      </c>
      <c r="J271" s="79" t="s">
        <v>34</v>
      </c>
      <c r="K271" s="87" t="s">
        <v>515</v>
      </c>
      <c r="L271" s="125" t="s">
        <v>516</v>
      </c>
      <c r="M271" s="66" t="s">
        <v>509</v>
      </c>
      <c r="N271" s="8"/>
      <c r="O271" s="20" t="s">
        <v>365</v>
      </c>
      <c r="P271" s="79" t="s">
        <v>517</v>
      </c>
      <c r="Q271" s="20" t="s">
        <v>41</v>
      </c>
      <c r="R271" s="21">
        <v>25000</v>
      </c>
      <c r="S271" s="21"/>
      <c r="T271" s="40">
        <f>+R271</f>
        <v>25000</v>
      </c>
    </row>
    <row r="272" spans="2:20" ht="12.75">
      <c r="B272" s="166" t="s">
        <v>521</v>
      </c>
      <c r="C272" s="347">
        <v>36399</v>
      </c>
      <c r="D272" s="370" t="s">
        <v>886</v>
      </c>
      <c r="E272" s="52" t="s">
        <v>719</v>
      </c>
      <c r="F272" s="87" t="s">
        <v>634</v>
      </c>
      <c r="G272" s="30"/>
      <c r="H272" s="19" t="s">
        <v>519</v>
      </c>
      <c r="I272" s="18" t="s">
        <v>85</v>
      </c>
      <c r="J272" s="79" t="s">
        <v>34</v>
      </c>
      <c r="K272" s="281" t="s">
        <v>104</v>
      </c>
      <c r="L272" s="125" t="s">
        <v>104</v>
      </c>
      <c r="M272" s="66" t="s">
        <v>520</v>
      </c>
      <c r="N272" s="8"/>
      <c r="O272" s="20" t="s">
        <v>447</v>
      </c>
      <c r="P272" s="79" t="s">
        <v>473</v>
      </c>
      <c r="Q272" s="20" t="s">
        <v>41</v>
      </c>
      <c r="R272" s="21">
        <v>300000</v>
      </c>
      <c r="S272" s="21"/>
      <c r="T272" s="40">
        <v>300000</v>
      </c>
    </row>
    <row r="273" spans="2:20" ht="12.75">
      <c r="B273" s="166" t="s">
        <v>525</v>
      </c>
      <c r="C273" s="347">
        <v>36408</v>
      </c>
      <c r="D273" s="370" t="s">
        <v>887</v>
      </c>
      <c r="E273" s="52" t="s">
        <v>719</v>
      </c>
      <c r="F273" s="87" t="s">
        <v>634</v>
      </c>
      <c r="G273" s="30"/>
      <c r="H273" s="19" t="s">
        <v>522</v>
      </c>
      <c r="I273" s="18" t="s">
        <v>85</v>
      </c>
      <c r="J273" s="79" t="s">
        <v>34</v>
      </c>
      <c r="K273" s="87" t="s">
        <v>506</v>
      </c>
      <c r="L273" s="125" t="s">
        <v>36</v>
      </c>
      <c r="M273" s="66" t="s">
        <v>86</v>
      </c>
      <c r="N273" s="8"/>
      <c r="O273" s="20" t="s">
        <v>523</v>
      </c>
      <c r="P273" s="79" t="s">
        <v>524</v>
      </c>
      <c r="Q273" s="20" t="s">
        <v>41</v>
      </c>
      <c r="R273" s="21">
        <v>10908</v>
      </c>
      <c r="S273" s="21"/>
      <c r="T273" s="40">
        <v>10908</v>
      </c>
    </row>
    <row r="274" spans="2:20" ht="12.75">
      <c r="B274" s="166" t="s">
        <v>716</v>
      </c>
      <c r="C274" s="347">
        <v>36498</v>
      </c>
      <c r="D274" s="370" t="s">
        <v>339</v>
      </c>
      <c r="E274" s="52" t="s">
        <v>719</v>
      </c>
      <c r="F274" s="87" t="s">
        <v>634</v>
      </c>
      <c r="G274" s="30"/>
      <c r="H274" s="42" t="s">
        <v>799</v>
      </c>
      <c r="I274" s="146" t="s">
        <v>776</v>
      </c>
      <c r="J274" s="79" t="s">
        <v>34</v>
      </c>
      <c r="K274" s="87" t="s">
        <v>224</v>
      </c>
      <c r="L274" s="125" t="s">
        <v>36</v>
      </c>
      <c r="M274" s="66" t="s">
        <v>339</v>
      </c>
      <c r="N274" s="8"/>
      <c r="O274" s="20" t="s">
        <v>447</v>
      </c>
      <c r="P274" s="79" t="s">
        <v>412</v>
      </c>
      <c r="Q274" s="20" t="s">
        <v>177</v>
      </c>
      <c r="R274" s="21">
        <v>13900</v>
      </c>
      <c r="S274" s="21"/>
      <c r="T274" s="40">
        <v>19040</v>
      </c>
    </row>
    <row r="275" spans="2:20" ht="12.75">
      <c r="B275" s="166" t="s">
        <v>717</v>
      </c>
      <c r="C275" s="347">
        <v>36525</v>
      </c>
      <c r="D275" s="370" t="s">
        <v>137</v>
      </c>
      <c r="E275" s="52" t="s">
        <v>719</v>
      </c>
      <c r="F275" s="87" t="s">
        <v>634</v>
      </c>
      <c r="G275" s="30"/>
      <c r="H275" s="42" t="s">
        <v>801</v>
      </c>
      <c r="I275" s="146" t="s">
        <v>45</v>
      </c>
      <c r="J275" s="79" t="s">
        <v>34</v>
      </c>
      <c r="K275" s="353" t="s">
        <v>120</v>
      </c>
      <c r="L275" s="125" t="s">
        <v>36</v>
      </c>
      <c r="M275" s="66" t="s">
        <v>718</v>
      </c>
      <c r="N275" s="8"/>
      <c r="O275" s="20" t="s">
        <v>660</v>
      </c>
      <c r="P275" s="79" t="s">
        <v>661</v>
      </c>
      <c r="Q275" s="20" t="s">
        <v>41</v>
      </c>
      <c r="R275" s="21">
        <v>8000</v>
      </c>
      <c r="S275" s="21"/>
      <c r="T275" s="40">
        <v>8000</v>
      </c>
    </row>
    <row r="276" spans="2:20" ht="12.75">
      <c r="B276" s="166"/>
      <c r="C276" s="347"/>
      <c r="D276" s="370"/>
      <c r="E276" s="52"/>
      <c r="F276" s="87"/>
      <c r="G276" s="30"/>
      <c r="H276" s="42"/>
      <c r="I276" s="146"/>
      <c r="J276" s="79"/>
      <c r="K276" s="353"/>
      <c r="L276" s="125"/>
      <c r="M276" s="66"/>
      <c r="N276" s="8"/>
      <c r="O276" s="20"/>
      <c r="P276" s="79"/>
      <c r="Q276" s="20"/>
      <c r="R276" s="21"/>
      <c r="S276" s="21"/>
      <c r="T276" s="40"/>
    </row>
    <row r="277" spans="2:20" ht="12.75">
      <c r="B277" s="154" t="s">
        <v>786</v>
      </c>
      <c r="C277" s="318"/>
      <c r="D277" s="83"/>
      <c r="E277" s="51"/>
      <c r="F277" s="273"/>
      <c r="G277" s="72"/>
      <c r="H277" s="8"/>
      <c r="I277" s="25"/>
      <c r="J277" s="76"/>
      <c r="K277" s="281"/>
      <c r="L277" s="83"/>
      <c r="M277" s="176"/>
      <c r="N277" s="8"/>
      <c r="O277" s="34"/>
      <c r="P277" s="89"/>
      <c r="Q277" s="49"/>
      <c r="R277" s="21"/>
      <c r="S277" s="31"/>
      <c r="T277" s="148">
        <f>SUM(T278)</f>
        <v>15602</v>
      </c>
    </row>
    <row r="278" spans="2:20" ht="12.75">
      <c r="B278" s="164" t="s">
        <v>762</v>
      </c>
      <c r="C278" s="347">
        <v>36428</v>
      </c>
      <c r="D278" s="370" t="s">
        <v>399</v>
      </c>
      <c r="E278" s="19" t="s">
        <v>63</v>
      </c>
      <c r="F278" s="87" t="s">
        <v>786</v>
      </c>
      <c r="G278" s="30"/>
      <c r="H278" s="19" t="s">
        <v>50</v>
      </c>
      <c r="I278" s="18" t="s">
        <v>51</v>
      </c>
      <c r="J278" s="79" t="s">
        <v>34</v>
      </c>
      <c r="K278" s="87" t="s">
        <v>52</v>
      </c>
      <c r="L278" s="125" t="s">
        <v>36</v>
      </c>
      <c r="M278" s="66" t="s">
        <v>401</v>
      </c>
      <c r="N278" s="8"/>
      <c r="O278" s="20" t="s">
        <v>532</v>
      </c>
      <c r="P278" s="79" t="s">
        <v>533</v>
      </c>
      <c r="Q278" s="20" t="s">
        <v>41</v>
      </c>
      <c r="R278" s="21">
        <v>15602</v>
      </c>
      <c r="S278" s="21"/>
      <c r="T278" s="40">
        <v>15602</v>
      </c>
    </row>
    <row r="279" spans="2:20" ht="12.75">
      <c r="B279" s="164"/>
      <c r="C279" s="347"/>
      <c r="D279" s="370"/>
      <c r="E279" s="19"/>
      <c r="F279" s="87"/>
      <c r="G279" s="30"/>
      <c r="H279" s="19"/>
      <c r="I279" s="18"/>
      <c r="J279" s="79"/>
      <c r="K279" s="87"/>
      <c r="L279" s="125"/>
      <c r="M279" s="66"/>
      <c r="N279" s="8"/>
      <c r="O279" s="20"/>
      <c r="P279" s="79"/>
      <c r="Q279" s="20"/>
      <c r="R279" s="21"/>
      <c r="S279" s="21"/>
      <c r="T279" s="40"/>
    </row>
    <row r="280" spans="2:20" ht="12.75">
      <c r="B280" s="154" t="s">
        <v>270</v>
      </c>
      <c r="C280" s="318"/>
      <c r="D280" s="83"/>
      <c r="E280" s="51"/>
      <c r="F280" s="273"/>
      <c r="G280" s="72"/>
      <c r="H280" s="8"/>
      <c r="I280" s="25"/>
      <c r="J280" s="76"/>
      <c r="K280" s="281"/>
      <c r="L280" s="83"/>
      <c r="M280" s="176"/>
      <c r="N280" s="8"/>
      <c r="O280" s="34"/>
      <c r="P280" s="89"/>
      <c r="Q280" s="49"/>
      <c r="R280" s="31"/>
      <c r="S280" s="31"/>
      <c r="T280" s="148">
        <f>+T281</f>
        <v>1907</v>
      </c>
    </row>
    <row r="281" spans="2:20" ht="13.5" thickBot="1">
      <c r="B281" s="167" t="s">
        <v>480</v>
      </c>
      <c r="C281" s="348">
        <v>36217</v>
      </c>
      <c r="D281" s="371" t="s">
        <v>479</v>
      </c>
      <c r="E281" s="35" t="s">
        <v>44</v>
      </c>
      <c r="F281" s="284" t="s">
        <v>270</v>
      </c>
      <c r="G281" s="75"/>
      <c r="H281" s="35" t="s">
        <v>476</v>
      </c>
      <c r="I281" s="67" t="s">
        <v>45</v>
      </c>
      <c r="J281" s="80" t="s">
        <v>34</v>
      </c>
      <c r="K281" s="354" t="s">
        <v>120</v>
      </c>
      <c r="L281" s="126" t="s">
        <v>36</v>
      </c>
      <c r="M281" s="250">
        <v>0.07</v>
      </c>
      <c r="N281" s="4"/>
      <c r="O281" s="36" t="s">
        <v>967</v>
      </c>
      <c r="P281" s="80" t="s">
        <v>330</v>
      </c>
      <c r="Q281" s="36" t="s">
        <v>41</v>
      </c>
      <c r="R281" s="37">
        <f>1907.015</f>
        <v>1907.015</v>
      </c>
      <c r="S281" s="37"/>
      <c r="T281" s="56">
        <v>1907</v>
      </c>
    </row>
    <row r="282" spans="2:20" s="94" customFormat="1" ht="18.75" thickTop="1">
      <c r="B282" s="165">
        <v>2000</v>
      </c>
      <c r="C282" s="342"/>
      <c r="D282" s="372"/>
      <c r="E282" s="98"/>
      <c r="F282" s="282"/>
      <c r="G282" s="119"/>
      <c r="H282" s="98"/>
      <c r="I282" s="114"/>
      <c r="J282" s="119"/>
      <c r="K282" s="282"/>
      <c r="L282" s="127"/>
      <c r="M282" s="178"/>
      <c r="N282" s="98"/>
      <c r="O282" s="116"/>
      <c r="P282" s="117"/>
      <c r="Q282" s="116"/>
      <c r="R282" s="120"/>
      <c r="S282" s="120"/>
      <c r="T282" s="118">
        <f>+T283+T286+T294+T305</f>
        <v>1261463</v>
      </c>
    </row>
    <row r="283" spans="2:20" ht="12.75">
      <c r="B283" s="154" t="s">
        <v>632</v>
      </c>
      <c r="C283" s="343"/>
      <c r="D283" s="83"/>
      <c r="E283" s="51"/>
      <c r="F283" s="273"/>
      <c r="G283" s="72"/>
      <c r="H283" s="8"/>
      <c r="I283" s="25"/>
      <c r="J283" s="76"/>
      <c r="K283" s="281"/>
      <c r="L283" s="83"/>
      <c r="M283" s="176"/>
      <c r="N283" s="8"/>
      <c r="O283" s="34"/>
      <c r="P283" s="89"/>
      <c r="Q283" s="49"/>
      <c r="R283" s="31"/>
      <c r="S283" s="31"/>
      <c r="T283" s="148">
        <f>+T284</f>
        <v>3500</v>
      </c>
    </row>
    <row r="284" spans="2:20" ht="12.75">
      <c r="B284" s="166" t="s">
        <v>687</v>
      </c>
      <c r="C284" s="344">
        <v>36802</v>
      </c>
      <c r="D284" s="373" t="s">
        <v>526</v>
      </c>
      <c r="E284" s="19" t="s">
        <v>527</v>
      </c>
      <c r="F284" s="285" t="s">
        <v>703</v>
      </c>
      <c r="G284" s="30"/>
      <c r="H284" s="44" t="s">
        <v>722</v>
      </c>
      <c r="I284" s="146" t="s">
        <v>777</v>
      </c>
      <c r="J284" s="81" t="s">
        <v>34</v>
      </c>
      <c r="K284" s="285" t="s">
        <v>783</v>
      </c>
      <c r="L284" s="128" t="s">
        <v>36</v>
      </c>
      <c r="M284" s="182">
        <v>0.09</v>
      </c>
      <c r="N284" s="8"/>
      <c r="O284" s="44" t="s">
        <v>685</v>
      </c>
      <c r="P284" s="81" t="s">
        <v>704</v>
      </c>
      <c r="Q284" s="43" t="s">
        <v>41</v>
      </c>
      <c r="R284" s="45">
        <v>3500</v>
      </c>
      <c r="S284" s="45"/>
      <c r="T284" s="57">
        <v>3500</v>
      </c>
    </row>
    <row r="285" spans="2:20" ht="12.75">
      <c r="B285" s="166"/>
      <c r="C285" s="344"/>
      <c r="D285" s="373"/>
      <c r="E285" s="19"/>
      <c r="F285" s="285"/>
      <c r="G285" s="30"/>
      <c r="H285" s="44"/>
      <c r="I285" s="146"/>
      <c r="J285" s="81"/>
      <c r="K285" s="285"/>
      <c r="L285" s="128"/>
      <c r="M285" s="182"/>
      <c r="N285" s="8"/>
      <c r="O285" s="43"/>
      <c r="P285" s="81"/>
      <c r="Q285" s="43"/>
      <c r="R285" s="45"/>
      <c r="S285" s="45"/>
      <c r="T285" s="57"/>
    </row>
    <row r="286" spans="2:20" ht="12.75">
      <c r="B286" s="154" t="s">
        <v>803</v>
      </c>
      <c r="C286" s="343"/>
      <c r="D286" s="83"/>
      <c r="E286" s="51"/>
      <c r="F286" s="273"/>
      <c r="G286" s="72"/>
      <c r="H286" s="8"/>
      <c r="I286" s="25"/>
      <c r="J286" s="76"/>
      <c r="K286" s="281"/>
      <c r="L286" s="83"/>
      <c r="M286" s="176"/>
      <c r="N286" s="8"/>
      <c r="O286" s="34"/>
      <c r="P286" s="89"/>
      <c r="Q286" s="49"/>
      <c r="R286" s="31"/>
      <c r="S286" s="31"/>
      <c r="T286" s="148">
        <f>SUM(T287:T292)</f>
        <v>433862</v>
      </c>
    </row>
    <row r="287" spans="2:20" ht="12.75">
      <c r="B287" s="166" t="s">
        <v>664</v>
      </c>
      <c r="C287" s="344">
        <v>36734</v>
      </c>
      <c r="D287" s="370" t="s">
        <v>665</v>
      </c>
      <c r="E287" s="19" t="s">
        <v>527</v>
      </c>
      <c r="F287" s="87" t="s">
        <v>788</v>
      </c>
      <c r="G287" s="30"/>
      <c r="H287" s="19" t="s">
        <v>666</v>
      </c>
      <c r="I287" s="146" t="s">
        <v>779</v>
      </c>
      <c r="J287" s="79" t="s">
        <v>34</v>
      </c>
      <c r="K287" s="87" t="s">
        <v>667</v>
      </c>
      <c r="L287" s="125" t="s">
        <v>36</v>
      </c>
      <c r="M287" s="66" t="s">
        <v>668</v>
      </c>
      <c r="N287" s="8"/>
      <c r="O287" s="20" t="s">
        <v>366</v>
      </c>
      <c r="P287" s="79" t="s">
        <v>669</v>
      </c>
      <c r="Q287" s="20" t="s">
        <v>41</v>
      </c>
      <c r="R287" s="21">
        <v>5000</v>
      </c>
      <c r="S287" s="21"/>
      <c r="T287" s="40">
        <v>5000</v>
      </c>
    </row>
    <row r="288" spans="2:20" ht="12.75">
      <c r="B288" s="166" t="s">
        <v>673</v>
      </c>
      <c r="C288" s="344">
        <v>36768</v>
      </c>
      <c r="D288" s="370" t="s">
        <v>534</v>
      </c>
      <c r="E288" s="19" t="s">
        <v>107</v>
      </c>
      <c r="F288" s="87" t="s">
        <v>788</v>
      </c>
      <c r="G288" s="30"/>
      <c r="H288" s="19" t="s">
        <v>674</v>
      </c>
      <c r="I288" s="146" t="s">
        <v>776</v>
      </c>
      <c r="J288" s="79" t="s">
        <v>34</v>
      </c>
      <c r="K288" s="87" t="s">
        <v>224</v>
      </c>
      <c r="L288" s="125" t="s">
        <v>36</v>
      </c>
      <c r="M288" s="66" t="s">
        <v>675</v>
      </c>
      <c r="N288" s="8"/>
      <c r="O288" s="20" t="s">
        <v>676</v>
      </c>
      <c r="P288" s="79" t="s">
        <v>677</v>
      </c>
      <c r="Q288" s="20" t="s">
        <v>112</v>
      </c>
      <c r="R288" s="21">
        <v>6794</v>
      </c>
      <c r="S288" s="21"/>
      <c r="T288" s="40">
        <v>64176</v>
      </c>
    </row>
    <row r="289" spans="2:20" s="8" customFormat="1" ht="12.75">
      <c r="B289" s="166" t="s">
        <v>678</v>
      </c>
      <c r="C289" s="344">
        <v>36768</v>
      </c>
      <c r="D289" s="370" t="s">
        <v>534</v>
      </c>
      <c r="E289" s="19" t="s">
        <v>107</v>
      </c>
      <c r="F289" s="87" t="s">
        <v>788</v>
      </c>
      <c r="G289" s="30"/>
      <c r="H289" s="19" t="s">
        <v>679</v>
      </c>
      <c r="I289" s="18" t="s">
        <v>33</v>
      </c>
      <c r="J289" s="79" t="s">
        <v>34</v>
      </c>
      <c r="K289" s="87" t="s">
        <v>680</v>
      </c>
      <c r="L289" s="125" t="s">
        <v>36</v>
      </c>
      <c r="M289" s="66" t="s">
        <v>681</v>
      </c>
      <c r="O289" s="20" t="s">
        <v>676</v>
      </c>
      <c r="P289" s="79" t="s">
        <v>677</v>
      </c>
      <c r="Q289" s="20" t="s">
        <v>112</v>
      </c>
      <c r="R289" s="21">
        <v>5588</v>
      </c>
      <c r="S289" s="21"/>
      <c r="T289" s="40">
        <v>52784</v>
      </c>
    </row>
    <row r="290" spans="2:20" ht="12.75">
      <c r="B290" s="166" t="s">
        <v>683</v>
      </c>
      <c r="C290" s="344">
        <v>36768</v>
      </c>
      <c r="D290" s="370" t="s">
        <v>534</v>
      </c>
      <c r="E290" s="19" t="s">
        <v>107</v>
      </c>
      <c r="F290" s="87" t="s">
        <v>788</v>
      </c>
      <c r="G290" s="30"/>
      <c r="H290" s="44" t="s">
        <v>723</v>
      </c>
      <c r="I290" s="18" t="s">
        <v>127</v>
      </c>
      <c r="J290" s="81" t="s">
        <v>34</v>
      </c>
      <c r="K290" s="285" t="s">
        <v>784</v>
      </c>
      <c r="L290" s="128" t="s">
        <v>682</v>
      </c>
      <c r="M290" s="182" t="s">
        <v>684</v>
      </c>
      <c r="N290" s="8"/>
      <c r="O290" s="43" t="s">
        <v>676</v>
      </c>
      <c r="P290" s="81" t="s">
        <v>677</v>
      </c>
      <c r="Q290" s="43" t="s">
        <v>112</v>
      </c>
      <c r="R290" s="45">
        <v>7636000</v>
      </c>
      <c r="S290" s="45"/>
      <c r="T290" s="57">
        <v>72130</v>
      </c>
    </row>
    <row r="291" spans="2:20" ht="12.75">
      <c r="B291" s="166" t="s">
        <v>686</v>
      </c>
      <c r="C291" s="344">
        <v>36768</v>
      </c>
      <c r="D291" s="370" t="s">
        <v>534</v>
      </c>
      <c r="E291" s="19" t="s">
        <v>107</v>
      </c>
      <c r="F291" s="87" t="s">
        <v>788</v>
      </c>
      <c r="G291" s="30"/>
      <c r="H291" s="44" t="s">
        <v>724</v>
      </c>
      <c r="I291" s="18" t="s">
        <v>127</v>
      </c>
      <c r="J291" s="81" t="s">
        <v>34</v>
      </c>
      <c r="K291" s="285" t="s">
        <v>128</v>
      </c>
      <c r="L291" s="128" t="s">
        <v>128</v>
      </c>
      <c r="M291" s="182" t="s">
        <v>684</v>
      </c>
      <c r="N291" s="8"/>
      <c r="O291" s="43" t="s">
        <v>676</v>
      </c>
      <c r="P291" s="81" t="s">
        <v>677</v>
      </c>
      <c r="Q291" s="43" t="s">
        <v>112</v>
      </c>
      <c r="R291" s="45">
        <v>24854000</v>
      </c>
      <c r="S291" s="45"/>
      <c r="T291" s="57">
        <v>234771</v>
      </c>
    </row>
    <row r="292" spans="2:20" ht="12.75">
      <c r="B292" s="166" t="s">
        <v>691</v>
      </c>
      <c r="C292" s="344">
        <v>36815</v>
      </c>
      <c r="D292" s="370" t="s">
        <v>688</v>
      </c>
      <c r="E292" s="19" t="s">
        <v>216</v>
      </c>
      <c r="F292" s="87" t="s">
        <v>788</v>
      </c>
      <c r="G292" s="30"/>
      <c r="H292" s="44" t="s">
        <v>725</v>
      </c>
      <c r="I292" s="18" t="s">
        <v>127</v>
      </c>
      <c r="J292" s="81" t="s">
        <v>34</v>
      </c>
      <c r="K292" s="285" t="s">
        <v>689</v>
      </c>
      <c r="L292" s="128" t="s">
        <v>690</v>
      </c>
      <c r="M292" s="182">
        <v>0.02</v>
      </c>
      <c r="N292" s="8"/>
      <c r="O292" s="43" t="s">
        <v>66</v>
      </c>
      <c r="P292" s="81" t="s">
        <v>172</v>
      </c>
      <c r="Q292" s="43" t="s">
        <v>220</v>
      </c>
      <c r="R292" s="45">
        <v>11500</v>
      </c>
      <c r="S292" s="45"/>
      <c r="T292" s="57">
        <v>5001</v>
      </c>
    </row>
    <row r="293" spans="2:20" ht="12.75">
      <c r="B293" s="166"/>
      <c r="C293" s="344"/>
      <c r="D293" s="370"/>
      <c r="E293" s="19"/>
      <c r="F293" s="87"/>
      <c r="G293" s="30"/>
      <c r="H293" s="44"/>
      <c r="I293" s="18"/>
      <c r="J293" s="81"/>
      <c r="K293" s="285"/>
      <c r="L293" s="128"/>
      <c r="M293" s="182"/>
      <c r="N293" s="8"/>
      <c r="O293" s="43"/>
      <c r="P293" s="81"/>
      <c r="Q293" s="43"/>
      <c r="R293" s="45"/>
      <c r="S293" s="45"/>
      <c r="T293" s="57"/>
    </row>
    <row r="294" spans="2:20" ht="12.75">
      <c r="B294" s="154" t="s">
        <v>634</v>
      </c>
      <c r="C294" s="343"/>
      <c r="D294" s="83"/>
      <c r="E294" s="51"/>
      <c r="F294" s="273"/>
      <c r="G294" s="72"/>
      <c r="H294" s="8"/>
      <c r="I294" s="25"/>
      <c r="J294" s="76"/>
      <c r="K294" s="281"/>
      <c r="L294" s="83"/>
      <c r="M294" s="176"/>
      <c r="N294" s="8"/>
      <c r="O294" s="34"/>
      <c r="P294" s="89"/>
      <c r="Q294" s="49"/>
      <c r="R294" s="31"/>
      <c r="S294" s="31"/>
      <c r="T294" s="148">
        <f>SUM(T295:T303)</f>
        <v>823100</v>
      </c>
    </row>
    <row r="295" spans="2:21" ht="12.75">
      <c r="B295" s="166" t="s">
        <v>652</v>
      </c>
      <c r="C295" s="344">
        <v>36559</v>
      </c>
      <c r="D295" s="370" t="s">
        <v>888</v>
      </c>
      <c r="E295" s="52" t="s">
        <v>719</v>
      </c>
      <c r="F295" s="87" t="s">
        <v>634</v>
      </c>
      <c r="G295" s="30"/>
      <c r="H295" s="19" t="s">
        <v>653</v>
      </c>
      <c r="I295" s="18" t="s">
        <v>85</v>
      </c>
      <c r="J295" s="79" t="s">
        <v>34</v>
      </c>
      <c r="K295" s="87" t="s">
        <v>654</v>
      </c>
      <c r="L295" s="125" t="s">
        <v>36</v>
      </c>
      <c r="M295" s="66" t="s">
        <v>86</v>
      </c>
      <c r="N295" s="8"/>
      <c r="O295" s="20" t="s">
        <v>366</v>
      </c>
      <c r="P295" s="79" t="s">
        <v>231</v>
      </c>
      <c r="Q295" s="20" t="s">
        <v>41</v>
      </c>
      <c r="R295" s="21">
        <v>200000</v>
      </c>
      <c r="S295" s="21"/>
      <c r="T295" s="40">
        <v>200000</v>
      </c>
      <c r="U295" t="s">
        <v>1032</v>
      </c>
    </row>
    <row r="296" spans="2:20" ht="12.75">
      <c r="B296" s="166" t="s">
        <v>655</v>
      </c>
      <c r="C296" s="344">
        <v>36596</v>
      </c>
      <c r="D296" s="370" t="s">
        <v>889</v>
      </c>
      <c r="E296" s="52" t="s">
        <v>719</v>
      </c>
      <c r="F296" s="87" t="s">
        <v>634</v>
      </c>
      <c r="G296" s="30"/>
      <c r="H296" s="19" t="s">
        <v>656</v>
      </c>
      <c r="I296" s="18" t="s">
        <v>85</v>
      </c>
      <c r="J296" s="79" t="s">
        <v>34</v>
      </c>
      <c r="K296" s="87" t="s">
        <v>654</v>
      </c>
      <c r="L296" s="125" t="s">
        <v>36</v>
      </c>
      <c r="M296" s="66" t="s">
        <v>86</v>
      </c>
      <c r="N296" s="8"/>
      <c r="O296" s="20" t="s">
        <v>447</v>
      </c>
      <c r="P296" s="79" t="s">
        <v>264</v>
      </c>
      <c r="Q296" s="20" t="s">
        <v>41</v>
      </c>
      <c r="R296" s="21">
        <v>6500</v>
      </c>
      <c r="S296" s="21"/>
      <c r="T296" s="40">
        <v>6500</v>
      </c>
    </row>
    <row r="297" spans="2:20" ht="12.75">
      <c r="B297" s="166" t="s">
        <v>657</v>
      </c>
      <c r="C297" s="344">
        <v>36643</v>
      </c>
      <c r="D297" s="370" t="s">
        <v>137</v>
      </c>
      <c r="E297" s="52" t="s">
        <v>719</v>
      </c>
      <c r="F297" s="87" t="s">
        <v>634</v>
      </c>
      <c r="G297" s="30"/>
      <c r="H297" s="19" t="s">
        <v>658</v>
      </c>
      <c r="I297" s="23" t="s">
        <v>127</v>
      </c>
      <c r="J297" s="79" t="s">
        <v>34</v>
      </c>
      <c r="K297" s="87" t="s">
        <v>128</v>
      </c>
      <c r="L297" s="125" t="s">
        <v>128</v>
      </c>
      <c r="M297" s="66" t="s">
        <v>659</v>
      </c>
      <c r="N297" s="8"/>
      <c r="O297" s="20" t="s">
        <v>660</v>
      </c>
      <c r="P297" s="79" t="s">
        <v>661</v>
      </c>
      <c r="Q297" s="20" t="s">
        <v>41</v>
      </c>
      <c r="R297" s="21">
        <v>25000</v>
      </c>
      <c r="S297" s="21"/>
      <c r="T297" s="40">
        <v>25000</v>
      </c>
    </row>
    <row r="298" spans="2:20" ht="12.75">
      <c r="B298" s="166" t="s">
        <v>670</v>
      </c>
      <c r="C298" s="344">
        <v>36768</v>
      </c>
      <c r="D298" s="370" t="s">
        <v>890</v>
      </c>
      <c r="E298" s="52" t="s">
        <v>719</v>
      </c>
      <c r="F298" s="87" t="s">
        <v>634</v>
      </c>
      <c r="G298" s="30"/>
      <c r="H298" s="19" t="s">
        <v>671</v>
      </c>
      <c r="I298" s="18" t="s">
        <v>33</v>
      </c>
      <c r="J298" s="79" t="s">
        <v>34</v>
      </c>
      <c r="K298" s="87" t="s">
        <v>65</v>
      </c>
      <c r="L298" s="125" t="s">
        <v>36</v>
      </c>
      <c r="M298" s="66" t="s">
        <v>672</v>
      </c>
      <c r="N298" s="8"/>
      <c r="O298" s="20" t="s">
        <v>366</v>
      </c>
      <c r="P298" s="79" t="s">
        <v>406</v>
      </c>
      <c r="Q298" s="20" t="s">
        <v>41</v>
      </c>
      <c r="R298" s="21">
        <v>9600</v>
      </c>
      <c r="S298" s="21"/>
      <c r="T298" s="40">
        <v>9600</v>
      </c>
    </row>
    <row r="299" spans="2:20" ht="12.75">
      <c r="B299" s="166" t="s">
        <v>693</v>
      </c>
      <c r="C299" s="344">
        <v>36826</v>
      </c>
      <c r="D299" s="370" t="s">
        <v>891</v>
      </c>
      <c r="E299" s="52" t="s">
        <v>719</v>
      </c>
      <c r="F299" s="87" t="s">
        <v>634</v>
      </c>
      <c r="G299" s="30"/>
      <c r="H299" s="44" t="s">
        <v>726</v>
      </c>
      <c r="I299" s="18" t="s">
        <v>446</v>
      </c>
      <c r="J299" s="81" t="s">
        <v>34</v>
      </c>
      <c r="K299" s="285" t="s">
        <v>692</v>
      </c>
      <c r="L299" s="128" t="s">
        <v>36</v>
      </c>
      <c r="M299" s="183" t="s">
        <v>86</v>
      </c>
      <c r="N299" s="8"/>
      <c r="O299" s="43" t="s">
        <v>408</v>
      </c>
      <c r="P299" s="81" t="s">
        <v>627</v>
      </c>
      <c r="Q299" s="43" t="s">
        <v>41</v>
      </c>
      <c r="R299" s="45">
        <v>120000</v>
      </c>
      <c r="S299" s="45"/>
      <c r="T299" s="57">
        <v>120000</v>
      </c>
    </row>
    <row r="300" spans="2:20" ht="12.75">
      <c r="B300" s="166" t="s">
        <v>694</v>
      </c>
      <c r="C300" s="344">
        <v>36826</v>
      </c>
      <c r="D300" s="370" t="s">
        <v>892</v>
      </c>
      <c r="E300" s="52" t="s">
        <v>719</v>
      </c>
      <c r="F300" s="87" t="s">
        <v>634</v>
      </c>
      <c r="G300" s="30"/>
      <c r="H300" s="44" t="s">
        <v>802</v>
      </c>
      <c r="I300" s="18" t="s">
        <v>378</v>
      </c>
      <c r="J300" s="81" t="s">
        <v>34</v>
      </c>
      <c r="K300" s="285" t="s">
        <v>315</v>
      </c>
      <c r="L300" s="128" t="s">
        <v>36</v>
      </c>
      <c r="M300" s="183" t="s">
        <v>86</v>
      </c>
      <c r="N300" s="8"/>
      <c r="O300" s="43" t="s">
        <v>695</v>
      </c>
      <c r="P300" s="81" t="s">
        <v>696</v>
      </c>
      <c r="Q300" s="43" t="s">
        <v>41</v>
      </c>
      <c r="R300" s="45">
        <v>120000</v>
      </c>
      <c r="S300" s="45"/>
      <c r="T300" s="57">
        <v>120000</v>
      </c>
    </row>
    <row r="301" spans="2:20" ht="12.75">
      <c r="B301" s="166" t="s">
        <v>697</v>
      </c>
      <c r="C301" s="344">
        <v>36829</v>
      </c>
      <c r="D301" s="370" t="s">
        <v>893</v>
      </c>
      <c r="E301" s="52" t="s">
        <v>719</v>
      </c>
      <c r="F301" s="87" t="s">
        <v>634</v>
      </c>
      <c r="G301" s="30"/>
      <c r="H301" s="44" t="s">
        <v>727</v>
      </c>
      <c r="I301" s="18" t="s">
        <v>186</v>
      </c>
      <c r="J301" s="81" t="s">
        <v>34</v>
      </c>
      <c r="K301" s="285" t="s">
        <v>187</v>
      </c>
      <c r="L301" s="128" t="s">
        <v>36</v>
      </c>
      <c r="M301" s="183" t="s">
        <v>86</v>
      </c>
      <c r="N301" s="8"/>
      <c r="O301" s="43" t="s">
        <v>695</v>
      </c>
      <c r="P301" s="81" t="s">
        <v>696</v>
      </c>
      <c r="Q301" s="43" t="s">
        <v>41</v>
      </c>
      <c r="R301" s="45">
        <v>87000</v>
      </c>
      <c r="S301" s="45"/>
      <c r="T301" s="57">
        <v>87000</v>
      </c>
    </row>
    <row r="302" spans="2:20" ht="12.75">
      <c r="B302" s="166" t="s">
        <v>698</v>
      </c>
      <c r="C302" s="344">
        <v>36830</v>
      </c>
      <c r="D302" s="370" t="s">
        <v>137</v>
      </c>
      <c r="E302" s="52" t="s">
        <v>719</v>
      </c>
      <c r="F302" s="87" t="s">
        <v>634</v>
      </c>
      <c r="G302" s="30"/>
      <c r="H302" s="44" t="s">
        <v>728</v>
      </c>
      <c r="I302" s="18" t="s">
        <v>446</v>
      </c>
      <c r="J302" s="81" t="s">
        <v>34</v>
      </c>
      <c r="K302" s="285" t="s">
        <v>36</v>
      </c>
      <c r="L302" s="128" t="s">
        <v>36</v>
      </c>
      <c r="M302" s="183" t="s">
        <v>699</v>
      </c>
      <c r="N302" s="8"/>
      <c r="O302" s="43" t="s">
        <v>567</v>
      </c>
      <c r="P302" s="81" t="s">
        <v>700</v>
      </c>
      <c r="Q302" s="43" t="s">
        <v>41</v>
      </c>
      <c r="R302" s="45">
        <v>250000</v>
      </c>
      <c r="S302" s="45"/>
      <c r="T302" s="57">
        <v>250000</v>
      </c>
    </row>
    <row r="303" spans="2:20" ht="12.75">
      <c r="B303" s="166" t="s">
        <v>701</v>
      </c>
      <c r="C303" s="344">
        <v>36840</v>
      </c>
      <c r="D303" s="370" t="s">
        <v>894</v>
      </c>
      <c r="E303" s="52" t="s">
        <v>719</v>
      </c>
      <c r="F303" s="87" t="s">
        <v>634</v>
      </c>
      <c r="G303" s="30"/>
      <c r="H303" s="44" t="s">
        <v>729</v>
      </c>
      <c r="I303" s="146" t="s">
        <v>776</v>
      </c>
      <c r="J303" s="81" t="s">
        <v>34</v>
      </c>
      <c r="K303" s="285" t="s">
        <v>469</v>
      </c>
      <c r="L303" s="128" t="s">
        <v>36</v>
      </c>
      <c r="M303" s="183" t="s">
        <v>702</v>
      </c>
      <c r="N303" s="8"/>
      <c r="O303" s="43" t="s">
        <v>366</v>
      </c>
      <c r="P303" s="81" t="s">
        <v>406</v>
      </c>
      <c r="Q303" s="43" t="s">
        <v>41</v>
      </c>
      <c r="R303" s="45">
        <v>5000</v>
      </c>
      <c r="S303" s="45"/>
      <c r="T303" s="57">
        <v>5000</v>
      </c>
    </row>
    <row r="304" spans="2:20" ht="12.75">
      <c r="B304" s="166"/>
      <c r="C304" s="344"/>
      <c r="D304" s="370"/>
      <c r="E304" s="52"/>
      <c r="F304" s="87"/>
      <c r="G304" s="30"/>
      <c r="H304" s="44"/>
      <c r="I304" s="146"/>
      <c r="J304" s="81"/>
      <c r="K304" s="285"/>
      <c r="L304" s="128"/>
      <c r="M304" s="183"/>
      <c r="N304" s="8"/>
      <c r="O304" s="43"/>
      <c r="P304" s="81"/>
      <c r="Q304" s="43"/>
      <c r="R304" s="45"/>
      <c r="S304" s="45"/>
      <c r="T304" s="57"/>
    </row>
    <row r="305" spans="2:20" ht="12.75">
      <c r="B305" s="154" t="s">
        <v>270</v>
      </c>
      <c r="C305" s="343"/>
      <c r="D305" s="83"/>
      <c r="E305" s="51"/>
      <c r="F305" s="273"/>
      <c r="G305" s="72"/>
      <c r="H305" s="8"/>
      <c r="I305" s="25"/>
      <c r="J305" s="76"/>
      <c r="K305" s="281"/>
      <c r="L305" s="83"/>
      <c r="M305" s="176"/>
      <c r="N305" s="8"/>
      <c r="O305" s="34"/>
      <c r="P305" s="89"/>
      <c r="Q305" s="49"/>
      <c r="R305" s="31"/>
      <c r="S305" s="31"/>
      <c r="T305" s="148">
        <f>+T306</f>
        <v>1001</v>
      </c>
    </row>
    <row r="306" spans="2:20" ht="13.5" thickBot="1">
      <c r="B306" s="167" t="s">
        <v>662</v>
      </c>
      <c r="C306" s="345">
        <v>36707</v>
      </c>
      <c r="D306" s="371" t="s">
        <v>479</v>
      </c>
      <c r="E306" s="251" t="s">
        <v>719</v>
      </c>
      <c r="F306" s="284" t="s">
        <v>270</v>
      </c>
      <c r="G306" s="75"/>
      <c r="H306" s="35" t="s">
        <v>663</v>
      </c>
      <c r="I306" s="67" t="s">
        <v>45</v>
      </c>
      <c r="J306" s="80" t="s">
        <v>34</v>
      </c>
      <c r="K306" s="284" t="s">
        <v>120</v>
      </c>
      <c r="L306" s="126" t="s">
        <v>36</v>
      </c>
      <c r="M306" s="250">
        <v>0.07</v>
      </c>
      <c r="N306" s="4"/>
      <c r="O306" s="36" t="s">
        <v>418</v>
      </c>
      <c r="P306" s="80" t="s">
        <v>330</v>
      </c>
      <c r="Q306" s="36" t="s">
        <v>41</v>
      </c>
      <c r="R306" s="37">
        <v>1001</v>
      </c>
      <c r="S306" s="37"/>
      <c r="T306" s="56">
        <v>1001</v>
      </c>
    </row>
    <row r="307" spans="2:20" ht="18.75" thickTop="1">
      <c r="B307" s="252">
        <v>2001</v>
      </c>
      <c r="C307" s="286"/>
      <c r="D307" s="65"/>
      <c r="E307" s="63"/>
      <c r="F307" s="286"/>
      <c r="G307" s="63"/>
      <c r="H307" s="63"/>
      <c r="I307" s="197"/>
      <c r="J307" s="64"/>
      <c r="K307" s="286"/>
      <c r="L307" s="63"/>
      <c r="M307" s="193"/>
      <c r="N307" s="193"/>
      <c r="O307" s="63"/>
      <c r="P307" s="199"/>
      <c r="Q307" s="194"/>
      <c r="R307" s="195"/>
      <c r="S307" s="63"/>
      <c r="T307" s="253">
        <f>+T308+T311</f>
        <v>1050300</v>
      </c>
    </row>
    <row r="308" spans="2:20" ht="12.75">
      <c r="B308" s="154" t="s">
        <v>803</v>
      </c>
      <c r="C308" s="281"/>
      <c r="D308" s="30"/>
      <c r="E308" s="8"/>
      <c r="F308" s="281"/>
      <c r="G308" s="8"/>
      <c r="H308" s="8"/>
      <c r="I308" s="198"/>
      <c r="J308" s="34"/>
      <c r="K308" s="281"/>
      <c r="L308" s="8"/>
      <c r="M308" s="44"/>
      <c r="N308" s="44"/>
      <c r="O308" s="8"/>
      <c r="P308" s="200"/>
      <c r="Q308" s="202"/>
      <c r="R308" s="31"/>
      <c r="S308" s="8"/>
      <c r="T308" s="148">
        <f>SUM(T309:T309)</f>
        <v>10000</v>
      </c>
    </row>
    <row r="309" spans="2:20" ht="12.75">
      <c r="B309" s="211" t="s">
        <v>826</v>
      </c>
      <c r="C309" s="318">
        <v>37057</v>
      </c>
      <c r="D309" s="374" t="s">
        <v>665</v>
      </c>
      <c r="E309" s="8"/>
      <c r="F309" s="87" t="s">
        <v>788</v>
      </c>
      <c r="G309" s="8"/>
      <c r="H309" s="8" t="s">
        <v>543</v>
      </c>
      <c r="I309" s="146" t="s">
        <v>853</v>
      </c>
      <c r="J309" s="34"/>
      <c r="K309" s="281" t="s">
        <v>36</v>
      </c>
      <c r="L309" s="8"/>
      <c r="M309" s="179">
        <v>0.01</v>
      </c>
      <c r="N309" s="44"/>
      <c r="O309" s="34" t="s">
        <v>366</v>
      </c>
      <c r="P309" s="89" t="s">
        <v>669</v>
      </c>
      <c r="Q309" s="20" t="s">
        <v>41</v>
      </c>
      <c r="R309" s="191">
        <v>10000</v>
      </c>
      <c r="S309" s="8"/>
      <c r="T309" s="201">
        <v>10000</v>
      </c>
    </row>
    <row r="310" spans="2:20" ht="12.75">
      <c r="B310" s="212"/>
      <c r="C310" s="281"/>
      <c r="D310" s="30"/>
      <c r="E310" s="8"/>
      <c r="F310" s="281"/>
      <c r="G310" s="8"/>
      <c r="H310" s="8"/>
      <c r="I310" s="198"/>
      <c r="J310" s="34"/>
      <c r="K310" s="281"/>
      <c r="L310" s="8"/>
      <c r="M310" s="44"/>
      <c r="N310" s="44"/>
      <c r="O310" s="8"/>
      <c r="P310" s="200"/>
      <c r="Q310" s="202"/>
      <c r="R310" s="31"/>
      <c r="S310" s="8"/>
      <c r="T310" s="30"/>
    </row>
    <row r="311" spans="2:20" ht="12.75">
      <c r="B311" s="213" t="s">
        <v>634</v>
      </c>
      <c r="C311" s="281"/>
      <c r="D311" s="30"/>
      <c r="E311" s="8"/>
      <c r="F311" s="281"/>
      <c r="G311" s="8"/>
      <c r="H311" s="8"/>
      <c r="I311" s="198"/>
      <c r="J311" s="34"/>
      <c r="K311" s="281"/>
      <c r="L311" s="8"/>
      <c r="M311" s="44"/>
      <c r="N311" s="44"/>
      <c r="O311" s="8"/>
      <c r="P311" s="200"/>
      <c r="Q311" s="202"/>
      <c r="R311" s="31"/>
      <c r="S311" s="8"/>
      <c r="T311" s="148">
        <f>SUM(T312:T321)</f>
        <v>1040300</v>
      </c>
    </row>
    <row r="312" spans="2:20" ht="12.75">
      <c r="B312" s="211" t="s">
        <v>828</v>
      </c>
      <c r="C312" s="318">
        <v>36962</v>
      </c>
      <c r="D312" s="374" t="s">
        <v>895</v>
      </c>
      <c r="E312" s="8"/>
      <c r="F312" s="87" t="s">
        <v>634</v>
      </c>
      <c r="G312" s="8"/>
      <c r="H312" s="196" t="s">
        <v>837</v>
      </c>
      <c r="I312" s="163" t="s">
        <v>186</v>
      </c>
      <c r="J312" s="34"/>
      <c r="K312" s="281" t="s">
        <v>187</v>
      </c>
      <c r="L312" s="8"/>
      <c r="M312" s="183" t="s">
        <v>702</v>
      </c>
      <c r="N312" s="44"/>
      <c r="O312" s="43" t="s">
        <v>366</v>
      </c>
      <c r="P312" s="89" t="s">
        <v>406</v>
      </c>
      <c r="Q312" s="20" t="s">
        <v>41</v>
      </c>
      <c r="R312" s="191">
        <v>27000</v>
      </c>
      <c r="S312" s="8"/>
      <c r="T312" s="201">
        <v>27000</v>
      </c>
    </row>
    <row r="313" spans="2:21" ht="12.75">
      <c r="B313" s="211" t="s">
        <v>829</v>
      </c>
      <c r="C313" s="318">
        <v>36976</v>
      </c>
      <c r="D313" s="374" t="s">
        <v>896</v>
      </c>
      <c r="E313" s="8"/>
      <c r="F313" s="87" t="s">
        <v>634</v>
      </c>
      <c r="G313" s="8"/>
      <c r="H313" s="196" t="s">
        <v>838</v>
      </c>
      <c r="I313" s="163" t="s">
        <v>85</v>
      </c>
      <c r="J313" s="34"/>
      <c r="K313" s="281" t="s">
        <v>36</v>
      </c>
      <c r="L313" s="8"/>
      <c r="M313" s="183" t="s">
        <v>702</v>
      </c>
      <c r="N313" s="44"/>
      <c r="O313" s="43" t="s">
        <v>366</v>
      </c>
      <c r="P313" s="89" t="s">
        <v>406</v>
      </c>
      <c r="Q313" s="20" t="s">
        <v>41</v>
      </c>
      <c r="R313" s="191">
        <v>100000</v>
      </c>
      <c r="S313" s="8"/>
      <c r="T313" s="201">
        <v>100000</v>
      </c>
      <c r="U313" t="s">
        <v>1032</v>
      </c>
    </row>
    <row r="314" spans="2:20" ht="12.75">
      <c r="B314" s="211" t="s">
        <v>830</v>
      </c>
      <c r="C314" s="318">
        <v>37001</v>
      </c>
      <c r="D314" s="374" t="s">
        <v>137</v>
      </c>
      <c r="E314" s="8"/>
      <c r="F314" s="87" t="s">
        <v>634</v>
      </c>
      <c r="G314" s="8"/>
      <c r="H314" s="196" t="s">
        <v>839</v>
      </c>
      <c r="I314" s="166" t="s">
        <v>446</v>
      </c>
      <c r="J314" s="34"/>
      <c r="K314" s="281" t="s">
        <v>36</v>
      </c>
      <c r="L314" s="8"/>
      <c r="M314" s="192" t="s">
        <v>848</v>
      </c>
      <c r="N314" s="44"/>
      <c r="O314" s="34" t="s">
        <v>453</v>
      </c>
      <c r="P314" s="89" t="s">
        <v>851</v>
      </c>
      <c r="Q314" s="20" t="s">
        <v>41</v>
      </c>
      <c r="R314" s="191">
        <v>300000</v>
      </c>
      <c r="S314" s="8"/>
      <c r="T314" s="201">
        <v>300000</v>
      </c>
    </row>
    <row r="315" spans="2:21" ht="12.75">
      <c r="B315" s="211" t="s">
        <v>831</v>
      </c>
      <c r="C315" s="318">
        <v>37040</v>
      </c>
      <c r="D315" s="374" t="s">
        <v>897</v>
      </c>
      <c r="E315" s="8"/>
      <c r="F315" s="87" t="s">
        <v>634</v>
      </c>
      <c r="G315" s="8"/>
      <c r="H315" s="8" t="s">
        <v>840</v>
      </c>
      <c r="I315" s="163" t="s">
        <v>85</v>
      </c>
      <c r="J315" s="34"/>
      <c r="K315" s="281" t="s">
        <v>36</v>
      </c>
      <c r="L315" s="8"/>
      <c r="M315" s="176" t="s">
        <v>946</v>
      </c>
      <c r="N315" s="44"/>
      <c r="O315" s="34" t="s">
        <v>477</v>
      </c>
      <c r="P315" s="89" t="s">
        <v>158</v>
      </c>
      <c r="Q315" s="20" t="s">
        <v>41</v>
      </c>
      <c r="R315" s="191">
        <v>250000</v>
      </c>
      <c r="S315" s="8"/>
      <c r="T315" s="201">
        <v>250000</v>
      </c>
      <c r="U315" t="s">
        <v>1032</v>
      </c>
    </row>
    <row r="316" spans="2:20" ht="12.75">
      <c r="B316" s="211" t="s">
        <v>832</v>
      </c>
      <c r="C316" s="318">
        <v>37060</v>
      </c>
      <c r="D316" s="374" t="s">
        <v>898</v>
      </c>
      <c r="E316" s="8"/>
      <c r="F316" s="87" t="s">
        <v>634</v>
      </c>
      <c r="G316" s="8"/>
      <c r="H316" s="8" t="s">
        <v>841</v>
      </c>
      <c r="I316" s="163" t="s">
        <v>846</v>
      </c>
      <c r="J316" s="34"/>
      <c r="K316" s="281" t="s">
        <v>847</v>
      </c>
      <c r="L316" s="8"/>
      <c r="M316" s="176" t="s">
        <v>849</v>
      </c>
      <c r="N316" s="44"/>
      <c r="O316" s="34" t="s">
        <v>366</v>
      </c>
      <c r="P316" s="89" t="s">
        <v>406</v>
      </c>
      <c r="Q316" s="20" t="s">
        <v>41</v>
      </c>
      <c r="R316" s="191">
        <v>50000</v>
      </c>
      <c r="S316" s="8"/>
      <c r="T316" s="201">
        <v>50000</v>
      </c>
    </row>
    <row r="317" spans="2:20" ht="12.75">
      <c r="B317" s="211" t="s">
        <v>833</v>
      </c>
      <c r="C317" s="318">
        <v>37082</v>
      </c>
      <c r="D317" s="374" t="s">
        <v>899</v>
      </c>
      <c r="E317" s="8"/>
      <c r="F317" s="87" t="s">
        <v>634</v>
      </c>
      <c r="G317" s="8"/>
      <c r="H317" s="8" t="s">
        <v>842</v>
      </c>
      <c r="I317" s="163" t="s">
        <v>846</v>
      </c>
      <c r="J317" s="34"/>
      <c r="K317" s="281" t="s">
        <v>847</v>
      </c>
      <c r="L317" s="8"/>
      <c r="M317" s="176" t="s">
        <v>946</v>
      </c>
      <c r="N317" s="44"/>
      <c r="O317" s="34" t="s">
        <v>523</v>
      </c>
      <c r="P317" s="89" t="s">
        <v>852</v>
      </c>
      <c r="Q317" s="20" t="s">
        <v>41</v>
      </c>
      <c r="R317" s="191">
        <v>50000</v>
      </c>
      <c r="S317" s="8"/>
      <c r="T317" s="201">
        <v>50000</v>
      </c>
    </row>
    <row r="318" spans="2:20" ht="12.75">
      <c r="B318" s="211" t="s">
        <v>834</v>
      </c>
      <c r="C318" s="318">
        <v>37085</v>
      </c>
      <c r="D318" s="374" t="s">
        <v>900</v>
      </c>
      <c r="E318" s="8"/>
      <c r="F318" s="87" t="s">
        <v>634</v>
      </c>
      <c r="G318" s="8"/>
      <c r="H318" s="8" t="s">
        <v>843</v>
      </c>
      <c r="I318" s="163" t="s">
        <v>33</v>
      </c>
      <c r="J318" s="34"/>
      <c r="K318" s="281" t="s">
        <v>827</v>
      </c>
      <c r="L318" s="8"/>
      <c r="M318" s="176" t="s">
        <v>946</v>
      </c>
      <c r="N318" s="44"/>
      <c r="O318" s="34" t="s">
        <v>523</v>
      </c>
      <c r="P318" s="89" t="s">
        <v>524</v>
      </c>
      <c r="Q318" s="20" t="s">
        <v>41</v>
      </c>
      <c r="R318" s="31">
        <v>23300</v>
      </c>
      <c r="S318" s="8"/>
      <c r="T318" s="39">
        <v>23300</v>
      </c>
    </row>
    <row r="319" spans="2:21" ht="12.75">
      <c r="B319" s="211" t="s">
        <v>835</v>
      </c>
      <c r="C319" s="318">
        <v>37090</v>
      </c>
      <c r="D319" s="374" t="s">
        <v>901</v>
      </c>
      <c r="E319" s="8"/>
      <c r="F319" s="87" t="s">
        <v>634</v>
      </c>
      <c r="G319" s="8"/>
      <c r="H319" s="8" t="s">
        <v>844</v>
      </c>
      <c r="I319" s="163" t="s">
        <v>85</v>
      </c>
      <c r="J319" s="34"/>
      <c r="K319" s="281" t="s">
        <v>36</v>
      </c>
      <c r="L319" s="8"/>
      <c r="M319" s="176" t="s">
        <v>946</v>
      </c>
      <c r="N319" s="44"/>
      <c r="O319" s="34" t="s">
        <v>366</v>
      </c>
      <c r="P319" s="89" t="s">
        <v>948</v>
      </c>
      <c r="Q319" s="20" t="s">
        <v>41</v>
      </c>
      <c r="R319" s="31">
        <v>20000</v>
      </c>
      <c r="S319" s="8"/>
      <c r="T319" s="39">
        <v>20000</v>
      </c>
      <c r="U319" s="13">
        <f>T314+T320+T321</f>
        <v>520000</v>
      </c>
    </row>
    <row r="320" spans="2:21" ht="12.75">
      <c r="B320" s="211" t="s">
        <v>836</v>
      </c>
      <c r="C320" s="318">
        <v>37097</v>
      </c>
      <c r="D320" s="374" t="s">
        <v>137</v>
      </c>
      <c r="E320" s="8"/>
      <c r="F320" s="87" t="s">
        <v>634</v>
      </c>
      <c r="G320" s="8"/>
      <c r="H320" s="8" t="s">
        <v>845</v>
      </c>
      <c r="I320" s="163" t="s">
        <v>85</v>
      </c>
      <c r="J320" s="34"/>
      <c r="K320" s="281" t="s">
        <v>36</v>
      </c>
      <c r="L320" s="8"/>
      <c r="M320" s="176" t="s">
        <v>850</v>
      </c>
      <c r="N320" s="44"/>
      <c r="O320" s="34" t="s">
        <v>408</v>
      </c>
      <c r="P320" s="89" t="s">
        <v>330</v>
      </c>
      <c r="Q320" s="20" t="s">
        <v>41</v>
      </c>
      <c r="R320" s="31">
        <v>20000</v>
      </c>
      <c r="S320" s="8"/>
      <c r="T320" s="39">
        <v>20000</v>
      </c>
      <c r="U320" s="13">
        <f>T315+T317+T318+T319</f>
        <v>343300</v>
      </c>
    </row>
    <row r="321" spans="2:21" ht="13.5" thickBot="1">
      <c r="B321" s="254" t="s">
        <v>857</v>
      </c>
      <c r="C321" s="322">
        <v>37217</v>
      </c>
      <c r="D321" s="375" t="s">
        <v>137</v>
      </c>
      <c r="E321" s="4"/>
      <c r="F321" s="284" t="s">
        <v>634</v>
      </c>
      <c r="G321" s="4"/>
      <c r="H321" s="4" t="s">
        <v>854</v>
      </c>
      <c r="I321" s="255" t="s">
        <v>85</v>
      </c>
      <c r="J321" s="16"/>
      <c r="K321" s="283" t="s">
        <v>36</v>
      </c>
      <c r="L321" s="4"/>
      <c r="M321" s="177" t="s">
        <v>855</v>
      </c>
      <c r="N321" s="187"/>
      <c r="O321" s="16" t="s">
        <v>453</v>
      </c>
      <c r="P321" s="92" t="s">
        <v>856</v>
      </c>
      <c r="Q321" s="36" t="s">
        <v>41</v>
      </c>
      <c r="R321" s="29">
        <v>200000</v>
      </c>
      <c r="S321" s="4"/>
      <c r="T321" s="256">
        <v>200000</v>
      </c>
      <c r="U321" s="13">
        <f>T316+T313+T312</f>
        <v>177000</v>
      </c>
    </row>
    <row r="322" spans="2:20" ht="18.75" thickTop="1">
      <c r="B322" s="210">
        <v>2002</v>
      </c>
      <c r="C322" s="281"/>
      <c r="D322" s="30"/>
      <c r="E322" s="8"/>
      <c r="F322" s="286"/>
      <c r="G322" s="8"/>
      <c r="H322" s="30"/>
      <c r="I322" s="198"/>
      <c r="J322" s="34"/>
      <c r="K322" s="89"/>
      <c r="L322" s="8"/>
      <c r="M322" s="192"/>
      <c r="N322" s="44"/>
      <c r="O322" s="8"/>
      <c r="P322" s="200"/>
      <c r="Q322" s="208"/>
      <c r="R322" s="31"/>
      <c r="S322" s="8"/>
      <c r="T322" s="118">
        <f>+T323+T327+T332</f>
        <v>1873305.7</v>
      </c>
    </row>
    <row r="323" spans="2:20" ht="12.75">
      <c r="B323" s="205" t="s">
        <v>904</v>
      </c>
      <c r="C323" s="422"/>
      <c r="D323" s="423"/>
      <c r="E323" s="424"/>
      <c r="F323" s="422"/>
      <c r="G323" s="424"/>
      <c r="H323" s="423"/>
      <c r="I323" s="425"/>
      <c r="J323" s="325"/>
      <c r="K323" s="426"/>
      <c r="L323" s="424"/>
      <c r="M323" s="427"/>
      <c r="N323" s="428"/>
      <c r="O323" s="424"/>
      <c r="P323" s="429"/>
      <c r="Q323" s="208"/>
      <c r="R323" s="430"/>
      <c r="S323" s="424"/>
      <c r="T323" s="148">
        <f>SUM(T324:T325)</f>
        <v>1000000</v>
      </c>
    </row>
    <row r="324" spans="2:20" ht="12.75">
      <c r="B324" s="427" t="s">
        <v>1875</v>
      </c>
      <c r="C324" s="431">
        <v>37285</v>
      </c>
      <c r="D324" s="423" t="s">
        <v>904</v>
      </c>
      <c r="E324" s="424"/>
      <c r="F324" s="422" t="s">
        <v>904</v>
      </c>
      <c r="G324" s="424"/>
      <c r="H324" s="432" t="s">
        <v>1151</v>
      </c>
      <c r="I324" s="433" t="s">
        <v>85</v>
      </c>
      <c r="J324" s="325"/>
      <c r="K324" s="426" t="s">
        <v>36</v>
      </c>
      <c r="L324" s="424"/>
      <c r="M324" s="434">
        <v>0.09125</v>
      </c>
      <c r="N324" s="424"/>
      <c r="O324" s="357" t="s">
        <v>905</v>
      </c>
      <c r="P324" s="426" t="s">
        <v>66</v>
      </c>
      <c r="Q324" s="313" t="s">
        <v>41</v>
      </c>
      <c r="R324" s="430">
        <v>500000</v>
      </c>
      <c r="S324" s="430"/>
      <c r="T324" s="326">
        <f>+R324</f>
        <v>500000</v>
      </c>
    </row>
    <row r="325" spans="2:20" ht="12.75">
      <c r="B325" s="427" t="s">
        <v>933</v>
      </c>
      <c r="C325" s="431">
        <v>37582</v>
      </c>
      <c r="D325" s="423" t="s">
        <v>904</v>
      </c>
      <c r="E325" s="424"/>
      <c r="F325" s="422" t="s">
        <v>904</v>
      </c>
      <c r="G325" s="424"/>
      <c r="H325" s="432" t="s">
        <v>1151</v>
      </c>
      <c r="I325" s="433" t="s">
        <v>85</v>
      </c>
      <c r="J325" s="325"/>
      <c r="K325" s="426" t="s">
        <v>36</v>
      </c>
      <c r="L325" s="424"/>
      <c r="M325" s="434">
        <v>0.09125</v>
      </c>
      <c r="N325" s="424"/>
      <c r="O325" s="357" t="s">
        <v>905</v>
      </c>
      <c r="P325" s="426" t="s">
        <v>366</v>
      </c>
      <c r="Q325" s="313" t="s">
        <v>41</v>
      </c>
      <c r="R325" s="430">
        <v>500000</v>
      </c>
      <c r="S325" s="430"/>
      <c r="T325" s="326">
        <f>+R325</f>
        <v>500000</v>
      </c>
    </row>
    <row r="326" spans="2:20" ht="12.75">
      <c r="B326" s="435"/>
      <c r="C326" s="422"/>
      <c r="D326" s="423"/>
      <c r="E326" s="424"/>
      <c r="F326" s="422"/>
      <c r="G326" s="424"/>
      <c r="H326" s="423"/>
      <c r="I326" s="425"/>
      <c r="J326" s="325"/>
      <c r="K326" s="426"/>
      <c r="L326" s="424"/>
      <c r="M326" s="427"/>
      <c r="N326" s="428"/>
      <c r="O326" s="424"/>
      <c r="P326" s="429"/>
      <c r="Q326" s="208"/>
      <c r="R326" s="430"/>
      <c r="S326" s="424"/>
      <c r="T326" s="423"/>
    </row>
    <row r="327" spans="2:20" ht="12.75">
      <c r="B327" s="154" t="s">
        <v>803</v>
      </c>
      <c r="C327" s="422"/>
      <c r="D327" s="423"/>
      <c r="E327" s="424"/>
      <c r="F327" s="422"/>
      <c r="G327" s="424"/>
      <c r="H327" s="423"/>
      <c r="I327" s="425"/>
      <c r="J327" s="325"/>
      <c r="K327" s="426"/>
      <c r="L327" s="424"/>
      <c r="M327" s="427"/>
      <c r="N327" s="428"/>
      <c r="O327" s="424"/>
      <c r="P327" s="429"/>
      <c r="Q327" s="208"/>
      <c r="R327" s="430"/>
      <c r="S327" s="424"/>
      <c r="T327" s="148">
        <f>SUM(T328:T330)</f>
        <v>16805.7</v>
      </c>
    </row>
    <row r="328" spans="2:20" ht="12.75">
      <c r="B328" s="427" t="s">
        <v>919</v>
      </c>
      <c r="C328" s="436">
        <v>37351</v>
      </c>
      <c r="D328" s="423" t="s">
        <v>902</v>
      </c>
      <c r="E328" s="424" t="s">
        <v>527</v>
      </c>
      <c r="F328" s="422" t="s">
        <v>31</v>
      </c>
      <c r="G328" s="424"/>
      <c r="H328" s="432" t="s">
        <v>1152</v>
      </c>
      <c r="I328" s="437" t="s">
        <v>853</v>
      </c>
      <c r="J328" s="325"/>
      <c r="K328" s="426" t="s">
        <v>36</v>
      </c>
      <c r="L328" s="424"/>
      <c r="M328" s="438">
        <v>0.01</v>
      </c>
      <c r="N328" s="424"/>
      <c r="O328" s="325" t="s">
        <v>366</v>
      </c>
      <c r="P328" s="426" t="s">
        <v>903</v>
      </c>
      <c r="Q328" s="313" t="s">
        <v>41</v>
      </c>
      <c r="R328" s="430">
        <v>10000</v>
      </c>
      <c r="S328" s="430"/>
      <c r="T328" s="326">
        <f>+R328</f>
        <v>10000</v>
      </c>
    </row>
    <row r="329" spans="2:20" ht="12.75">
      <c r="B329" s="439" t="s">
        <v>920</v>
      </c>
      <c r="C329" s="431">
        <v>37385</v>
      </c>
      <c r="D329" s="423" t="s">
        <v>688</v>
      </c>
      <c r="E329" s="424"/>
      <c r="F329" s="422" t="s">
        <v>31</v>
      </c>
      <c r="G329" s="424"/>
      <c r="H329" s="432" t="s">
        <v>1153</v>
      </c>
      <c r="I329" s="437" t="s">
        <v>127</v>
      </c>
      <c r="J329" s="424"/>
      <c r="K329" s="426" t="s">
        <v>906</v>
      </c>
      <c r="L329" s="424"/>
      <c r="M329" s="438">
        <v>0.02</v>
      </c>
      <c r="N329" s="424"/>
      <c r="O329" s="325" t="s">
        <v>66</v>
      </c>
      <c r="P329" s="426" t="s">
        <v>172</v>
      </c>
      <c r="Q329" s="313" t="s">
        <v>908</v>
      </c>
      <c r="R329" s="430">
        <v>5113</v>
      </c>
      <c r="S329" s="430"/>
      <c r="T329" s="326">
        <f>R329*1.1</f>
        <v>5624.3</v>
      </c>
    </row>
    <row r="330" spans="2:20" ht="12.75">
      <c r="B330" s="439" t="s">
        <v>921</v>
      </c>
      <c r="C330" s="431">
        <v>37385</v>
      </c>
      <c r="D330" s="423" t="s">
        <v>688</v>
      </c>
      <c r="E330" s="424"/>
      <c r="F330" s="422" t="s">
        <v>31</v>
      </c>
      <c r="G330" s="424"/>
      <c r="H330" s="432" t="s">
        <v>1154</v>
      </c>
      <c r="I330" s="437" t="s">
        <v>446</v>
      </c>
      <c r="J330" s="424"/>
      <c r="K330" s="426" t="s">
        <v>907</v>
      </c>
      <c r="L330" s="424"/>
      <c r="M330" s="438">
        <v>0.02</v>
      </c>
      <c r="N330" s="424"/>
      <c r="O330" s="325" t="s">
        <v>66</v>
      </c>
      <c r="P330" s="426" t="s">
        <v>172</v>
      </c>
      <c r="Q330" s="313" t="s">
        <v>908</v>
      </c>
      <c r="R330" s="430">
        <v>1074</v>
      </c>
      <c r="S330" s="430"/>
      <c r="T330" s="326">
        <f>R330*1.1</f>
        <v>1181.4</v>
      </c>
    </row>
    <row r="331" spans="2:20" ht="12.75">
      <c r="B331" s="164"/>
      <c r="C331" s="422"/>
      <c r="D331" s="423"/>
      <c r="E331" s="424"/>
      <c r="F331" s="422"/>
      <c r="G331" s="424"/>
      <c r="H331" s="423"/>
      <c r="I331" s="425"/>
      <c r="J331" s="325"/>
      <c r="K331" s="426"/>
      <c r="L331" s="424"/>
      <c r="M331" s="427"/>
      <c r="N331" s="428"/>
      <c r="O331" s="424"/>
      <c r="P331" s="429"/>
      <c r="Q331" s="208"/>
      <c r="R331" s="430"/>
      <c r="S331" s="424"/>
      <c r="T331" s="423"/>
    </row>
    <row r="332" spans="2:20" ht="12.75">
      <c r="B332" s="154" t="s">
        <v>634</v>
      </c>
      <c r="C332" s="422"/>
      <c r="D332" s="423"/>
      <c r="E332" s="424"/>
      <c r="F332" s="422"/>
      <c r="G332" s="424"/>
      <c r="H332" s="423"/>
      <c r="I332" s="425"/>
      <c r="J332" s="325"/>
      <c r="K332" s="426"/>
      <c r="L332" s="424"/>
      <c r="M332" s="427"/>
      <c r="N332" s="428"/>
      <c r="O332" s="424"/>
      <c r="P332" s="429"/>
      <c r="Q332" s="208"/>
      <c r="R332" s="430"/>
      <c r="S332" s="424"/>
      <c r="T332" s="148">
        <f>SUM(T333:T339)</f>
        <v>856500</v>
      </c>
    </row>
    <row r="333" spans="2:20" ht="12.75">
      <c r="B333" s="439" t="s">
        <v>909</v>
      </c>
      <c r="C333" s="431">
        <v>37392</v>
      </c>
      <c r="D333" s="423" t="s">
        <v>137</v>
      </c>
      <c r="E333" s="424"/>
      <c r="F333" s="422" t="s">
        <v>634</v>
      </c>
      <c r="G333" s="424"/>
      <c r="H333" s="440" t="s">
        <v>1155</v>
      </c>
      <c r="I333" s="437" t="s">
        <v>446</v>
      </c>
      <c r="J333" s="424"/>
      <c r="K333" s="426" t="s">
        <v>912</v>
      </c>
      <c r="L333" s="424"/>
      <c r="M333" s="438" t="s">
        <v>1876</v>
      </c>
      <c r="N333" s="424"/>
      <c r="O333" s="325" t="s">
        <v>473</v>
      </c>
      <c r="P333" s="426" t="s">
        <v>856</v>
      </c>
      <c r="Q333" s="313" t="s">
        <v>41</v>
      </c>
      <c r="R333" s="430">
        <v>250000</v>
      </c>
      <c r="S333" s="430"/>
      <c r="T333" s="326">
        <f aca="true" t="shared" si="0" ref="T333:T339">+R333</f>
        <v>250000</v>
      </c>
    </row>
    <row r="334" spans="2:21" ht="12.75">
      <c r="B334" s="439" t="s">
        <v>910</v>
      </c>
      <c r="C334" s="431">
        <v>37432</v>
      </c>
      <c r="D334" s="423" t="s">
        <v>911</v>
      </c>
      <c r="E334" s="424"/>
      <c r="F334" s="422" t="s">
        <v>634</v>
      </c>
      <c r="G334" s="424"/>
      <c r="H334" s="432" t="s">
        <v>1156</v>
      </c>
      <c r="I334" s="437" t="s">
        <v>85</v>
      </c>
      <c r="J334" s="424"/>
      <c r="K334" s="426" t="s">
        <v>36</v>
      </c>
      <c r="L334" s="424"/>
      <c r="M334" s="438" t="s">
        <v>1877</v>
      </c>
      <c r="N334" s="424"/>
      <c r="O334" s="325" t="s">
        <v>661</v>
      </c>
      <c r="P334" s="426" t="s">
        <v>913</v>
      </c>
      <c r="Q334" s="313" t="s">
        <v>41</v>
      </c>
      <c r="R334" s="430">
        <v>300000</v>
      </c>
      <c r="S334" s="430"/>
      <c r="T334" s="326">
        <f t="shared" si="0"/>
        <v>300000</v>
      </c>
      <c r="U334" t="s">
        <v>1032</v>
      </c>
    </row>
    <row r="335" spans="2:20" ht="12.75">
      <c r="B335" s="439" t="s">
        <v>922</v>
      </c>
      <c r="C335" s="431" t="s">
        <v>923</v>
      </c>
      <c r="D335" s="423" t="s">
        <v>949</v>
      </c>
      <c r="E335" s="424"/>
      <c r="F335" s="422" t="s">
        <v>634</v>
      </c>
      <c r="G335" s="424"/>
      <c r="H335" s="432" t="s">
        <v>1157</v>
      </c>
      <c r="I335" s="437" t="s">
        <v>776</v>
      </c>
      <c r="J335" s="424"/>
      <c r="K335" s="426" t="s">
        <v>224</v>
      </c>
      <c r="L335" s="424"/>
      <c r="M335" s="438" t="s">
        <v>1877</v>
      </c>
      <c r="N335" s="424"/>
      <c r="O335" s="325" t="s">
        <v>924</v>
      </c>
      <c r="P335" s="426" t="s">
        <v>925</v>
      </c>
      <c r="Q335" s="313" t="s">
        <v>41</v>
      </c>
      <c r="R335" s="430">
        <v>150000</v>
      </c>
      <c r="S335" s="430"/>
      <c r="T335" s="326">
        <f t="shared" si="0"/>
        <v>150000</v>
      </c>
    </row>
    <row r="336" spans="2:20" ht="12.75">
      <c r="B336" s="439" t="s">
        <v>926</v>
      </c>
      <c r="C336" s="431" t="s">
        <v>927</v>
      </c>
      <c r="D336" s="423" t="s">
        <v>950</v>
      </c>
      <c r="E336" s="424"/>
      <c r="F336" s="422" t="s">
        <v>634</v>
      </c>
      <c r="G336" s="424"/>
      <c r="H336" s="432" t="s">
        <v>1158</v>
      </c>
      <c r="I336" s="437" t="s">
        <v>776</v>
      </c>
      <c r="J336" s="424"/>
      <c r="K336" s="426" t="s">
        <v>928</v>
      </c>
      <c r="L336" s="424"/>
      <c r="M336" s="438" t="s">
        <v>1878</v>
      </c>
      <c r="N336" s="424"/>
      <c r="O336" s="325" t="s">
        <v>510</v>
      </c>
      <c r="P336" s="426" t="s">
        <v>330</v>
      </c>
      <c r="Q336" s="313" t="s">
        <v>41</v>
      </c>
      <c r="R336" s="430">
        <v>50000</v>
      </c>
      <c r="S336" s="430"/>
      <c r="T336" s="326">
        <f t="shared" si="0"/>
        <v>50000</v>
      </c>
    </row>
    <row r="337" spans="2:21" ht="12.75">
      <c r="B337" s="439" t="s">
        <v>929</v>
      </c>
      <c r="C337" s="431" t="s">
        <v>930</v>
      </c>
      <c r="D337" s="423" t="s">
        <v>951</v>
      </c>
      <c r="E337" s="424"/>
      <c r="F337" s="422" t="s">
        <v>634</v>
      </c>
      <c r="G337" s="424"/>
      <c r="H337" s="432" t="s">
        <v>1159</v>
      </c>
      <c r="I337" s="437" t="s">
        <v>85</v>
      </c>
      <c r="J337" s="424"/>
      <c r="K337" s="426" t="s">
        <v>936</v>
      </c>
      <c r="L337" s="424"/>
      <c r="M337" s="438" t="s">
        <v>931</v>
      </c>
      <c r="N337" s="424"/>
      <c r="O337" s="325" t="s">
        <v>366</v>
      </c>
      <c r="P337" s="426" t="s">
        <v>406</v>
      </c>
      <c r="Q337" s="313" t="s">
        <v>41</v>
      </c>
      <c r="R337" s="430">
        <v>100000</v>
      </c>
      <c r="S337" s="430"/>
      <c r="T337" s="326">
        <f t="shared" si="0"/>
        <v>100000</v>
      </c>
      <c r="U337" t="s">
        <v>1032</v>
      </c>
    </row>
    <row r="338" spans="2:22" ht="12.75">
      <c r="B338" s="439" t="s">
        <v>934</v>
      </c>
      <c r="C338" s="431">
        <v>37580</v>
      </c>
      <c r="D338" s="423" t="s">
        <v>952</v>
      </c>
      <c r="E338" s="424"/>
      <c r="F338" s="422" t="s">
        <v>634</v>
      </c>
      <c r="G338" s="424"/>
      <c r="H338" s="432" t="s">
        <v>1203</v>
      </c>
      <c r="I338" s="437" t="s">
        <v>85</v>
      </c>
      <c r="J338" s="424"/>
      <c r="K338" s="426" t="s">
        <v>936</v>
      </c>
      <c r="L338" s="424"/>
      <c r="M338" s="438" t="s">
        <v>1879</v>
      </c>
      <c r="N338" s="424"/>
      <c r="O338" s="357" t="s">
        <v>905</v>
      </c>
      <c r="P338" s="426" t="s">
        <v>366</v>
      </c>
      <c r="Q338" s="313" t="s">
        <v>41</v>
      </c>
      <c r="R338" s="430">
        <v>1500</v>
      </c>
      <c r="S338" s="430"/>
      <c r="T338" s="326">
        <f t="shared" si="0"/>
        <v>1500</v>
      </c>
      <c r="V338" s="13">
        <f>T334+T335+T339</f>
        <v>455000</v>
      </c>
    </row>
    <row r="339" spans="2:21" ht="13.5" thickBot="1">
      <c r="B339" s="441" t="s">
        <v>935</v>
      </c>
      <c r="C339" s="442">
        <v>37594</v>
      </c>
      <c r="D339" s="443" t="s">
        <v>953</v>
      </c>
      <c r="E339" s="444"/>
      <c r="F339" s="445" t="s">
        <v>634</v>
      </c>
      <c r="G339" s="444"/>
      <c r="H339" s="446" t="s">
        <v>1204</v>
      </c>
      <c r="I339" s="447" t="s">
        <v>937</v>
      </c>
      <c r="J339" s="444"/>
      <c r="K339" s="448" t="s">
        <v>937</v>
      </c>
      <c r="L339" s="444"/>
      <c r="M339" s="449" t="s">
        <v>1877</v>
      </c>
      <c r="N339" s="444"/>
      <c r="O339" s="450" t="s">
        <v>905</v>
      </c>
      <c r="P339" s="448" t="s">
        <v>938</v>
      </c>
      <c r="Q339" s="451" t="s">
        <v>41</v>
      </c>
      <c r="R339" s="452">
        <v>5000</v>
      </c>
      <c r="S339" s="452"/>
      <c r="T339" s="453">
        <f t="shared" si="0"/>
        <v>5000</v>
      </c>
      <c r="U339" s="13">
        <f>T338+T337+T336</f>
        <v>151500</v>
      </c>
    </row>
    <row r="340" spans="2:20" ht="18.75" thickTop="1">
      <c r="B340" s="222">
        <v>2003</v>
      </c>
      <c r="C340" s="286"/>
      <c r="D340" s="30"/>
      <c r="E340" s="8"/>
      <c r="F340" s="286"/>
      <c r="G340" s="8"/>
      <c r="H340" s="207"/>
      <c r="I340" s="46"/>
      <c r="J340" s="34"/>
      <c r="K340" s="89"/>
      <c r="L340" s="8"/>
      <c r="M340" s="44"/>
      <c r="N340" s="44"/>
      <c r="O340" s="8"/>
      <c r="P340" s="200"/>
      <c r="Q340" s="202"/>
      <c r="R340" s="31"/>
      <c r="S340" s="8"/>
      <c r="T340" s="253">
        <f>+T341+T346</f>
        <v>2531159</v>
      </c>
    </row>
    <row r="341" spans="2:20" ht="12.75">
      <c r="B341" s="223" t="s">
        <v>904</v>
      </c>
      <c r="C341" s="281"/>
      <c r="D341" s="30"/>
      <c r="E341" s="8"/>
      <c r="F341" s="281"/>
      <c r="G341" s="8"/>
      <c r="H341" s="207"/>
      <c r="I341" s="46"/>
      <c r="J341" s="34"/>
      <c r="K341" s="89"/>
      <c r="L341" s="8"/>
      <c r="M341" s="44"/>
      <c r="N341" s="44"/>
      <c r="O341" s="8"/>
      <c r="P341" s="200"/>
      <c r="Q341" s="202"/>
      <c r="R341" s="31"/>
      <c r="S341" s="8"/>
      <c r="T341" s="148">
        <f>SUM(T342:T344)</f>
        <v>1250000</v>
      </c>
    </row>
    <row r="342" spans="2:22" ht="12.75">
      <c r="B342" s="224" t="s">
        <v>992</v>
      </c>
      <c r="C342" s="318">
        <v>37644</v>
      </c>
      <c r="D342" s="30" t="s">
        <v>904</v>
      </c>
      <c r="E342" s="8"/>
      <c r="F342" s="281" t="s">
        <v>904</v>
      </c>
      <c r="G342" s="8"/>
      <c r="H342" s="206" t="s">
        <v>1151</v>
      </c>
      <c r="I342" s="46" t="s">
        <v>85</v>
      </c>
      <c r="J342" s="34"/>
      <c r="K342" s="89" t="s">
        <v>36</v>
      </c>
      <c r="L342" s="8"/>
      <c r="M342" s="216">
        <v>0.09875</v>
      </c>
      <c r="N342" s="44"/>
      <c r="O342" s="53" t="s">
        <v>905</v>
      </c>
      <c r="P342" s="217" t="s">
        <v>406</v>
      </c>
      <c r="Q342" s="218" t="s">
        <v>41</v>
      </c>
      <c r="R342" s="31">
        <v>500000</v>
      </c>
      <c r="S342" s="8"/>
      <c r="T342" s="39">
        <f>+R342</f>
        <v>500000</v>
      </c>
      <c r="V342" t="s">
        <v>1032</v>
      </c>
    </row>
    <row r="343" spans="2:22" ht="12.75">
      <c r="B343" s="224" t="s">
        <v>993</v>
      </c>
      <c r="C343" s="318">
        <v>37682</v>
      </c>
      <c r="D343" s="30" t="s">
        <v>904</v>
      </c>
      <c r="E343" s="8"/>
      <c r="F343" s="281" t="s">
        <v>904</v>
      </c>
      <c r="G343" s="8"/>
      <c r="H343" s="206" t="s">
        <v>1151</v>
      </c>
      <c r="I343" s="46" t="s">
        <v>85</v>
      </c>
      <c r="J343" s="34"/>
      <c r="K343" s="89" t="s">
        <v>36</v>
      </c>
      <c r="L343" s="8"/>
      <c r="M343" s="216">
        <v>0.09875</v>
      </c>
      <c r="N343" s="44"/>
      <c r="O343" s="53" t="s">
        <v>905</v>
      </c>
      <c r="P343" s="217" t="s">
        <v>406</v>
      </c>
      <c r="Q343" s="218" t="s">
        <v>41</v>
      </c>
      <c r="R343" s="21">
        <v>250000</v>
      </c>
      <c r="S343" s="19"/>
      <c r="T343" s="40">
        <f>+R343</f>
        <v>250000</v>
      </c>
      <c r="V343" t="s">
        <v>1032</v>
      </c>
    </row>
    <row r="344" spans="2:22" ht="12.75">
      <c r="B344" s="224" t="s">
        <v>1025</v>
      </c>
      <c r="C344" s="318">
        <v>37939</v>
      </c>
      <c r="D344" s="30" t="s">
        <v>904</v>
      </c>
      <c r="E344" s="8"/>
      <c r="F344" s="281" t="s">
        <v>904</v>
      </c>
      <c r="G344" s="8"/>
      <c r="H344" s="206" t="s">
        <v>1151</v>
      </c>
      <c r="I344" s="46" t="s">
        <v>85</v>
      </c>
      <c r="J344" s="34"/>
      <c r="K344" s="89" t="s">
        <v>36</v>
      </c>
      <c r="L344" s="8"/>
      <c r="M344" s="216">
        <v>0.0875</v>
      </c>
      <c r="N344" s="44"/>
      <c r="O344" s="53" t="s">
        <v>905</v>
      </c>
      <c r="P344" s="217" t="s">
        <v>218</v>
      </c>
      <c r="Q344" s="218" t="s">
        <v>41</v>
      </c>
      <c r="R344" s="21">
        <v>500000</v>
      </c>
      <c r="S344" s="19"/>
      <c r="T344" s="40">
        <v>500000</v>
      </c>
      <c r="V344" t="s">
        <v>1032</v>
      </c>
    </row>
    <row r="345" spans="2:20" ht="12.75">
      <c r="B345" s="225"/>
      <c r="C345" s="281"/>
      <c r="D345" s="30"/>
      <c r="E345" s="8"/>
      <c r="F345" s="281"/>
      <c r="G345" s="8"/>
      <c r="H345" s="207"/>
      <c r="I345" s="46"/>
      <c r="J345" s="34"/>
      <c r="K345" s="89"/>
      <c r="L345" s="8"/>
      <c r="M345" s="43"/>
      <c r="N345" s="44"/>
      <c r="O345" s="34"/>
      <c r="P345" s="217"/>
      <c r="Q345" s="219"/>
      <c r="R345" s="21"/>
      <c r="S345" s="19"/>
      <c r="T345" s="58"/>
    </row>
    <row r="346" spans="2:20" ht="12.75">
      <c r="B346" s="223" t="s">
        <v>634</v>
      </c>
      <c r="C346" s="281"/>
      <c r="D346" s="30"/>
      <c r="E346" s="8"/>
      <c r="F346" s="281"/>
      <c r="G346" s="8"/>
      <c r="H346" s="207"/>
      <c r="I346" s="46"/>
      <c r="J346" s="34"/>
      <c r="K346" s="89"/>
      <c r="L346" s="8"/>
      <c r="M346" s="43"/>
      <c r="N346" s="44"/>
      <c r="O346" s="34"/>
      <c r="P346" s="217"/>
      <c r="Q346" s="219"/>
      <c r="R346" s="21"/>
      <c r="S346" s="19"/>
      <c r="T346" s="148">
        <f>SUM(T347:T364)</f>
        <v>1281159</v>
      </c>
    </row>
    <row r="347" spans="2:20" ht="12.75">
      <c r="B347" s="224" t="s">
        <v>1019</v>
      </c>
      <c r="C347" s="281" t="s">
        <v>1020</v>
      </c>
      <c r="D347" s="30" t="s">
        <v>1552</v>
      </c>
      <c r="E347" s="8"/>
      <c r="F347" s="287" t="s">
        <v>634</v>
      </c>
      <c r="G347" s="8"/>
      <c r="H347" s="206" t="s">
        <v>1205</v>
      </c>
      <c r="I347" s="46" t="s">
        <v>1021</v>
      </c>
      <c r="J347" s="34"/>
      <c r="K347" s="89" t="s">
        <v>1022</v>
      </c>
      <c r="L347" s="8"/>
      <c r="M347" s="204" t="s">
        <v>1017</v>
      </c>
      <c r="N347" s="44"/>
      <c r="O347" s="34" t="s">
        <v>924</v>
      </c>
      <c r="P347" s="217" t="s">
        <v>627</v>
      </c>
      <c r="Q347" s="323" t="s">
        <v>41</v>
      </c>
      <c r="R347" s="21">
        <v>5000</v>
      </c>
      <c r="S347" s="19"/>
      <c r="T347" s="40">
        <v>5000</v>
      </c>
    </row>
    <row r="348" spans="2:21" ht="12.75">
      <c r="B348" s="226" t="s">
        <v>994</v>
      </c>
      <c r="C348" s="318">
        <v>37687</v>
      </c>
      <c r="D348" s="376" t="s">
        <v>1553</v>
      </c>
      <c r="E348" s="8"/>
      <c r="F348" s="281" t="s">
        <v>634</v>
      </c>
      <c r="G348" s="8"/>
      <c r="H348" s="58" t="s">
        <v>1206</v>
      </c>
      <c r="I348" s="221" t="s">
        <v>446</v>
      </c>
      <c r="J348" s="34"/>
      <c r="K348" s="89" t="s">
        <v>1006</v>
      </c>
      <c r="L348" s="8"/>
      <c r="M348" s="204" t="s">
        <v>968</v>
      </c>
      <c r="N348" s="34"/>
      <c r="O348" s="34" t="s">
        <v>418</v>
      </c>
      <c r="P348" s="89" t="s">
        <v>408</v>
      </c>
      <c r="Q348" s="221" t="s">
        <v>41</v>
      </c>
      <c r="R348" s="31">
        <v>8300</v>
      </c>
      <c r="S348" s="31"/>
      <c r="T348" s="39">
        <v>8300</v>
      </c>
      <c r="U348" s="19"/>
    </row>
    <row r="349" spans="2:21" ht="12.75">
      <c r="B349" s="226" t="s">
        <v>995</v>
      </c>
      <c r="C349" s="318">
        <v>37748</v>
      </c>
      <c r="D349" s="376" t="s">
        <v>1007</v>
      </c>
      <c r="E349" s="8"/>
      <c r="F349" s="287" t="s">
        <v>634</v>
      </c>
      <c r="G349" s="8"/>
      <c r="H349" s="58" t="s">
        <v>1207</v>
      </c>
      <c r="I349" s="258" t="s">
        <v>85</v>
      </c>
      <c r="J349" s="34"/>
      <c r="K349" s="89" t="s">
        <v>1008</v>
      </c>
      <c r="L349" s="8"/>
      <c r="M349" s="204" t="s">
        <v>1017</v>
      </c>
      <c r="N349" s="34"/>
      <c r="O349" s="34" t="s">
        <v>956</v>
      </c>
      <c r="P349" s="89" t="s">
        <v>366</v>
      </c>
      <c r="Q349" s="221" t="s">
        <v>41</v>
      </c>
      <c r="R349" s="31">
        <v>75</v>
      </c>
      <c r="S349" s="31"/>
      <c r="T349" s="39">
        <v>750</v>
      </c>
      <c r="U349" s="19"/>
    </row>
    <row r="350" spans="2:21" ht="12.75">
      <c r="B350" s="226" t="s">
        <v>996</v>
      </c>
      <c r="C350" s="318">
        <v>37762</v>
      </c>
      <c r="D350" s="376" t="s">
        <v>1009</v>
      </c>
      <c r="E350" s="8"/>
      <c r="F350" s="287" t="s">
        <v>634</v>
      </c>
      <c r="G350" s="8"/>
      <c r="H350" s="58" t="s">
        <v>1208</v>
      </c>
      <c r="I350" s="34" t="s">
        <v>446</v>
      </c>
      <c r="J350" s="34"/>
      <c r="K350" s="89" t="s">
        <v>1010</v>
      </c>
      <c r="L350" s="8"/>
      <c r="M350" s="204" t="s">
        <v>1017</v>
      </c>
      <c r="N350" s="34"/>
      <c r="O350" s="34" t="s">
        <v>924</v>
      </c>
      <c r="P350" s="89" t="s">
        <v>1011</v>
      </c>
      <c r="Q350" s="221" t="s">
        <v>41</v>
      </c>
      <c r="R350" s="31">
        <v>7000</v>
      </c>
      <c r="S350" s="31"/>
      <c r="T350" s="39">
        <v>7000</v>
      </c>
      <c r="U350" s="19"/>
    </row>
    <row r="351" spans="2:27" ht="12.75">
      <c r="B351" s="226" t="s">
        <v>997</v>
      </c>
      <c r="C351" s="318">
        <v>37790</v>
      </c>
      <c r="D351" s="376" t="s">
        <v>1012</v>
      </c>
      <c r="E351" s="8"/>
      <c r="F351" s="287" t="s">
        <v>634</v>
      </c>
      <c r="G351" s="8"/>
      <c r="H351" s="58" t="s">
        <v>1209</v>
      </c>
      <c r="I351" s="34" t="s">
        <v>776</v>
      </c>
      <c r="J351" s="34"/>
      <c r="K351" s="89" t="s">
        <v>1013</v>
      </c>
      <c r="L351" s="8"/>
      <c r="M351" s="204" t="s">
        <v>1017</v>
      </c>
      <c r="N351" s="34"/>
      <c r="O351" s="34" t="s">
        <v>924</v>
      </c>
      <c r="P351" s="89" t="s">
        <v>627</v>
      </c>
      <c r="Q351" s="221" t="s">
        <v>41</v>
      </c>
      <c r="R351" s="31">
        <v>60000</v>
      </c>
      <c r="S351" s="31"/>
      <c r="T351" s="39">
        <v>60000</v>
      </c>
      <c r="U351" s="19"/>
      <c r="AA351" s="13"/>
    </row>
    <row r="352" spans="2:27" ht="12.75">
      <c r="B352" s="226" t="s">
        <v>998</v>
      </c>
      <c r="C352" s="318">
        <v>37829</v>
      </c>
      <c r="D352" s="376" t="s">
        <v>1554</v>
      </c>
      <c r="E352" s="8"/>
      <c r="F352" s="287" t="s">
        <v>634</v>
      </c>
      <c r="G352" s="8"/>
      <c r="H352" s="58" t="s">
        <v>1210</v>
      </c>
      <c r="I352" s="34" t="s">
        <v>776</v>
      </c>
      <c r="J352" s="34"/>
      <c r="K352" s="89" t="s">
        <v>1014</v>
      </c>
      <c r="L352" s="8"/>
      <c r="M352" s="204" t="s">
        <v>1017</v>
      </c>
      <c r="N352" s="34"/>
      <c r="O352" s="34" t="s">
        <v>956</v>
      </c>
      <c r="P352" s="89" t="s">
        <v>366</v>
      </c>
      <c r="Q352" s="221" t="s">
        <v>41</v>
      </c>
      <c r="R352" s="31">
        <v>750</v>
      </c>
      <c r="S352" s="31"/>
      <c r="T352" s="39">
        <v>750</v>
      </c>
      <c r="U352" s="19"/>
      <c r="W352">
        <v>51.9</v>
      </c>
      <c r="X352" t="s">
        <v>1032</v>
      </c>
      <c r="AA352" s="13"/>
    </row>
    <row r="353" spans="2:27" ht="12.75">
      <c r="B353" s="226" t="s">
        <v>999</v>
      </c>
      <c r="C353" s="318">
        <v>37853</v>
      </c>
      <c r="D353" s="376" t="s">
        <v>1555</v>
      </c>
      <c r="E353" s="8"/>
      <c r="F353" s="287" t="s">
        <v>634</v>
      </c>
      <c r="G353" s="8"/>
      <c r="H353" s="58" t="s">
        <v>1211</v>
      </c>
      <c r="I353" s="34" t="s">
        <v>446</v>
      </c>
      <c r="J353" s="34"/>
      <c r="K353" s="89" t="s">
        <v>1015</v>
      </c>
      <c r="L353" s="8"/>
      <c r="M353" s="204" t="s">
        <v>968</v>
      </c>
      <c r="N353" s="34"/>
      <c r="O353" s="34" t="s">
        <v>660</v>
      </c>
      <c r="P353" s="89" t="s">
        <v>66</v>
      </c>
      <c r="Q353" s="221" t="s">
        <v>41</v>
      </c>
      <c r="R353" s="31">
        <v>172000</v>
      </c>
      <c r="S353" s="31"/>
      <c r="T353" s="39">
        <v>172000</v>
      </c>
      <c r="U353" s="19"/>
      <c r="V353" t="s">
        <v>1034</v>
      </c>
      <c r="W353">
        <v>84.6</v>
      </c>
      <c r="X353" t="s">
        <v>1035</v>
      </c>
      <c r="AA353" s="13"/>
    </row>
    <row r="354" spans="2:24" ht="12.75">
      <c r="B354" s="226" t="s">
        <v>1000</v>
      </c>
      <c r="C354" s="318">
        <v>37860</v>
      </c>
      <c r="D354" s="376" t="s">
        <v>1556</v>
      </c>
      <c r="E354" s="8"/>
      <c r="F354" s="287" t="s">
        <v>634</v>
      </c>
      <c r="G354" s="8"/>
      <c r="H354" s="58" t="s">
        <v>1212</v>
      </c>
      <c r="I354" s="34" t="s">
        <v>446</v>
      </c>
      <c r="J354" s="34"/>
      <c r="K354" s="89" t="s">
        <v>1008</v>
      </c>
      <c r="L354" s="8"/>
      <c r="M354" s="176" t="s">
        <v>1018</v>
      </c>
      <c r="N354" s="34"/>
      <c r="O354" s="34" t="s">
        <v>510</v>
      </c>
      <c r="P354" s="89" t="s">
        <v>330</v>
      </c>
      <c r="Q354" s="221" t="s">
        <v>41</v>
      </c>
      <c r="R354" s="31">
        <v>20000</v>
      </c>
      <c r="S354" s="31"/>
      <c r="T354" s="39">
        <v>20000</v>
      </c>
      <c r="U354" s="19"/>
      <c r="W354">
        <v>35.5</v>
      </c>
      <c r="X354" t="s">
        <v>45</v>
      </c>
    </row>
    <row r="355" spans="2:21" ht="12.75">
      <c r="B355" s="226" t="s">
        <v>1001</v>
      </c>
      <c r="C355" s="318" t="s">
        <v>1004</v>
      </c>
      <c r="D355" s="376" t="s">
        <v>1557</v>
      </c>
      <c r="E355" s="8"/>
      <c r="F355" s="287" t="s">
        <v>634</v>
      </c>
      <c r="G355" s="8"/>
      <c r="H355" s="58" t="s">
        <v>1213</v>
      </c>
      <c r="I355" s="34" t="s">
        <v>446</v>
      </c>
      <c r="J355" s="34"/>
      <c r="K355" s="89" t="s">
        <v>1008</v>
      </c>
      <c r="L355" s="8"/>
      <c r="M355" s="204" t="s">
        <v>1017</v>
      </c>
      <c r="N355" s="34"/>
      <c r="O355" s="34" t="s">
        <v>366</v>
      </c>
      <c r="P355" s="89" t="s">
        <v>231</v>
      </c>
      <c r="Q355" s="221" t="s">
        <v>41</v>
      </c>
      <c r="R355" s="31">
        <v>28000</v>
      </c>
      <c r="S355" s="31"/>
      <c r="T355" s="39">
        <v>28000</v>
      </c>
      <c r="U355" s="19"/>
    </row>
    <row r="356" spans="2:21" ht="12.75">
      <c r="B356" s="226" t="s">
        <v>1002</v>
      </c>
      <c r="C356" s="318" t="s">
        <v>1005</v>
      </c>
      <c r="D356" s="376" t="s">
        <v>1558</v>
      </c>
      <c r="E356" s="8"/>
      <c r="F356" s="287" t="s">
        <v>634</v>
      </c>
      <c r="G356" s="8"/>
      <c r="H356" s="58" t="s">
        <v>1214</v>
      </c>
      <c r="I356" s="34" t="s">
        <v>776</v>
      </c>
      <c r="J356" s="34"/>
      <c r="K356" s="89" t="s">
        <v>1016</v>
      </c>
      <c r="L356" s="8"/>
      <c r="M356" s="176" t="s">
        <v>1018</v>
      </c>
      <c r="N356" s="34"/>
      <c r="O356" s="34" t="s">
        <v>510</v>
      </c>
      <c r="P356" s="89" t="s">
        <v>330</v>
      </c>
      <c r="Q356" s="221" t="s">
        <v>41</v>
      </c>
      <c r="R356" s="31">
        <v>52500</v>
      </c>
      <c r="S356" s="31"/>
      <c r="T356" s="39">
        <v>52500</v>
      </c>
      <c r="U356" s="19"/>
    </row>
    <row r="357" spans="2:24" ht="12.75">
      <c r="B357" s="226" t="s">
        <v>1003</v>
      </c>
      <c r="C357" s="318" t="s">
        <v>1005</v>
      </c>
      <c r="D357" s="376" t="s">
        <v>1560</v>
      </c>
      <c r="E357" s="8"/>
      <c r="F357" s="287" t="s">
        <v>634</v>
      </c>
      <c r="G357" s="8"/>
      <c r="H357" s="58" t="s">
        <v>1215</v>
      </c>
      <c r="I357" s="34" t="s">
        <v>446</v>
      </c>
      <c r="J357" s="34"/>
      <c r="K357" s="89" t="s">
        <v>36</v>
      </c>
      <c r="L357" s="8"/>
      <c r="M357" s="204" t="s">
        <v>968</v>
      </c>
      <c r="N357" s="34"/>
      <c r="O357" s="34" t="s">
        <v>473</v>
      </c>
      <c r="P357" s="89" t="s">
        <v>856</v>
      </c>
      <c r="Q357" s="221" t="s">
        <v>41</v>
      </c>
      <c r="R357" s="31">
        <v>115000</v>
      </c>
      <c r="S357" s="31"/>
      <c r="T357" s="39">
        <v>115000</v>
      </c>
      <c r="U357" s="19"/>
      <c r="V357" t="s">
        <v>1227</v>
      </c>
      <c r="W357" t="s">
        <v>1033</v>
      </c>
      <c r="X357" t="s">
        <v>1228</v>
      </c>
    </row>
    <row r="358" spans="2:23" ht="12.75">
      <c r="B358" s="226" t="s">
        <v>1003</v>
      </c>
      <c r="C358" s="318" t="s">
        <v>1005</v>
      </c>
      <c r="D358" s="376" t="s">
        <v>1559</v>
      </c>
      <c r="E358" s="8"/>
      <c r="F358" s="287" t="s">
        <v>634</v>
      </c>
      <c r="G358" s="8"/>
      <c r="H358" s="58" t="s">
        <v>1215</v>
      </c>
      <c r="I358" s="34" t="s">
        <v>446</v>
      </c>
      <c r="J358" s="34"/>
      <c r="K358" s="89" t="s">
        <v>36</v>
      </c>
      <c r="L358" s="8"/>
      <c r="M358" s="204" t="s">
        <v>968</v>
      </c>
      <c r="N358" s="34"/>
      <c r="O358" s="34" t="s">
        <v>473</v>
      </c>
      <c r="P358" s="89" t="s">
        <v>856</v>
      </c>
      <c r="Q358" s="221" t="s">
        <v>41</v>
      </c>
      <c r="R358" s="31">
        <v>113000</v>
      </c>
      <c r="S358" s="31"/>
      <c r="T358" s="39">
        <v>113000</v>
      </c>
      <c r="U358" s="19"/>
      <c r="V358" t="s">
        <v>1229</v>
      </c>
      <c r="W358" t="s">
        <v>1117</v>
      </c>
    </row>
    <row r="359" spans="2:22" ht="12.75">
      <c r="B359" s="226" t="s">
        <v>1026</v>
      </c>
      <c r="C359" s="318">
        <v>37939</v>
      </c>
      <c r="D359" s="376" t="s">
        <v>1561</v>
      </c>
      <c r="E359" s="8"/>
      <c r="F359" s="287" t="s">
        <v>634</v>
      </c>
      <c r="G359" s="8"/>
      <c r="H359" s="58" t="s">
        <v>1216</v>
      </c>
      <c r="I359" s="34" t="s">
        <v>85</v>
      </c>
      <c r="J359" s="34"/>
      <c r="K359" s="89" t="s">
        <v>1088</v>
      </c>
      <c r="L359" s="8"/>
      <c r="M359" s="176" t="s">
        <v>1018</v>
      </c>
      <c r="N359" s="34"/>
      <c r="O359" s="34" t="s">
        <v>510</v>
      </c>
      <c r="P359" s="89" t="s">
        <v>341</v>
      </c>
      <c r="Q359" s="221" t="s">
        <v>41</v>
      </c>
      <c r="R359" s="31">
        <v>150000</v>
      </c>
      <c r="S359" s="31"/>
      <c r="T359" s="39">
        <v>150000</v>
      </c>
      <c r="U359" s="19"/>
      <c r="V359" t="s">
        <v>1032</v>
      </c>
    </row>
    <row r="360" spans="2:22" ht="12.75">
      <c r="B360" s="226" t="s">
        <v>1027</v>
      </c>
      <c r="C360" s="318">
        <v>37957</v>
      </c>
      <c r="D360" s="376" t="s">
        <v>1562</v>
      </c>
      <c r="E360" s="8"/>
      <c r="F360" s="287" t="s">
        <v>634</v>
      </c>
      <c r="G360" s="8"/>
      <c r="H360" s="58" t="s">
        <v>1217</v>
      </c>
      <c r="I360" s="34" t="s">
        <v>85</v>
      </c>
      <c r="J360" s="34"/>
      <c r="K360" s="89" t="s">
        <v>36</v>
      </c>
      <c r="L360" s="8"/>
      <c r="M360" s="204" t="s">
        <v>1017</v>
      </c>
      <c r="N360" s="34"/>
      <c r="O360" s="34" t="s">
        <v>366</v>
      </c>
      <c r="P360" s="89" t="s">
        <v>231</v>
      </c>
      <c r="Q360" s="221" t="s">
        <v>41</v>
      </c>
      <c r="R360" s="31">
        <v>300000</v>
      </c>
      <c r="S360" s="31"/>
      <c r="T360" s="39">
        <v>300000</v>
      </c>
      <c r="U360" s="19"/>
      <c r="V360" t="s">
        <v>1032</v>
      </c>
    </row>
    <row r="361" spans="2:24" ht="12.75">
      <c r="B361" s="226" t="s">
        <v>1028</v>
      </c>
      <c r="C361" s="318">
        <v>37957</v>
      </c>
      <c r="D361" s="376" t="s">
        <v>1563</v>
      </c>
      <c r="E361" s="8"/>
      <c r="F361" s="287" t="s">
        <v>634</v>
      </c>
      <c r="G361" s="8"/>
      <c r="H361" s="58" t="s">
        <v>1218</v>
      </c>
      <c r="I361" s="34" t="s">
        <v>85</v>
      </c>
      <c r="J361" s="34"/>
      <c r="K361" s="89" t="s">
        <v>1088</v>
      </c>
      <c r="L361" s="8"/>
      <c r="M361" s="176" t="s">
        <v>1018</v>
      </c>
      <c r="N361" s="34"/>
      <c r="O361" s="34" t="s">
        <v>510</v>
      </c>
      <c r="P361" s="89" t="s">
        <v>330</v>
      </c>
      <c r="Q361" s="221" t="s">
        <v>41</v>
      </c>
      <c r="R361" s="31">
        <v>150000</v>
      </c>
      <c r="S361" s="31"/>
      <c r="T361" s="39">
        <v>150000</v>
      </c>
      <c r="U361" s="19"/>
      <c r="V361" t="s">
        <v>1032</v>
      </c>
      <c r="W361" t="s">
        <v>1032</v>
      </c>
      <c r="X361" s="13">
        <f>T342+T343+T344+T359+T360+T361+51900+68000</f>
        <v>1969900</v>
      </c>
    </row>
    <row r="362" spans="2:24" ht="12.75">
      <c r="B362" s="226" t="s">
        <v>1029</v>
      </c>
      <c r="C362" s="318">
        <v>37974</v>
      </c>
      <c r="D362" s="376" t="s">
        <v>1564</v>
      </c>
      <c r="E362" s="8"/>
      <c r="F362" s="287" t="s">
        <v>634</v>
      </c>
      <c r="G362" s="8"/>
      <c r="H362" s="58" t="s">
        <v>1219</v>
      </c>
      <c r="I362" s="34" t="s">
        <v>455</v>
      </c>
      <c r="J362" s="34"/>
      <c r="K362" s="89" t="s">
        <v>455</v>
      </c>
      <c r="L362" s="8"/>
      <c r="M362" s="204" t="s">
        <v>1017</v>
      </c>
      <c r="N362" s="34"/>
      <c r="O362" s="34" t="s">
        <v>408</v>
      </c>
      <c r="P362" s="89" t="s">
        <v>295</v>
      </c>
      <c r="Q362" s="221" t="s">
        <v>41</v>
      </c>
      <c r="R362" s="31">
        <v>8859</v>
      </c>
      <c r="S362" s="31"/>
      <c r="T362" s="39">
        <v>8859</v>
      </c>
      <c r="U362" s="21">
        <f>T348+T353+T357+T358</f>
        <v>408300</v>
      </c>
      <c r="W362" t="s">
        <v>1230</v>
      </c>
      <c r="X362" s="13">
        <f>T347+T348+T349+T350+T351+T352+T354+T355+T356+T358+T362+T363+T364+84600+35500+47000</f>
        <v>561259</v>
      </c>
    </row>
    <row r="363" spans="2:24" ht="12.75">
      <c r="B363" s="226" t="s">
        <v>1030</v>
      </c>
      <c r="C363" s="318">
        <v>37985</v>
      </c>
      <c r="D363" s="376" t="s">
        <v>1565</v>
      </c>
      <c r="E363" s="8"/>
      <c r="F363" s="287" t="s">
        <v>634</v>
      </c>
      <c r="G363" s="8"/>
      <c r="H363" s="58" t="s">
        <v>1220</v>
      </c>
      <c r="I363" s="34" t="s">
        <v>1031</v>
      </c>
      <c r="J363" s="34"/>
      <c r="K363" s="89" t="s">
        <v>1031</v>
      </c>
      <c r="L363" s="8"/>
      <c r="M363" s="204" t="s">
        <v>1017</v>
      </c>
      <c r="N363" s="34"/>
      <c r="O363" s="34" t="s">
        <v>366</v>
      </c>
      <c r="P363" s="89" t="s">
        <v>172</v>
      </c>
      <c r="Q363" s="221" t="s">
        <v>41</v>
      </c>
      <c r="R363" s="31">
        <v>45000</v>
      </c>
      <c r="S363" s="31"/>
      <c r="T363" s="39">
        <v>45000</v>
      </c>
      <c r="U363" s="21">
        <f>T347+T349+T350+T351+T352+T355+T360+T362+T363</f>
        <v>455359</v>
      </c>
      <c r="X363" s="13">
        <f>SUM(X361:X362)</f>
        <v>2531159</v>
      </c>
    </row>
    <row r="364" spans="2:24" ht="12.75">
      <c r="B364" s="226" t="s">
        <v>1030</v>
      </c>
      <c r="C364" s="318">
        <v>37985</v>
      </c>
      <c r="D364" s="376" t="s">
        <v>1566</v>
      </c>
      <c r="E364" s="8"/>
      <c r="F364" s="287" t="s">
        <v>634</v>
      </c>
      <c r="G364" s="8"/>
      <c r="H364" s="58" t="s">
        <v>1220</v>
      </c>
      <c r="I364" s="34" t="s">
        <v>1031</v>
      </c>
      <c r="J364" s="34"/>
      <c r="K364" s="89" t="s">
        <v>1031</v>
      </c>
      <c r="L364" s="8"/>
      <c r="M364" s="176" t="s">
        <v>1018</v>
      </c>
      <c r="N364" s="34"/>
      <c r="O364" s="34" t="s">
        <v>366</v>
      </c>
      <c r="P364" s="89" t="s">
        <v>231</v>
      </c>
      <c r="Q364" s="221" t="s">
        <v>41</v>
      </c>
      <c r="R364" s="31">
        <v>45000</v>
      </c>
      <c r="S364" s="31"/>
      <c r="T364" s="39">
        <v>45000</v>
      </c>
      <c r="U364" s="21">
        <f>T364+T361+T359+T356+T354</f>
        <v>417500</v>
      </c>
      <c r="X364" s="13"/>
    </row>
    <row r="365" spans="2:21" ht="13.5" thickBot="1">
      <c r="B365" s="261"/>
      <c r="C365" s="322"/>
      <c r="D365" s="377"/>
      <c r="E365" s="4"/>
      <c r="F365" s="288"/>
      <c r="G365" s="4"/>
      <c r="H365" s="262"/>
      <c r="I365" s="16"/>
      <c r="J365" s="16"/>
      <c r="K365" s="92"/>
      <c r="L365" s="4"/>
      <c r="M365" s="16"/>
      <c r="N365" s="16"/>
      <c r="O365" s="16"/>
      <c r="P365" s="92"/>
      <c r="Q365" s="263"/>
      <c r="R365" s="29"/>
      <c r="S365" s="29"/>
      <c r="T365" s="256"/>
      <c r="U365" s="19"/>
    </row>
    <row r="366" spans="2:21" ht="18.75" thickTop="1">
      <c r="B366" s="252">
        <v>2004</v>
      </c>
      <c r="C366" s="317"/>
      <c r="D366" s="378"/>
      <c r="E366" s="63"/>
      <c r="F366" s="289"/>
      <c r="G366" s="63"/>
      <c r="H366" s="314"/>
      <c r="I366" s="64"/>
      <c r="J366" s="64"/>
      <c r="K366" s="88"/>
      <c r="L366" s="63"/>
      <c r="M366" s="64"/>
      <c r="N366" s="64"/>
      <c r="O366" s="64"/>
      <c r="P366" s="88"/>
      <c r="Q366" s="269"/>
      <c r="R366" s="195"/>
      <c r="S366" s="195"/>
      <c r="T366" s="253">
        <f>+T367+T371+T377</f>
        <v>2383968.7229946293</v>
      </c>
      <c r="U366" s="19"/>
    </row>
    <row r="367" spans="2:21" ht="12.75">
      <c r="B367" s="205" t="s">
        <v>904</v>
      </c>
      <c r="C367" s="431"/>
      <c r="D367" s="455"/>
      <c r="E367" s="424"/>
      <c r="F367" s="456"/>
      <c r="G367" s="424"/>
      <c r="H367" s="457"/>
      <c r="I367" s="325"/>
      <c r="J367" s="325"/>
      <c r="K367" s="426"/>
      <c r="L367" s="424"/>
      <c r="M367" s="325"/>
      <c r="N367" s="325"/>
      <c r="O367" s="325"/>
      <c r="P367" s="426"/>
      <c r="Q367" s="458"/>
      <c r="R367" s="430"/>
      <c r="S367" s="430"/>
      <c r="T367" s="148">
        <f>SUM(T368:T369)</f>
        <v>1298850</v>
      </c>
      <c r="U367" s="19"/>
    </row>
    <row r="368" spans="2:21" ht="12.75">
      <c r="B368" s="439" t="s">
        <v>1038</v>
      </c>
      <c r="C368" s="436">
        <v>38104</v>
      </c>
      <c r="D368" s="459" t="s">
        <v>1039</v>
      </c>
      <c r="E368" s="424"/>
      <c r="F368" s="456" t="s">
        <v>1041</v>
      </c>
      <c r="G368" s="424"/>
      <c r="H368" s="457" t="s">
        <v>1040</v>
      </c>
      <c r="I368" s="460" t="s">
        <v>85</v>
      </c>
      <c r="J368" s="325"/>
      <c r="K368" s="426" t="s">
        <v>36</v>
      </c>
      <c r="L368" s="424"/>
      <c r="M368" s="461">
        <v>0.08375</v>
      </c>
      <c r="N368" s="325"/>
      <c r="O368" s="311" t="s">
        <v>905</v>
      </c>
      <c r="P368" s="265" t="s">
        <v>1880</v>
      </c>
      <c r="Q368" s="462" t="s">
        <v>41</v>
      </c>
      <c r="R368" s="430">
        <v>500000</v>
      </c>
      <c r="S368" s="430"/>
      <c r="T368" s="326">
        <f>R368</f>
        <v>500000</v>
      </c>
      <c r="U368" s="19" t="s">
        <v>1032</v>
      </c>
    </row>
    <row r="369" spans="2:21" ht="12.75">
      <c r="B369" s="439" t="s">
        <v>1042</v>
      </c>
      <c r="C369" s="436">
        <v>38268</v>
      </c>
      <c r="D369" s="459" t="s">
        <v>1039</v>
      </c>
      <c r="E369" s="424"/>
      <c r="F369" s="456" t="s">
        <v>1041</v>
      </c>
      <c r="G369" s="424"/>
      <c r="H369" s="457" t="s">
        <v>1040</v>
      </c>
      <c r="I369" s="460" t="s">
        <v>85</v>
      </c>
      <c r="J369" s="325"/>
      <c r="K369" s="426" t="s">
        <v>36</v>
      </c>
      <c r="L369" s="424"/>
      <c r="M369" s="463">
        <v>0.075</v>
      </c>
      <c r="N369" s="311"/>
      <c r="O369" s="311" t="s">
        <v>905</v>
      </c>
      <c r="P369" s="265" t="s">
        <v>1043</v>
      </c>
      <c r="Q369" s="462" t="s">
        <v>908</v>
      </c>
      <c r="R369" s="464">
        <f>650000000/1000</f>
        <v>650000</v>
      </c>
      <c r="S369" s="430"/>
      <c r="T369" s="326">
        <f>R369*1.229</f>
        <v>798850.0000000001</v>
      </c>
      <c r="U369" s="19" t="s">
        <v>1032</v>
      </c>
    </row>
    <row r="370" spans="2:21" ht="12.75">
      <c r="B370" s="437"/>
      <c r="C370" s="431"/>
      <c r="D370" s="459"/>
      <c r="E370" s="424"/>
      <c r="F370" s="456"/>
      <c r="G370" s="424"/>
      <c r="H370" s="457"/>
      <c r="I370" s="325"/>
      <c r="J370" s="325"/>
      <c r="K370" s="426"/>
      <c r="L370" s="424"/>
      <c r="M370" s="325"/>
      <c r="N370" s="325"/>
      <c r="O370" s="325"/>
      <c r="P370" s="426"/>
      <c r="Q370" s="458"/>
      <c r="R370" s="430"/>
      <c r="S370" s="430"/>
      <c r="T370" s="326"/>
      <c r="U370" s="19"/>
    </row>
    <row r="371" spans="2:21" ht="12.75">
      <c r="B371" s="154" t="s">
        <v>803</v>
      </c>
      <c r="C371" s="431"/>
      <c r="D371" s="459"/>
      <c r="E371" s="424"/>
      <c r="F371" s="456"/>
      <c r="G371" s="424"/>
      <c r="H371" s="457"/>
      <c r="I371" s="325"/>
      <c r="J371" s="325"/>
      <c r="K371" s="426"/>
      <c r="L371" s="424"/>
      <c r="M371" s="325"/>
      <c r="N371" s="325"/>
      <c r="O371" s="325"/>
      <c r="P371" s="426"/>
      <c r="Q371" s="458"/>
      <c r="R371" s="430"/>
      <c r="S371" s="430"/>
      <c r="T371" s="148">
        <f>SUM(T372:T375)</f>
        <v>25639.492994629</v>
      </c>
      <c r="U371" s="19"/>
    </row>
    <row r="372" spans="2:21" ht="12.75">
      <c r="B372" s="439" t="s">
        <v>1044</v>
      </c>
      <c r="C372" s="436">
        <v>38156</v>
      </c>
      <c r="D372" s="459" t="s">
        <v>386</v>
      </c>
      <c r="E372" s="424"/>
      <c r="F372" s="456" t="s">
        <v>1045</v>
      </c>
      <c r="G372" s="424"/>
      <c r="H372" s="457" t="s">
        <v>1150</v>
      </c>
      <c r="I372" s="325" t="s">
        <v>446</v>
      </c>
      <c r="J372" s="325"/>
      <c r="K372" s="426" t="s">
        <v>104</v>
      </c>
      <c r="L372" s="424"/>
      <c r="M372" s="465">
        <v>0.02</v>
      </c>
      <c r="N372" s="325"/>
      <c r="O372" s="311" t="s">
        <v>1046</v>
      </c>
      <c r="P372" s="426" t="s">
        <v>1047</v>
      </c>
      <c r="Q372" s="462" t="s">
        <v>908</v>
      </c>
      <c r="R372" s="464">
        <f>5112918.82/1000</f>
        <v>5112.91882</v>
      </c>
      <c r="S372" s="430"/>
      <c r="T372" s="326">
        <f>R372*1.2142</f>
        <v>6208.1060312439995</v>
      </c>
      <c r="U372" s="19"/>
    </row>
    <row r="373" spans="2:21" ht="12.75">
      <c r="B373" s="439" t="s">
        <v>1048</v>
      </c>
      <c r="C373" s="436">
        <v>38223</v>
      </c>
      <c r="D373" s="459" t="s">
        <v>1049</v>
      </c>
      <c r="E373" s="424"/>
      <c r="F373" s="456" t="s">
        <v>1045</v>
      </c>
      <c r="G373" s="424"/>
      <c r="H373" s="457" t="s">
        <v>1050</v>
      </c>
      <c r="I373" s="325" t="s">
        <v>1113</v>
      </c>
      <c r="J373" s="325"/>
      <c r="K373" s="426" t="s">
        <v>1052</v>
      </c>
      <c r="L373" s="424"/>
      <c r="M373" s="465">
        <v>0.01</v>
      </c>
      <c r="N373" s="325"/>
      <c r="O373" s="325" t="s">
        <v>1053</v>
      </c>
      <c r="P373" s="426" t="s">
        <v>1054</v>
      </c>
      <c r="Q373" s="325" t="s">
        <v>41</v>
      </c>
      <c r="R373" s="466">
        <f>6000000/1000</f>
        <v>6000</v>
      </c>
      <c r="S373" s="430"/>
      <c r="T373" s="326">
        <f>R373</f>
        <v>6000</v>
      </c>
      <c r="U373" s="19"/>
    </row>
    <row r="374" spans="2:27" ht="12.75">
      <c r="B374" s="439" t="s">
        <v>1055</v>
      </c>
      <c r="C374" s="436">
        <v>38331</v>
      </c>
      <c r="D374" s="459" t="s">
        <v>386</v>
      </c>
      <c r="E374" s="424"/>
      <c r="F374" s="456" t="s">
        <v>1045</v>
      </c>
      <c r="G374" s="424"/>
      <c r="H374" s="457" t="s">
        <v>1222</v>
      </c>
      <c r="I374" s="325" t="s">
        <v>1114</v>
      </c>
      <c r="J374" s="325"/>
      <c r="K374" s="426" t="s">
        <v>1056</v>
      </c>
      <c r="L374" s="424"/>
      <c r="M374" s="465" t="s">
        <v>1057</v>
      </c>
      <c r="N374" s="325"/>
      <c r="O374" s="311" t="s">
        <v>1046</v>
      </c>
      <c r="P374" s="426" t="s">
        <v>1047</v>
      </c>
      <c r="Q374" s="325" t="s">
        <v>908</v>
      </c>
      <c r="R374" s="466">
        <f>8099664.95/1000</f>
        <v>8099.66495</v>
      </c>
      <c r="S374" s="430"/>
      <c r="T374" s="326">
        <f>R374*1.3223</f>
        <v>10710.186963385</v>
      </c>
      <c r="U374" s="19"/>
      <c r="AA374" s="13"/>
    </row>
    <row r="375" spans="2:21" ht="12.75">
      <c r="B375" s="439" t="s">
        <v>1058</v>
      </c>
      <c r="C375" s="436">
        <v>38350</v>
      </c>
      <c r="D375" s="459" t="s">
        <v>386</v>
      </c>
      <c r="E375" s="424"/>
      <c r="F375" s="456" t="s">
        <v>1045</v>
      </c>
      <c r="G375" s="424"/>
      <c r="H375" s="457" t="s">
        <v>1060</v>
      </c>
      <c r="I375" s="325" t="s">
        <v>1114</v>
      </c>
      <c r="J375" s="325"/>
      <c r="K375" s="426" t="s">
        <v>1059</v>
      </c>
      <c r="L375" s="424"/>
      <c r="M375" s="465">
        <v>0.02</v>
      </c>
      <c r="N375" s="325"/>
      <c r="O375" s="311" t="s">
        <v>1046</v>
      </c>
      <c r="P375" s="426" t="s">
        <v>1047</v>
      </c>
      <c r="Q375" s="458" t="s">
        <v>908</v>
      </c>
      <c r="R375" s="466">
        <v>2000</v>
      </c>
      <c r="S375" s="430"/>
      <c r="T375" s="326">
        <v>2721.2</v>
      </c>
      <c r="U375" s="19"/>
    </row>
    <row r="376" spans="2:21" ht="12.75">
      <c r="B376" s="437"/>
      <c r="C376" s="431"/>
      <c r="D376" s="455"/>
      <c r="E376" s="424"/>
      <c r="F376" s="456"/>
      <c r="G376" s="424"/>
      <c r="H376" s="457"/>
      <c r="I376" s="325"/>
      <c r="J376" s="325"/>
      <c r="K376" s="426"/>
      <c r="L376" s="424"/>
      <c r="M376" s="325"/>
      <c r="N376" s="325"/>
      <c r="O376" s="325"/>
      <c r="P376" s="426"/>
      <c r="Q376" s="458"/>
      <c r="R376" s="430"/>
      <c r="S376" s="430"/>
      <c r="T376" s="326"/>
      <c r="U376" s="19"/>
    </row>
    <row r="377" spans="2:21" ht="12.75">
      <c r="B377" s="267" t="s">
        <v>634</v>
      </c>
      <c r="C377" s="431"/>
      <c r="D377" s="455"/>
      <c r="E377" s="424"/>
      <c r="F377" s="456"/>
      <c r="G377" s="424"/>
      <c r="H377" s="457"/>
      <c r="I377" s="325"/>
      <c r="J377" s="325"/>
      <c r="K377" s="426"/>
      <c r="L377" s="424"/>
      <c r="M377" s="325"/>
      <c r="N377" s="325"/>
      <c r="O377" s="325"/>
      <c r="P377" s="426"/>
      <c r="Q377" s="458"/>
      <c r="R377" s="430"/>
      <c r="S377" s="430"/>
      <c r="T377" s="148">
        <f>SUM(T378:T394)</f>
        <v>1059479.23</v>
      </c>
      <c r="U377" s="19"/>
    </row>
    <row r="378" spans="2:21" ht="12.75">
      <c r="B378" s="437" t="s">
        <v>1061</v>
      </c>
      <c r="C378" s="436">
        <v>38050</v>
      </c>
      <c r="D378" s="432" t="s">
        <v>1567</v>
      </c>
      <c r="E378" s="424"/>
      <c r="F378" s="456" t="s">
        <v>634</v>
      </c>
      <c r="G378" s="424"/>
      <c r="H378" s="457" t="s">
        <v>1221</v>
      </c>
      <c r="I378" s="325" t="s">
        <v>1114</v>
      </c>
      <c r="J378" s="325"/>
      <c r="K378" s="426" t="s">
        <v>1085</v>
      </c>
      <c r="L378" s="424"/>
      <c r="M378" s="325" t="s">
        <v>1093</v>
      </c>
      <c r="N378" s="325"/>
      <c r="O378" s="325" t="s">
        <v>1099</v>
      </c>
      <c r="P378" s="426" t="s">
        <v>1100</v>
      </c>
      <c r="Q378" s="325" t="s">
        <v>41</v>
      </c>
      <c r="R378" s="430">
        <f>20000000/1000</f>
        <v>20000</v>
      </c>
      <c r="S378" s="430"/>
      <c r="T378" s="326">
        <f>R378</f>
        <v>20000</v>
      </c>
      <c r="U378" s="19"/>
    </row>
    <row r="379" spans="2:27" ht="12.75">
      <c r="B379" s="439" t="s">
        <v>1062</v>
      </c>
      <c r="C379" s="436">
        <v>38071</v>
      </c>
      <c r="D379" s="432" t="s">
        <v>1568</v>
      </c>
      <c r="E379" s="424"/>
      <c r="F379" s="456" t="s">
        <v>634</v>
      </c>
      <c r="G379" s="424"/>
      <c r="H379" s="457" t="s">
        <v>1076</v>
      </c>
      <c r="I379" s="325" t="s">
        <v>1051</v>
      </c>
      <c r="J379" s="325"/>
      <c r="K379" s="426" t="s">
        <v>1086</v>
      </c>
      <c r="L379" s="424"/>
      <c r="M379" s="311" t="s">
        <v>1881</v>
      </c>
      <c r="N379" s="325"/>
      <c r="O379" s="325" t="s">
        <v>1101</v>
      </c>
      <c r="P379" s="426" t="s">
        <v>1102</v>
      </c>
      <c r="Q379" s="325" t="s">
        <v>41</v>
      </c>
      <c r="R379" s="430">
        <f>18000000/1000</f>
        <v>18000</v>
      </c>
      <c r="S379" s="430"/>
      <c r="T379" s="326">
        <f>R379</f>
        <v>18000</v>
      </c>
      <c r="U379" s="19"/>
      <c r="AA379" s="13"/>
    </row>
    <row r="380" spans="2:27" ht="12.75">
      <c r="B380" s="439" t="s">
        <v>1063</v>
      </c>
      <c r="C380" s="436">
        <v>38219</v>
      </c>
      <c r="D380" s="432" t="s">
        <v>1569</v>
      </c>
      <c r="E380" s="424"/>
      <c r="F380" s="456" t="s">
        <v>634</v>
      </c>
      <c r="G380" s="424"/>
      <c r="H380" s="457" t="s">
        <v>1077</v>
      </c>
      <c r="I380" s="325" t="s">
        <v>446</v>
      </c>
      <c r="J380" s="325"/>
      <c r="K380" s="426" t="s">
        <v>1087</v>
      </c>
      <c r="L380" s="424"/>
      <c r="M380" s="325" t="s">
        <v>1094</v>
      </c>
      <c r="N380" s="325"/>
      <c r="O380" s="311" t="s">
        <v>1103</v>
      </c>
      <c r="P380" s="426" t="s">
        <v>1046</v>
      </c>
      <c r="Q380" s="325" t="s">
        <v>41</v>
      </c>
      <c r="R380" s="464">
        <f>280000000/1000</f>
        <v>280000</v>
      </c>
      <c r="S380" s="430"/>
      <c r="T380" s="326">
        <f>R380</f>
        <v>280000</v>
      </c>
      <c r="U380" t="s">
        <v>1116</v>
      </c>
      <c r="AA380" s="13"/>
    </row>
    <row r="381" spans="2:27" ht="12.75">
      <c r="B381" s="439" t="s">
        <v>1064</v>
      </c>
      <c r="C381" s="436">
        <v>38220</v>
      </c>
      <c r="D381" s="432" t="s">
        <v>1570</v>
      </c>
      <c r="E381" s="424"/>
      <c r="F381" s="456" t="s">
        <v>634</v>
      </c>
      <c r="G381" s="424"/>
      <c r="H381" s="457" t="s">
        <v>9</v>
      </c>
      <c r="I381" s="325" t="s">
        <v>1051</v>
      </c>
      <c r="J381" s="325"/>
      <c r="K381" s="426" t="s">
        <v>224</v>
      </c>
      <c r="L381" s="424"/>
      <c r="M381" s="325" t="s">
        <v>1095</v>
      </c>
      <c r="N381" s="325"/>
      <c r="O381" s="306" t="s">
        <v>1104</v>
      </c>
      <c r="P381" s="426" t="s">
        <v>1105</v>
      </c>
      <c r="Q381" s="325" t="s">
        <v>177</v>
      </c>
      <c r="R381" s="464">
        <f>12100000/1000</f>
        <v>12100</v>
      </c>
      <c r="S381" s="430"/>
      <c r="T381" s="326">
        <f>ROUND(R381*1.47349,2)</f>
        <v>17829.23</v>
      </c>
      <c r="U381" s="19"/>
      <c r="AA381" s="13"/>
    </row>
    <row r="382" spans="2:27" ht="12.75">
      <c r="B382" s="439" t="s">
        <v>1065</v>
      </c>
      <c r="C382" s="436">
        <v>38292</v>
      </c>
      <c r="D382" s="432" t="s">
        <v>1571</v>
      </c>
      <c r="E382" s="424"/>
      <c r="F382" s="456" t="s">
        <v>634</v>
      </c>
      <c r="G382" s="424"/>
      <c r="H382" s="457" t="s">
        <v>1078</v>
      </c>
      <c r="I382" s="325" t="s">
        <v>1114</v>
      </c>
      <c r="J382" s="325"/>
      <c r="K382" s="426" t="s">
        <v>1056</v>
      </c>
      <c r="L382" s="424"/>
      <c r="M382" s="467" t="s">
        <v>1882</v>
      </c>
      <c r="N382" s="325"/>
      <c r="O382" s="311" t="s">
        <v>1106</v>
      </c>
      <c r="P382" s="307" t="s">
        <v>1883</v>
      </c>
      <c r="Q382" s="325" t="s">
        <v>41</v>
      </c>
      <c r="R382" s="464">
        <f>750000/1000</f>
        <v>750</v>
      </c>
      <c r="S382" s="430"/>
      <c r="T382" s="326">
        <f>R382</f>
        <v>750</v>
      </c>
      <c r="U382" s="19"/>
      <c r="AA382" s="309"/>
    </row>
    <row r="383" spans="2:27" ht="12.75">
      <c r="B383" s="439" t="s">
        <v>1066</v>
      </c>
      <c r="C383" s="436">
        <v>38292</v>
      </c>
      <c r="D383" s="432" t="s">
        <v>1572</v>
      </c>
      <c r="E383" s="424"/>
      <c r="F383" s="456" t="s">
        <v>634</v>
      </c>
      <c r="G383" s="424"/>
      <c r="H383" s="457" t="s">
        <v>1079</v>
      </c>
      <c r="I383" s="325" t="s">
        <v>1051</v>
      </c>
      <c r="J383" s="325"/>
      <c r="K383" s="426" t="s">
        <v>443</v>
      </c>
      <c r="L383" s="424"/>
      <c r="M383" s="325" t="s">
        <v>1093</v>
      </c>
      <c r="N383" s="325"/>
      <c r="O383" s="311" t="s">
        <v>1107</v>
      </c>
      <c r="P383" s="426" t="s">
        <v>1108</v>
      </c>
      <c r="Q383" s="325" t="s">
        <v>41</v>
      </c>
      <c r="R383" s="464">
        <f>12000000/1000</f>
        <v>12000</v>
      </c>
      <c r="S383" s="430"/>
      <c r="T383" s="326">
        <f aca="true" t="shared" si="1" ref="T383:T388">R383</f>
        <v>12000</v>
      </c>
      <c r="U383" s="19"/>
      <c r="AA383" s="13"/>
    </row>
    <row r="384" spans="2:21" ht="12.75">
      <c r="B384" s="439" t="s">
        <v>1067</v>
      </c>
      <c r="C384" s="436">
        <v>38323</v>
      </c>
      <c r="D384" s="432" t="s">
        <v>1573</v>
      </c>
      <c r="E384" s="424"/>
      <c r="F384" s="456" t="s">
        <v>634</v>
      </c>
      <c r="G384" s="424"/>
      <c r="H384" s="457" t="s">
        <v>1223</v>
      </c>
      <c r="I384" s="325" t="s">
        <v>1092</v>
      </c>
      <c r="J384" s="325"/>
      <c r="K384" s="426" t="s">
        <v>1087</v>
      </c>
      <c r="L384" s="424"/>
      <c r="M384" s="325" t="s">
        <v>1096</v>
      </c>
      <c r="N384" s="325"/>
      <c r="O384" s="311" t="s">
        <v>1106</v>
      </c>
      <c r="P384" s="426" t="s">
        <v>1109</v>
      </c>
      <c r="Q384" s="325" t="s">
        <v>41</v>
      </c>
      <c r="R384" s="464">
        <f>80000000/1000</f>
        <v>80000</v>
      </c>
      <c r="S384" s="430"/>
      <c r="T384" s="326">
        <f t="shared" si="1"/>
        <v>80000</v>
      </c>
      <c r="U384" s="19" t="s">
        <v>1032</v>
      </c>
    </row>
    <row r="385" spans="2:21" ht="12.75">
      <c r="B385" s="439" t="s">
        <v>1068</v>
      </c>
      <c r="C385" s="436">
        <v>38331</v>
      </c>
      <c r="D385" s="432" t="s">
        <v>1574</v>
      </c>
      <c r="E385" s="424"/>
      <c r="F385" s="456" t="s">
        <v>634</v>
      </c>
      <c r="G385" s="424"/>
      <c r="H385" s="457" t="s">
        <v>1224</v>
      </c>
      <c r="I385" s="325" t="s">
        <v>1092</v>
      </c>
      <c r="J385" s="325"/>
      <c r="K385" s="426" t="s">
        <v>1088</v>
      </c>
      <c r="L385" s="424"/>
      <c r="M385" s="325" t="s">
        <v>1093</v>
      </c>
      <c r="N385" s="325"/>
      <c r="O385" s="311" t="s">
        <v>1107</v>
      </c>
      <c r="P385" s="426" t="s">
        <v>1108</v>
      </c>
      <c r="Q385" s="325" t="s">
        <v>41</v>
      </c>
      <c r="R385" s="464">
        <f>100000000/1000</f>
        <v>100000</v>
      </c>
      <c r="S385" s="430"/>
      <c r="T385" s="326">
        <f t="shared" si="1"/>
        <v>100000</v>
      </c>
      <c r="U385" s="19" t="s">
        <v>1032</v>
      </c>
    </row>
    <row r="386" spans="2:24" ht="12.75">
      <c r="B386" s="439" t="s">
        <v>1068</v>
      </c>
      <c r="C386" s="436">
        <v>38331</v>
      </c>
      <c r="D386" s="432" t="s">
        <v>1575</v>
      </c>
      <c r="E386" s="424"/>
      <c r="F386" s="456" t="s">
        <v>634</v>
      </c>
      <c r="G386" s="424"/>
      <c r="H386" s="457" t="s">
        <v>1225</v>
      </c>
      <c r="I386" s="325" t="s">
        <v>1092</v>
      </c>
      <c r="J386" s="325"/>
      <c r="K386" s="426" t="s">
        <v>1088</v>
      </c>
      <c r="L386" s="424"/>
      <c r="M386" s="325" t="s">
        <v>1093</v>
      </c>
      <c r="N386" s="325"/>
      <c r="O386" s="311" t="s">
        <v>1107</v>
      </c>
      <c r="P386" s="426" t="s">
        <v>1108</v>
      </c>
      <c r="Q386" s="325" t="s">
        <v>41</v>
      </c>
      <c r="R386" s="464">
        <f>8800000/1000</f>
        <v>8800</v>
      </c>
      <c r="S386" s="430"/>
      <c r="T386" s="326">
        <f t="shared" si="1"/>
        <v>8800</v>
      </c>
      <c r="U386" s="19"/>
      <c r="W386" t="s">
        <v>1032</v>
      </c>
      <c r="X386" s="13">
        <f>T368+T369+T384+T385+T387+T389+140000</f>
        <v>2018850</v>
      </c>
    </row>
    <row r="387" spans="2:24" ht="12.75">
      <c r="B387" s="439" t="s">
        <v>1069</v>
      </c>
      <c r="C387" s="436">
        <v>38331</v>
      </c>
      <c r="D387" s="432" t="s">
        <v>1576</v>
      </c>
      <c r="E387" s="424"/>
      <c r="F387" s="456" t="s">
        <v>634</v>
      </c>
      <c r="G387" s="424"/>
      <c r="H387" s="457" t="s">
        <v>1080</v>
      </c>
      <c r="I387" s="325" t="s">
        <v>1092</v>
      </c>
      <c r="J387" s="325"/>
      <c r="K387" s="426" t="s">
        <v>1088</v>
      </c>
      <c r="L387" s="424"/>
      <c r="M387" s="325" t="s">
        <v>1093</v>
      </c>
      <c r="N387" s="325"/>
      <c r="O387" s="311" t="s">
        <v>1107</v>
      </c>
      <c r="P387" s="426" t="s">
        <v>1108</v>
      </c>
      <c r="Q387" s="325" t="s">
        <v>41</v>
      </c>
      <c r="R387" s="464">
        <f>100000000/1000</f>
        <v>100000</v>
      </c>
      <c r="S387" s="430"/>
      <c r="T387" s="326">
        <f t="shared" si="1"/>
        <v>100000</v>
      </c>
      <c r="U387" s="19" t="s">
        <v>1032</v>
      </c>
      <c r="W387" t="s">
        <v>1230</v>
      </c>
      <c r="X387" s="13">
        <f>T372+T374+T375+T378+T379+T381+T382+T383+T386+T388+T390+T391+T392+T393+T394+140000</f>
        <v>359118.722994629</v>
      </c>
    </row>
    <row r="388" spans="2:24" ht="12.75">
      <c r="B388" s="439" t="s">
        <v>1069</v>
      </c>
      <c r="C388" s="436">
        <v>38331</v>
      </c>
      <c r="D388" s="432" t="s">
        <v>1577</v>
      </c>
      <c r="E388" s="424"/>
      <c r="F388" s="456" t="s">
        <v>634</v>
      </c>
      <c r="G388" s="424"/>
      <c r="H388" s="457" t="s">
        <v>6</v>
      </c>
      <c r="I388" s="325" t="s">
        <v>1092</v>
      </c>
      <c r="J388" s="325"/>
      <c r="K388" s="426" t="s">
        <v>1088</v>
      </c>
      <c r="L388" s="424"/>
      <c r="M388" s="325" t="s">
        <v>1093</v>
      </c>
      <c r="N388" s="325"/>
      <c r="O388" s="311" t="s">
        <v>1107</v>
      </c>
      <c r="P388" s="426" t="s">
        <v>1108</v>
      </c>
      <c r="Q388" s="325" t="s">
        <v>41</v>
      </c>
      <c r="R388" s="464">
        <f>7800000/1000</f>
        <v>7800</v>
      </c>
      <c r="S388" s="430"/>
      <c r="T388" s="326">
        <f t="shared" si="1"/>
        <v>7800</v>
      </c>
      <c r="U388" s="19"/>
      <c r="W388" t="s">
        <v>1231</v>
      </c>
      <c r="X388" s="13">
        <f>T373</f>
        <v>6000</v>
      </c>
    </row>
    <row r="389" spans="2:24" ht="12.75">
      <c r="B389" s="439" t="s">
        <v>1070</v>
      </c>
      <c r="C389" s="436">
        <v>38331</v>
      </c>
      <c r="D389" s="432" t="s">
        <v>1578</v>
      </c>
      <c r="E389" s="424"/>
      <c r="F389" s="456" t="s">
        <v>634</v>
      </c>
      <c r="G389" s="424"/>
      <c r="H389" s="457" t="s">
        <v>1081</v>
      </c>
      <c r="I389" s="325" t="s">
        <v>1092</v>
      </c>
      <c r="J389" s="325"/>
      <c r="K389" s="426" t="s">
        <v>1088</v>
      </c>
      <c r="L389" s="424"/>
      <c r="M389" s="311" t="s">
        <v>1097</v>
      </c>
      <c r="N389" s="325"/>
      <c r="O389" s="311" t="s">
        <v>1149</v>
      </c>
      <c r="P389" s="426" t="s">
        <v>1148</v>
      </c>
      <c r="Q389" s="325" t="s">
        <v>41</v>
      </c>
      <c r="R389" s="464">
        <f>300000000/1000</f>
        <v>300000</v>
      </c>
      <c r="S389" s="430"/>
      <c r="T389" s="326">
        <f aca="true" t="shared" si="2" ref="T389:T394">R389</f>
        <v>300000</v>
      </c>
      <c r="U389" s="42" t="s">
        <v>1032</v>
      </c>
      <c r="X389" s="13">
        <f>SUM(X386:X388)</f>
        <v>2383968.722994629</v>
      </c>
    </row>
    <row r="390" spans="2:21" ht="12.75">
      <c r="B390" s="439" t="s">
        <v>1071</v>
      </c>
      <c r="C390" s="436">
        <v>38344</v>
      </c>
      <c r="D390" s="432" t="s">
        <v>1579</v>
      </c>
      <c r="E390" s="424"/>
      <c r="F390" s="456" t="s">
        <v>634</v>
      </c>
      <c r="G390" s="424"/>
      <c r="H390" s="457" t="s">
        <v>1082</v>
      </c>
      <c r="I390" s="325" t="s">
        <v>446</v>
      </c>
      <c r="J390" s="325"/>
      <c r="K390" s="426" t="s">
        <v>1089</v>
      </c>
      <c r="L390" s="424"/>
      <c r="M390" s="311" t="s">
        <v>1098</v>
      </c>
      <c r="N390" s="325"/>
      <c r="O390" s="311" t="s">
        <v>1053</v>
      </c>
      <c r="P390" s="426" t="s">
        <v>1046</v>
      </c>
      <c r="Q390" s="325" t="s">
        <v>41</v>
      </c>
      <c r="R390" s="464">
        <f>77000000/1000</f>
        <v>77000</v>
      </c>
      <c r="S390" s="430"/>
      <c r="T390" s="326">
        <f t="shared" si="2"/>
        <v>77000</v>
      </c>
      <c r="U390" s="19"/>
    </row>
    <row r="391" spans="2:21" ht="12.75">
      <c r="B391" s="439" t="s">
        <v>1072</v>
      </c>
      <c r="C391" s="436">
        <v>38350</v>
      </c>
      <c r="D391" s="432" t="s">
        <v>1580</v>
      </c>
      <c r="E391" s="424"/>
      <c r="F391" s="456" t="s">
        <v>634</v>
      </c>
      <c r="G391" s="424"/>
      <c r="H391" s="457" t="s">
        <v>1083</v>
      </c>
      <c r="I391" s="325" t="s">
        <v>937</v>
      </c>
      <c r="J391" s="325"/>
      <c r="K391" s="426" t="s">
        <v>937</v>
      </c>
      <c r="L391" s="424"/>
      <c r="M391" s="325" t="s">
        <v>1093</v>
      </c>
      <c r="N391" s="325"/>
      <c r="O391" s="311" t="s">
        <v>1107</v>
      </c>
      <c r="P391" s="426" t="s">
        <v>1108</v>
      </c>
      <c r="Q391" s="325" t="s">
        <v>41</v>
      </c>
      <c r="R391" s="464">
        <f>5000000/1000</f>
        <v>5000</v>
      </c>
      <c r="S391" s="430"/>
      <c r="T391" s="326">
        <f t="shared" si="2"/>
        <v>5000</v>
      </c>
      <c r="U391" s="19"/>
    </row>
    <row r="392" spans="2:21" ht="12.75">
      <c r="B392" s="439" t="s">
        <v>1073</v>
      </c>
      <c r="C392" s="436">
        <v>38350</v>
      </c>
      <c r="D392" s="432" t="s">
        <v>1581</v>
      </c>
      <c r="E392" s="424"/>
      <c r="F392" s="456" t="s">
        <v>634</v>
      </c>
      <c r="G392" s="424"/>
      <c r="H392" s="457" t="s">
        <v>1084</v>
      </c>
      <c r="I392" s="325" t="s">
        <v>33</v>
      </c>
      <c r="J392" s="325"/>
      <c r="K392" s="426" t="s">
        <v>1090</v>
      </c>
      <c r="L392" s="424"/>
      <c r="M392" s="311" t="s">
        <v>1097</v>
      </c>
      <c r="N392" s="325"/>
      <c r="O392" s="311" t="s">
        <v>1101</v>
      </c>
      <c r="P392" s="426" t="s">
        <v>1110</v>
      </c>
      <c r="Q392" s="325" t="s">
        <v>41</v>
      </c>
      <c r="R392" s="464">
        <f>15000000/1000</f>
        <v>15000</v>
      </c>
      <c r="S392" s="430"/>
      <c r="T392" s="326">
        <f t="shared" si="2"/>
        <v>15000</v>
      </c>
      <c r="U392" s="21">
        <f>T390+T380+T384</f>
        <v>437000</v>
      </c>
    </row>
    <row r="393" spans="2:21" ht="12.75">
      <c r="B393" s="439" t="s">
        <v>1074</v>
      </c>
      <c r="C393" s="436">
        <v>38350</v>
      </c>
      <c r="D393" s="432" t="s">
        <v>1582</v>
      </c>
      <c r="E393" s="424"/>
      <c r="F393" s="456" t="s">
        <v>634</v>
      </c>
      <c r="G393" s="424"/>
      <c r="H393" s="457" t="s">
        <v>7</v>
      </c>
      <c r="I393" s="325" t="s">
        <v>1092</v>
      </c>
      <c r="J393" s="325"/>
      <c r="K393" s="426" t="s">
        <v>1088</v>
      </c>
      <c r="L393" s="424"/>
      <c r="M393" s="311" t="s">
        <v>1097</v>
      </c>
      <c r="N393" s="325"/>
      <c r="O393" s="311" t="s">
        <v>1111</v>
      </c>
      <c r="P393" s="426" t="s">
        <v>1112</v>
      </c>
      <c r="Q393" s="325" t="s">
        <v>41</v>
      </c>
      <c r="R393" s="464">
        <f>5300000/1000</f>
        <v>5300</v>
      </c>
      <c r="S393" s="430"/>
      <c r="T393" s="326">
        <f t="shared" si="2"/>
        <v>5300</v>
      </c>
      <c r="U393" s="21">
        <f>T383+T385+T386+T387+T388+T391+T378</f>
        <v>253600</v>
      </c>
    </row>
    <row r="394" spans="2:21" ht="13.5" thickBot="1">
      <c r="B394" s="441" t="s">
        <v>1075</v>
      </c>
      <c r="C394" s="468">
        <v>38350</v>
      </c>
      <c r="D394" s="446" t="s">
        <v>1583</v>
      </c>
      <c r="E394" s="444"/>
      <c r="F394" s="469" t="s">
        <v>634</v>
      </c>
      <c r="G394" s="444"/>
      <c r="H394" s="470" t="s">
        <v>8</v>
      </c>
      <c r="I394" s="471" t="s">
        <v>1115</v>
      </c>
      <c r="J394" s="471"/>
      <c r="K394" s="448" t="s">
        <v>1091</v>
      </c>
      <c r="L394" s="444"/>
      <c r="M394" s="472" t="s">
        <v>1097</v>
      </c>
      <c r="N394" s="471"/>
      <c r="O394" s="472" t="s">
        <v>1053</v>
      </c>
      <c r="P394" s="448" t="s">
        <v>1046</v>
      </c>
      <c r="Q394" s="471" t="s">
        <v>41</v>
      </c>
      <c r="R394" s="473">
        <f>12000000/1000</f>
        <v>12000</v>
      </c>
      <c r="S394" s="452"/>
      <c r="T394" s="453">
        <f t="shared" si="2"/>
        <v>12000</v>
      </c>
      <c r="U394" s="21">
        <f>T394+T393+T392+T389+T382+T379</f>
        <v>351050</v>
      </c>
    </row>
    <row r="395" spans="2:21" ht="18.75" thickTop="1">
      <c r="B395" s="252"/>
      <c r="C395" s="317"/>
      <c r="D395" s="268"/>
      <c r="E395" s="63"/>
      <c r="F395" s="289"/>
      <c r="G395" s="63"/>
      <c r="H395" s="314"/>
      <c r="I395" s="64"/>
      <c r="J395" s="64"/>
      <c r="K395" s="88"/>
      <c r="L395" s="63"/>
      <c r="M395" s="64"/>
      <c r="N395" s="64"/>
      <c r="O395" s="64"/>
      <c r="P395" s="88"/>
      <c r="Q395" s="269"/>
      <c r="R395" s="195"/>
      <c r="S395" s="195"/>
      <c r="T395" s="253"/>
      <c r="U395" s="19"/>
    </row>
    <row r="396" spans="2:21" ht="18">
      <c r="B396" s="165">
        <v>2005</v>
      </c>
      <c r="C396" s="318"/>
      <c r="D396" s="220"/>
      <c r="E396" s="8"/>
      <c r="F396" s="287"/>
      <c r="G396" s="8"/>
      <c r="H396" s="315"/>
      <c r="I396" s="34"/>
      <c r="J396" s="34"/>
      <c r="K396" s="89"/>
      <c r="L396" s="8"/>
      <c r="M396" s="34"/>
      <c r="N396" s="34"/>
      <c r="O396" s="34"/>
      <c r="P396" s="89"/>
      <c r="Q396" s="221"/>
      <c r="R396" s="31"/>
      <c r="S396" s="31"/>
      <c r="T396" s="118">
        <f>+T397+T400+T403</f>
        <v>919412.8</v>
      </c>
      <c r="U396" s="19"/>
    </row>
    <row r="397" spans="2:21" ht="12.75">
      <c r="B397" s="205" t="s">
        <v>904</v>
      </c>
      <c r="C397" s="431"/>
      <c r="D397" s="474"/>
      <c r="E397" s="424"/>
      <c r="F397" s="456"/>
      <c r="G397" s="424"/>
      <c r="H397" s="457"/>
      <c r="I397" s="325"/>
      <c r="J397" s="325"/>
      <c r="K397" s="426"/>
      <c r="L397" s="424"/>
      <c r="M397" s="325"/>
      <c r="N397" s="325"/>
      <c r="O397" s="325"/>
      <c r="P397" s="426"/>
      <c r="Q397" s="458"/>
      <c r="R397" s="430"/>
      <c r="S397" s="430"/>
      <c r="T397" s="148">
        <f>SUM(T398:T398)</f>
        <v>400000</v>
      </c>
      <c r="U397" s="19"/>
    </row>
    <row r="398" spans="2:21" ht="12.75">
      <c r="B398" s="439" t="s">
        <v>1118</v>
      </c>
      <c r="C398" s="436">
        <v>38382</v>
      </c>
      <c r="D398" s="458" t="s">
        <v>1039</v>
      </c>
      <c r="E398" s="424"/>
      <c r="F398" s="456" t="s">
        <v>1041</v>
      </c>
      <c r="G398" s="424"/>
      <c r="H398" s="457" t="s">
        <v>1040</v>
      </c>
      <c r="I398" s="460" t="s">
        <v>85</v>
      </c>
      <c r="J398" s="325"/>
      <c r="K398" s="426" t="s">
        <v>36</v>
      </c>
      <c r="L398" s="424"/>
      <c r="M398" s="461" t="s">
        <v>1119</v>
      </c>
      <c r="N398" s="325"/>
      <c r="O398" s="311" t="s">
        <v>905</v>
      </c>
      <c r="P398" s="475" t="s">
        <v>1884</v>
      </c>
      <c r="Q398" s="462" t="s">
        <v>41</v>
      </c>
      <c r="R398" s="430">
        <v>400000</v>
      </c>
      <c r="S398" s="430"/>
      <c r="T398" s="326">
        <f>R398</f>
        <v>400000</v>
      </c>
      <c r="U398" s="19" t="s">
        <v>1032</v>
      </c>
    </row>
    <row r="399" spans="2:21" ht="12.75">
      <c r="B399" s="439"/>
      <c r="C399" s="436"/>
      <c r="D399" s="458"/>
      <c r="E399" s="424"/>
      <c r="F399" s="456"/>
      <c r="G399" s="424"/>
      <c r="H399" s="457"/>
      <c r="I399" s="460"/>
      <c r="J399" s="325"/>
      <c r="K399" s="426"/>
      <c r="L399" s="424"/>
      <c r="M399" s="461"/>
      <c r="N399" s="325"/>
      <c r="O399" s="311"/>
      <c r="P399" s="475"/>
      <c r="Q399" s="462"/>
      <c r="R399" s="430"/>
      <c r="S399" s="430"/>
      <c r="T399" s="326"/>
      <c r="U399" s="19"/>
    </row>
    <row r="400" spans="2:21" ht="12.75">
      <c r="B400" s="154" t="s">
        <v>803</v>
      </c>
      <c r="C400" s="431"/>
      <c r="D400" s="474"/>
      <c r="E400" s="424"/>
      <c r="F400" s="456"/>
      <c r="G400" s="424"/>
      <c r="H400" s="457"/>
      <c r="I400" s="460"/>
      <c r="J400" s="325"/>
      <c r="K400" s="426"/>
      <c r="L400" s="424"/>
      <c r="M400" s="461"/>
      <c r="N400" s="325"/>
      <c r="O400" s="311"/>
      <c r="P400" s="265"/>
      <c r="Q400" s="462"/>
      <c r="R400" s="430"/>
      <c r="S400" s="430"/>
      <c r="T400" s="148">
        <f>+T401</f>
        <v>14152.8</v>
      </c>
      <c r="U400" s="19"/>
    </row>
    <row r="401" spans="2:21" s="360" customFormat="1" ht="12.75">
      <c r="B401" s="476" t="s">
        <v>1471</v>
      </c>
      <c r="C401" s="477">
        <v>38156</v>
      </c>
      <c r="D401" s="458" t="s">
        <v>386</v>
      </c>
      <c r="E401" s="474"/>
      <c r="F401" s="456" t="s">
        <v>1045</v>
      </c>
      <c r="G401" s="474"/>
      <c r="H401" s="478" t="s">
        <v>1126</v>
      </c>
      <c r="I401" s="479" t="s">
        <v>85</v>
      </c>
      <c r="J401" s="458"/>
      <c r="K401" s="459" t="s">
        <v>1127</v>
      </c>
      <c r="L401" s="474"/>
      <c r="M401" s="480" t="s">
        <v>1128</v>
      </c>
      <c r="N401" s="458"/>
      <c r="O401" s="480" t="s">
        <v>1108</v>
      </c>
      <c r="P401" s="459" t="s">
        <v>1129</v>
      </c>
      <c r="Q401" s="481" t="s">
        <v>908</v>
      </c>
      <c r="R401" s="482">
        <v>12000</v>
      </c>
      <c r="S401" s="483" t="s">
        <v>975</v>
      </c>
      <c r="T401" s="484">
        <f>R401*1.1794</f>
        <v>14152.8</v>
      </c>
      <c r="U401" s="42" t="s">
        <v>1032</v>
      </c>
    </row>
    <row r="402" spans="2:21" ht="12.75">
      <c r="B402" s="439"/>
      <c r="C402" s="436"/>
      <c r="D402" s="458"/>
      <c r="E402" s="424"/>
      <c r="F402" s="456"/>
      <c r="G402" s="424"/>
      <c r="H402" s="457"/>
      <c r="I402" s="460"/>
      <c r="J402" s="325"/>
      <c r="K402" s="426"/>
      <c r="L402" s="424"/>
      <c r="M402" s="461"/>
      <c r="N402" s="325"/>
      <c r="O402" s="311"/>
      <c r="P402" s="265"/>
      <c r="Q402" s="462"/>
      <c r="R402" s="430"/>
      <c r="S402" s="430"/>
      <c r="T402" s="326"/>
      <c r="U402" s="19"/>
    </row>
    <row r="403" spans="2:23" ht="12.75">
      <c r="B403" s="267" t="s">
        <v>634</v>
      </c>
      <c r="C403" s="431"/>
      <c r="D403" s="474"/>
      <c r="E403" s="424"/>
      <c r="F403" s="456"/>
      <c r="G403" s="424"/>
      <c r="H403" s="457"/>
      <c r="I403" s="325"/>
      <c r="J403" s="325"/>
      <c r="K403" s="426"/>
      <c r="L403" s="424"/>
      <c r="M403" s="325"/>
      <c r="N403" s="325"/>
      <c r="O403" s="325"/>
      <c r="P403" s="426"/>
      <c r="Q403" s="458"/>
      <c r="R403" s="430"/>
      <c r="S403" s="430"/>
      <c r="T403" s="148">
        <f>SUM(T404:T411)</f>
        <v>505260</v>
      </c>
      <c r="U403" s="19"/>
      <c r="V403" t="s">
        <v>1032</v>
      </c>
      <c r="W403" s="13">
        <f>T398+T401+T407+T408</f>
        <v>764152.8</v>
      </c>
    </row>
    <row r="404" spans="2:27" ht="12.75">
      <c r="B404" s="439" t="s">
        <v>1120</v>
      </c>
      <c r="C404" s="436">
        <v>38531</v>
      </c>
      <c r="D404" s="428" t="s">
        <v>1584</v>
      </c>
      <c r="E404" s="424"/>
      <c r="F404" s="456" t="s">
        <v>634</v>
      </c>
      <c r="G404" s="424"/>
      <c r="H404" s="457" t="s">
        <v>1122</v>
      </c>
      <c r="I404" s="325" t="s">
        <v>33</v>
      </c>
      <c r="J404" s="325"/>
      <c r="K404" s="426" t="s">
        <v>1124</v>
      </c>
      <c r="L404" s="424"/>
      <c r="M404" s="325" t="s">
        <v>1093</v>
      </c>
      <c r="N404" s="325"/>
      <c r="O404" s="311" t="s">
        <v>1107</v>
      </c>
      <c r="P404" s="426" t="s">
        <v>1108</v>
      </c>
      <c r="Q404" s="325" t="s">
        <v>41</v>
      </c>
      <c r="R404" s="430">
        <v>25000</v>
      </c>
      <c r="S404" s="430"/>
      <c r="T404" s="326">
        <f>R404</f>
        <v>25000</v>
      </c>
      <c r="U404" s="19"/>
      <c r="V404" t="s">
        <v>1230</v>
      </c>
      <c r="W404" s="13">
        <f>T404+T405+T406+T409+T410+T411</f>
        <v>155260</v>
      </c>
      <c r="AA404" s="13"/>
    </row>
    <row r="405" spans="2:27" ht="12.75">
      <c r="B405" s="439" t="s">
        <v>1121</v>
      </c>
      <c r="C405" s="436">
        <v>38651</v>
      </c>
      <c r="D405" s="428" t="s">
        <v>1585</v>
      </c>
      <c r="E405" s="424"/>
      <c r="F405" s="456" t="s">
        <v>634</v>
      </c>
      <c r="G405" s="424"/>
      <c r="H405" s="457" t="s">
        <v>1123</v>
      </c>
      <c r="I405" s="325" t="s">
        <v>33</v>
      </c>
      <c r="J405" s="325"/>
      <c r="K405" s="426" t="s">
        <v>1125</v>
      </c>
      <c r="L405" s="424"/>
      <c r="M405" s="325" t="s">
        <v>1093</v>
      </c>
      <c r="N405" s="325"/>
      <c r="O405" s="311" t="s">
        <v>1107</v>
      </c>
      <c r="P405" s="426" t="s">
        <v>1108</v>
      </c>
      <c r="Q405" s="325" t="s">
        <v>41</v>
      </c>
      <c r="R405" s="430">
        <v>10260</v>
      </c>
      <c r="S405" s="430"/>
      <c r="T405" s="326">
        <f aca="true" t="shared" si="3" ref="T405:T411">R405</f>
        <v>10260</v>
      </c>
      <c r="U405" s="19"/>
      <c r="W405" s="13">
        <f>SUM(W403:W404)</f>
        <v>919412.8</v>
      </c>
      <c r="AA405" s="309"/>
    </row>
    <row r="406" spans="2:27" ht="12.75">
      <c r="B406" s="439" t="s">
        <v>1130</v>
      </c>
      <c r="C406" s="436">
        <v>38687</v>
      </c>
      <c r="D406" s="427" t="s">
        <v>1586</v>
      </c>
      <c r="E406" s="424"/>
      <c r="F406" s="456" t="s">
        <v>634</v>
      </c>
      <c r="G406" s="424"/>
      <c r="H406" s="457" t="s">
        <v>1135</v>
      </c>
      <c r="I406" s="325" t="s">
        <v>33</v>
      </c>
      <c r="J406" s="325"/>
      <c r="K406" s="426" t="s">
        <v>1139</v>
      </c>
      <c r="L406" s="424"/>
      <c r="M406" s="325" t="s">
        <v>1141</v>
      </c>
      <c r="N406" s="325"/>
      <c r="O406" s="311" t="s">
        <v>1143</v>
      </c>
      <c r="P406" s="426" t="s">
        <v>1112</v>
      </c>
      <c r="Q406" s="325" t="s">
        <v>41</v>
      </c>
      <c r="R406" s="464">
        <v>15000</v>
      </c>
      <c r="S406" s="430"/>
      <c r="T406" s="326">
        <f t="shared" si="3"/>
        <v>15000</v>
      </c>
      <c r="U406" s="19"/>
      <c r="AA406" s="13"/>
    </row>
    <row r="407" spans="2:21" ht="12.75">
      <c r="B407" s="439" t="s">
        <v>1131</v>
      </c>
      <c r="C407" s="436">
        <v>38691</v>
      </c>
      <c r="D407" s="427" t="s">
        <v>1587</v>
      </c>
      <c r="E407" s="424"/>
      <c r="F407" s="456" t="s">
        <v>634</v>
      </c>
      <c r="G407" s="424"/>
      <c r="H407" s="457" t="s">
        <v>1136</v>
      </c>
      <c r="I407" s="325" t="s">
        <v>85</v>
      </c>
      <c r="J407" s="325"/>
      <c r="K407" s="426" t="s">
        <v>1127</v>
      </c>
      <c r="L407" s="424"/>
      <c r="M407" s="325" t="s">
        <v>1093</v>
      </c>
      <c r="N407" s="325"/>
      <c r="O407" s="311" t="s">
        <v>1046</v>
      </c>
      <c r="P407" s="426" t="s">
        <v>1144</v>
      </c>
      <c r="Q407" s="325" t="s">
        <v>41</v>
      </c>
      <c r="R407" s="464">
        <v>150000</v>
      </c>
      <c r="S407" s="430"/>
      <c r="T407" s="326">
        <f t="shared" si="3"/>
        <v>150000</v>
      </c>
      <c r="U407" s="19" t="s">
        <v>1032</v>
      </c>
    </row>
    <row r="408" spans="2:27" ht="12.75">
      <c r="B408" s="439" t="s">
        <v>1132</v>
      </c>
      <c r="C408" s="436">
        <v>38691</v>
      </c>
      <c r="D408" s="427" t="s">
        <v>1588</v>
      </c>
      <c r="E408" s="424"/>
      <c r="F408" s="456" t="s">
        <v>634</v>
      </c>
      <c r="G408" s="424"/>
      <c r="H408" s="457" t="s">
        <v>1137</v>
      </c>
      <c r="I408" s="325" t="s">
        <v>85</v>
      </c>
      <c r="J408" s="325"/>
      <c r="K408" s="426" t="s">
        <v>1127</v>
      </c>
      <c r="L408" s="424"/>
      <c r="M408" s="325" t="s">
        <v>1141</v>
      </c>
      <c r="N408" s="325"/>
      <c r="O408" s="311" t="s">
        <v>1053</v>
      </c>
      <c r="P408" s="426" t="s">
        <v>1145</v>
      </c>
      <c r="Q408" s="325" t="s">
        <v>1147</v>
      </c>
      <c r="R408" s="464">
        <v>200000</v>
      </c>
      <c r="S408" s="430"/>
      <c r="T408" s="326">
        <f t="shared" si="3"/>
        <v>200000</v>
      </c>
      <c r="U408" s="19" t="s">
        <v>1032</v>
      </c>
      <c r="W408" s="13" t="e">
        <f>+T395-#REF!-#REF!</f>
        <v>#REF!</v>
      </c>
      <c r="AA408" s="13"/>
    </row>
    <row r="409" spans="2:21" ht="12.75">
      <c r="B409" s="439" t="s">
        <v>1132</v>
      </c>
      <c r="C409" s="485">
        <v>38691</v>
      </c>
      <c r="D409" s="427" t="s">
        <v>1589</v>
      </c>
      <c r="E409" s="424"/>
      <c r="F409" s="456" t="s">
        <v>634</v>
      </c>
      <c r="G409" s="424"/>
      <c r="H409" s="457" t="s">
        <v>10</v>
      </c>
      <c r="I409" s="325" t="s">
        <v>85</v>
      </c>
      <c r="J409" s="325"/>
      <c r="K409" s="426" t="s">
        <v>1088</v>
      </c>
      <c r="L409" s="424"/>
      <c r="M409" s="325" t="s">
        <v>1141</v>
      </c>
      <c r="N409" s="325"/>
      <c r="O409" s="311" t="s">
        <v>1103</v>
      </c>
      <c r="P409" s="426" t="s">
        <v>1146</v>
      </c>
      <c r="Q409" s="325" t="s">
        <v>41</v>
      </c>
      <c r="R409" s="464">
        <v>5000</v>
      </c>
      <c r="S409" s="430"/>
      <c r="T409" s="326">
        <f t="shared" si="3"/>
        <v>5000</v>
      </c>
      <c r="U409" s="19"/>
    </row>
    <row r="410" spans="2:21" ht="12.75">
      <c r="B410" s="439" t="s">
        <v>1133</v>
      </c>
      <c r="C410" s="485">
        <v>38710</v>
      </c>
      <c r="D410" s="427" t="s">
        <v>1590</v>
      </c>
      <c r="E410" s="424"/>
      <c r="F410" s="456" t="s">
        <v>634</v>
      </c>
      <c r="G410" s="424"/>
      <c r="H410" s="457" t="s">
        <v>1138</v>
      </c>
      <c r="I410" s="325" t="s">
        <v>98</v>
      </c>
      <c r="J410" s="325"/>
      <c r="K410" s="426" t="s">
        <v>1140</v>
      </c>
      <c r="L410" s="424"/>
      <c r="M410" s="325" t="s">
        <v>1093</v>
      </c>
      <c r="N410" s="325"/>
      <c r="O410" s="311" t="s">
        <v>1107</v>
      </c>
      <c r="P410" s="426" t="s">
        <v>1108</v>
      </c>
      <c r="Q410" s="325" t="s">
        <v>1147</v>
      </c>
      <c r="R410" s="464">
        <v>50000</v>
      </c>
      <c r="S410" s="430"/>
      <c r="T410" s="326">
        <f t="shared" si="3"/>
        <v>50000</v>
      </c>
      <c r="U410" s="21">
        <f>+T410+T407+T405+T404</f>
        <v>235260</v>
      </c>
    </row>
    <row r="411" spans="2:21" ht="12.75">
      <c r="B411" s="439" t="s">
        <v>1134</v>
      </c>
      <c r="C411" s="436">
        <v>38710</v>
      </c>
      <c r="D411" s="428" t="s">
        <v>1591</v>
      </c>
      <c r="E411" s="424"/>
      <c r="F411" s="456" t="s">
        <v>634</v>
      </c>
      <c r="G411" s="424"/>
      <c r="H411" s="457" t="s">
        <v>1138</v>
      </c>
      <c r="I411" s="325" t="s">
        <v>98</v>
      </c>
      <c r="J411" s="325"/>
      <c r="K411" s="426" t="s">
        <v>1140</v>
      </c>
      <c r="L411" s="424"/>
      <c r="M411" s="325" t="s">
        <v>1142</v>
      </c>
      <c r="N411" s="325"/>
      <c r="O411" s="311" t="s">
        <v>1053</v>
      </c>
      <c r="P411" s="426" t="s">
        <v>1145</v>
      </c>
      <c r="Q411" s="325" t="s">
        <v>41</v>
      </c>
      <c r="R411" s="464">
        <v>50000</v>
      </c>
      <c r="S411" s="430"/>
      <c r="T411" s="326">
        <f t="shared" si="3"/>
        <v>50000</v>
      </c>
      <c r="U411" s="21">
        <f>T406+T408+T409+T411</f>
        <v>270000</v>
      </c>
    </row>
    <row r="412" spans="2:21" ht="13.5" thickBot="1">
      <c r="B412" s="257"/>
      <c r="C412" s="320"/>
      <c r="D412" s="291"/>
      <c r="E412" s="4"/>
      <c r="F412" s="288"/>
      <c r="G412" s="4"/>
      <c r="H412" s="316"/>
      <c r="I412" s="16"/>
      <c r="J412" s="16"/>
      <c r="K412" s="92"/>
      <c r="L412" s="4"/>
      <c r="M412" s="291"/>
      <c r="N412" s="16"/>
      <c r="O412" s="292"/>
      <c r="P412" s="92"/>
      <c r="Q412" s="291"/>
      <c r="R412" s="293"/>
      <c r="S412" s="37"/>
      <c r="T412" s="56"/>
      <c r="U412" s="21"/>
    </row>
    <row r="413" spans="2:21" ht="13.5" thickTop="1">
      <c r="B413" s="298"/>
      <c r="C413" s="319"/>
      <c r="D413" s="43"/>
      <c r="E413" s="8"/>
      <c r="F413" s="287"/>
      <c r="G413" s="8"/>
      <c r="H413" s="315"/>
      <c r="I413" s="286"/>
      <c r="J413" s="34"/>
      <c r="K413" s="88"/>
      <c r="L413" s="8"/>
      <c r="M413" s="43"/>
      <c r="N413" s="34"/>
      <c r="O413" s="264"/>
      <c r="P413" s="89"/>
      <c r="Q413" s="43"/>
      <c r="R413" s="266"/>
      <c r="S413" s="21"/>
      <c r="T413" s="308"/>
      <c r="U413" s="21"/>
    </row>
    <row r="414" spans="2:21" ht="18">
      <c r="B414" s="165">
        <v>2006</v>
      </c>
      <c r="C414" s="319"/>
      <c r="D414" s="43"/>
      <c r="E414" s="8"/>
      <c r="F414" s="287"/>
      <c r="G414" s="8"/>
      <c r="H414" s="315"/>
      <c r="I414" s="281"/>
      <c r="J414" s="34"/>
      <c r="K414" s="89"/>
      <c r="L414" s="8"/>
      <c r="M414" s="43"/>
      <c r="N414" s="34"/>
      <c r="O414" s="264"/>
      <c r="P414" s="89"/>
      <c r="Q414" s="43"/>
      <c r="R414" s="266"/>
      <c r="S414" s="21"/>
      <c r="T414" s="118">
        <f>+T415+T423</f>
        <v>627859.27433852</v>
      </c>
      <c r="U414" s="21"/>
    </row>
    <row r="415" spans="2:22" ht="12.75">
      <c r="B415" s="154" t="s">
        <v>803</v>
      </c>
      <c r="C415" s="485"/>
      <c r="D415" s="313"/>
      <c r="E415" s="424"/>
      <c r="F415" s="456"/>
      <c r="G415" s="424"/>
      <c r="H415" s="457"/>
      <c r="I415" s="422"/>
      <c r="J415" s="325"/>
      <c r="K415" s="426"/>
      <c r="L415" s="424"/>
      <c r="M415" s="325"/>
      <c r="N415" s="325"/>
      <c r="O415" s="311"/>
      <c r="P415" s="426"/>
      <c r="Q415" s="325"/>
      <c r="R415" s="466"/>
      <c r="S415" s="430"/>
      <c r="T415" s="148">
        <f>SUM(T416:T421)</f>
        <v>114969.27433852</v>
      </c>
      <c r="U415" s="21"/>
      <c r="V415">
        <v>602859</v>
      </c>
    </row>
    <row r="416" spans="2:27" ht="12.75">
      <c r="B416" s="486" t="s">
        <v>1237</v>
      </c>
      <c r="C416" s="485">
        <v>38975</v>
      </c>
      <c r="D416" s="313" t="s">
        <v>1248</v>
      </c>
      <c r="E416" s="424"/>
      <c r="F416" s="380" t="s">
        <v>1250</v>
      </c>
      <c r="G416" s="424"/>
      <c r="H416" s="380" t="s">
        <v>1254</v>
      </c>
      <c r="I416" s="422" t="s">
        <v>1265</v>
      </c>
      <c r="J416" s="325" t="s">
        <v>1268</v>
      </c>
      <c r="K416" s="426" t="s">
        <v>1271</v>
      </c>
      <c r="L416" s="424"/>
      <c r="M416" s="465">
        <v>0.01</v>
      </c>
      <c r="N416" s="384"/>
      <c r="O416" s="385" t="s">
        <v>1053</v>
      </c>
      <c r="P416" s="487" t="s">
        <v>1054</v>
      </c>
      <c r="Q416" s="325" t="s">
        <v>41</v>
      </c>
      <c r="R416" s="464">
        <v>10000</v>
      </c>
      <c r="S416" s="430"/>
      <c r="T416" s="326">
        <v>10000</v>
      </c>
      <c r="U416" s="21"/>
      <c r="V416" s="13">
        <f>+T414-V415</f>
        <v>25000.274338520016</v>
      </c>
      <c r="AA416" s="13"/>
    </row>
    <row r="417" spans="2:27" s="360" customFormat="1" ht="12.75">
      <c r="B417" s="488" t="s">
        <v>1238</v>
      </c>
      <c r="C417" s="489">
        <v>38997</v>
      </c>
      <c r="D417" s="490" t="s">
        <v>386</v>
      </c>
      <c r="E417" s="474"/>
      <c r="F417" s="412" t="s">
        <v>1250</v>
      </c>
      <c r="G417" s="474"/>
      <c r="H417" s="412" t="s">
        <v>1255</v>
      </c>
      <c r="I417" s="456" t="s">
        <v>1266</v>
      </c>
      <c r="J417" s="458" t="s">
        <v>1268</v>
      </c>
      <c r="K417" s="459" t="s">
        <v>1272</v>
      </c>
      <c r="L417" s="474"/>
      <c r="M417" s="786">
        <v>0.02</v>
      </c>
      <c r="N417" s="492"/>
      <c r="O417" s="480" t="s">
        <v>1046</v>
      </c>
      <c r="P417" s="493" t="s">
        <v>1047</v>
      </c>
      <c r="Q417" s="458" t="s">
        <v>908</v>
      </c>
      <c r="R417" s="494">
        <v>11759.71</v>
      </c>
      <c r="S417" s="482"/>
      <c r="T417" s="484">
        <v>14813.71</v>
      </c>
      <c r="U417" s="361"/>
      <c r="AA417" s="624"/>
    </row>
    <row r="418" spans="2:27" s="360" customFormat="1" ht="12.75">
      <c r="B418" s="488" t="s">
        <v>1242</v>
      </c>
      <c r="C418" s="489">
        <v>39022</v>
      </c>
      <c r="D418" s="490" t="s">
        <v>386</v>
      </c>
      <c r="E418" s="474"/>
      <c r="F418" s="491" t="s">
        <v>1250</v>
      </c>
      <c r="G418" s="474"/>
      <c r="H418" s="412" t="s">
        <v>1259</v>
      </c>
      <c r="I418" s="456" t="s">
        <v>85</v>
      </c>
      <c r="J418" s="458" t="s">
        <v>1268</v>
      </c>
      <c r="K418" s="459" t="s">
        <v>1127</v>
      </c>
      <c r="L418" s="474"/>
      <c r="M418" s="458" t="s">
        <v>1285</v>
      </c>
      <c r="N418" s="492"/>
      <c r="O418" s="458" t="s">
        <v>1108</v>
      </c>
      <c r="P418" s="493" t="s">
        <v>1129</v>
      </c>
      <c r="Q418" s="458" t="s">
        <v>908</v>
      </c>
      <c r="R418" s="494">
        <v>12000</v>
      </c>
      <c r="S418" s="482"/>
      <c r="T418" s="484">
        <v>15313.2</v>
      </c>
      <c r="U418" s="361"/>
      <c r="AA418" s="362"/>
    </row>
    <row r="419" spans="2:27" s="360" customFormat="1" ht="12.75">
      <c r="B419" s="488" t="s">
        <v>1243</v>
      </c>
      <c r="C419" s="489">
        <v>39022</v>
      </c>
      <c r="D419" s="490" t="s">
        <v>386</v>
      </c>
      <c r="E419" s="474"/>
      <c r="F419" s="491" t="s">
        <v>1250</v>
      </c>
      <c r="G419" s="474"/>
      <c r="H419" s="412" t="s">
        <v>1260</v>
      </c>
      <c r="I419" s="456" t="s">
        <v>33</v>
      </c>
      <c r="J419" s="458" t="s">
        <v>1268</v>
      </c>
      <c r="K419" s="459" t="s">
        <v>1274</v>
      </c>
      <c r="L419" s="474"/>
      <c r="M419" s="786">
        <v>0.03</v>
      </c>
      <c r="N419" s="492"/>
      <c r="O419" s="458" t="s">
        <v>1046</v>
      </c>
      <c r="P419" s="493" t="s">
        <v>1047</v>
      </c>
      <c r="Q419" s="458" t="s">
        <v>908</v>
      </c>
      <c r="R419" s="494">
        <v>6000</v>
      </c>
      <c r="S419" s="482"/>
      <c r="T419" s="484">
        <v>7658.4</v>
      </c>
      <c r="U419" s="361"/>
      <c r="AA419" s="624"/>
    </row>
    <row r="420" spans="2:21" s="360" customFormat="1" ht="12.75">
      <c r="B420" s="488" t="s">
        <v>1244</v>
      </c>
      <c r="C420" s="489">
        <v>39045</v>
      </c>
      <c r="D420" s="490" t="s">
        <v>386</v>
      </c>
      <c r="E420" s="474"/>
      <c r="F420" s="491" t="s">
        <v>1250</v>
      </c>
      <c r="G420" s="474"/>
      <c r="H420" s="412" t="s">
        <v>1261</v>
      </c>
      <c r="I420" s="456" t="s">
        <v>127</v>
      </c>
      <c r="J420" s="458" t="s">
        <v>1268</v>
      </c>
      <c r="K420" s="459" t="s">
        <v>1275</v>
      </c>
      <c r="L420" s="474"/>
      <c r="M420" s="787" t="s">
        <v>2</v>
      </c>
      <c r="N420" s="492"/>
      <c r="O420" s="458" t="s">
        <v>1046</v>
      </c>
      <c r="P420" s="493" t="s">
        <v>1047</v>
      </c>
      <c r="Q420" s="458" t="s">
        <v>908</v>
      </c>
      <c r="R420" s="494">
        <v>12035.5</v>
      </c>
      <c r="S420" s="482"/>
      <c r="T420" s="484">
        <v>15573.94033852</v>
      </c>
      <c r="U420" s="361"/>
    </row>
    <row r="421" spans="2:21" ht="12.75">
      <c r="B421" s="486" t="s">
        <v>1245</v>
      </c>
      <c r="C421" s="485">
        <v>39052</v>
      </c>
      <c r="D421" s="313" t="s">
        <v>534</v>
      </c>
      <c r="E421" s="424"/>
      <c r="F421" s="495" t="s">
        <v>1250</v>
      </c>
      <c r="G421" s="424"/>
      <c r="H421" s="380" t="s">
        <v>1262</v>
      </c>
      <c r="I421" s="422" t="s">
        <v>33</v>
      </c>
      <c r="J421" s="325" t="s">
        <v>1268</v>
      </c>
      <c r="K421" s="426" t="s">
        <v>1125</v>
      </c>
      <c r="L421" s="424"/>
      <c r="M421" s="325" t="s">
        <v>1286</v>
      </c>
      <c r="N421" s="384"/>
      <c r="O421" s="385" t="s">
        <v>1287</v>
      </c>
      <c r="P421" s="487" t="s">
        <v>1279</v>
      </c>
      <c r="Q421" s="325" t="s">
        <v>112</v>
      </c>
      <c r="R421" s="464">
        <v>5972000</v>
      </c>
      <c r="S421" s="430"/>
      <c r="T421" s="326">
        <v>51610.024</v>
      </c>
      <c r="U421" s="21"/>
    </row>
    <row r="422" spans="2:21" ht="12.75">
      <c r="B422" s="486"/>
      <c r="C422" s="436"/>
      <c r="D422" s="325"/>
      <c r="E422" s="424"/>
      <c r="F422" s="380"/>
      <c r="G422" s="424"/>
      <c r="H422" s="380"/>
      <c r="I422" s="422"/>
      <c r="J422" s="325"/>
      <c r="K422" s="426"/>
      <c r="L422" s="424"/>
      <c r="M422" s="465"/>
      <c r="N422" s="384"/>
      <c r="O422" s="311"/>
      <c r="P422" s="487"/>
      <c r="Q422" s="325"/>
      <c r="R422" s="464"/>
      <c r="S422" s="430"/>
      <c r="T422" s="326"/>
      <c r="U422" s="21"/>
    </row>
    <row r="423" spans="2:21" ht="12.75">
      <c r="B423" s="267" t="s">
        <v>634</v>
      </c>
      <c r="C423" s="436"/>
      <c r="D423" s="325"/>
      <c r="E423" s="424"/>
      <c r="F423" s="456"/>
      <c r="G423" s="424"/>
      <c r="H423" s="457"/>
      <c r="I423" s="422"/>
      <c r="J423" s="325"/>
      <c r="K423" s="426"/>
      <c r="L423" s="424"/>
      <c r="M423" s="325"/>
      <c r="N423" s="325"/>
      <c r="O423" s="311"/>
      <c r="P423" s="426"/>
      <c r="Q423" s="325"/>
      <c r="R423" s="464"/>
      <c r="S423" s="430"/>
      <c r="T423" s="148">
        <f>SUM(T424:T433)</f>
        <v>512890</v>
      </c>
      <c r="U423" s="21"/>
    </row>
    <row r="424" spans="2:27" ht="25.5">
      <c r="B424" s="313" t="s">
        <v>1232</v>
      </c>
      <c r="C424" s="436">
        <v>38759</v>
      </c>
      <c r="D424" s="496" t="s">
        <v>137</v>
      </c>
      <c r="E424" s="424"/>
      <c r="F424" s="380" t="s">
        <v>1249</v>
      </c>
      <c r="G424" s="424"/>
      <c r="H424" s="381" t="s">
        <v>1592</v>
      </c>
      <c r="I424" s="422" t="s">
        <v>1265</v>
      </c>
      <c r="J424" s="325" t="s">
        <v>1268</v>
      </c>
      <c r="K424" s="426" t="s">
        <v>1127</v>
      </c>
      <c r="L424" s="424"/>
      <c r="M424" s="299" t="s">
        <v>977</v>
      </c>
      <c r="N424" s="384"/>
      <c r="O424" s="299" t="s">
        <v>977</v>
      </c>
      <c r="P424" s="300" t="s">
        <v>977</v>
      </c>
      <c r="Q424" s="325" t="s">
        <v>41</v>
      </c>
      <c r="R424" s="430">
        <v>28000</v>
      </c>
      <c r="S424" s="430"/>
      <c r="T424" s="326">
        <v>28000</v>
      </c>
      <c r="U424" s="21"/>
      <c r="AA424" s="13"/>
    </row>
    <row r="425" spans="2:27" ht="12.75">
      <c r="B425" s="313" t="s">
        <v>1233</v>
      </c>
      <c r="C425" s="485">
        <v>38904</v>
      </c>
      <c r="D425" s="413" t="s">
        <v>1593</v>
      </c>
      <c r="E425" s="424"/>
      <c r="F425" s="380" t="s">
        <v>1249</v>
      </c>
      <c r="G425" s="424"/>
      <c r="H425" s="380" t="s">
        <v>1251</v>
      </c>
      <c r="I425" s="422" t="s">
        <v>98</v>
      </c>
      <c r="J425" s="325" t="s">
        <v>1268</v>
      </c>
      <c r="K425" s="426" t="s">
        <v>1269</v>
      </c>
      <c r="L425" s="424"/>
      <c r="M425" s="325" t="s">
        <v>1093</v>
      </c>
      <c r="N425" s="384"/>
      <c r="O425" s="311" t="s">
        <v>1046</v>
      </c>
      <c r="P425" s="497" t="s">
        <v>1277</v>
      </c>
      <c r="Q425" s="325" t="s">
        <v>41</v>
      </c>
      <c r="R425" s="464">
        <v>50000</v>
      </c>
      <c r="S425" s="430"/>
      <c r="T425" s="326">
        <v>50000</v>
      </c>
      <c r="U425" s="21"/>
      <c r="AA425" s="13"/>
    </row>
    <row r="426" spans="2:27" ht="12.75">
      <c r="B426" s="313" t="s">
        <v>1234</v>
      </c>
      <c r="C426" s="485">
        <v>38904</v>
      </c>
      <c r="D426" s="413" t="s">
        <v>1594</v>
      </c>
      <c r="E426" s="424"/>
      <c r="F426" s="380" t="s">
        <v>1249</v>
      </c>
      <c r="G426" s="424"/>
      <c r="H426" s="380" t="s">
        <v>1252</v>
      </c>
      <c r="I426" s="422" t="s">
        <v>1008</v>
      </c>
      <c r="J426" s="325" t="s">
        <v>1268</v>
      </c>
      <c r="K426" s="426" t="s">
        <v>1008</v>
      </c>
      <c r="L426" s="424"/>
      <c r="M426" s="325" t="s">
        <v>1141</v>
      </c>
      <c r="N426" s="384"/>
      <c r="O426" s="311" t="s">
        <v>1278</v>
      </c>
      <c r="P426" s="497" t="s">
        <v>1279</v>
      </c>
      <c r="Q426" s="325" t="s">
        <v>41</v>
      </c>
      <c r="R426" s="464">
        <v>25000</v>
      </c>
      <c r="S426" s="430"/>
      <c r="T426" s="326">
        <v>25000</v>
      </c>
      <c r="U426" s="21"/>
      <c r="AA426" s="309"/>
    </row>
    <row r="427" spans="2:27" ht="31.5" customHeight="1">
      <c r="B427" s="486" t="s">
        <v>1235</v>
      </c>
      <c r="C427" s="485">
        <v>38906</v>
      </c>
      <c r="D427" s="413" t="s">
        <v>86</v>
      </c>
      <c r="E427" s="424"/>
      <c r="F427" s="380" t="s">
        <v>1249</v>
      </c>
      <c r="G427" s="424"/>
      <c r="H427" s="379" t="s">
        <v>1551</v>
      </c>
      <c r="I427" s="422" t="s">
        <v>1265</v>
      </c>
      <c r="J427" s="325" t="s">
        <v>1268</v>
      </c>
      <c r="K427" s="426" t="s">
        <v>1127</v>
      </c>
      <c r="L427" s="424"/>
      <c r="M427" s="299" t="s">
        <v>1226</v>
      </c>
      <c r="N427" s="209"/>
      <c r="O427" s="299" t="s">
        <v>1226</v>
      </c>
      <c r="P427" s="300" t="s">
        <v>1226</v>
      </c>
      <c r="Q427" s="325" t="s">
        <v>41</v>
      </c>
      <c r="R427" s="464">
        <v>60000</v>
      </c>
      <c r="S427" s="430"/>
      <c r="T427" s="326">
        <v>60000</v>
      </c>
      <c r="U427" s="21"/>
      <c r="AA427" s="13"/>
    </row>
    <row r="428" spans="2:21" ht="12.75">
      <c r="B428" s="486" t="s">
        <v>1236</v>
      </c>
      <c r="C428" s="485">
        <v>38913</v>
      </c>
      <c r="D428" s="413" t="s">
        <v>1595</v>
      </c>
      <c r="E428" s="424"/>
      <c r="F428" s="380" t="s">
        <v>1249</v>
      </c>
      <c r="G428" s="424"/>
      <c r="H428" s="380" t="s">
        <v>1253</v>
      </c>
      <c r="I428" s="422" t="s">
        <v>33</v>
      </c>
      <c r="J428" s="325" t="s">
        <v>1268</v>
      </c>
      <c r="K428" s="426" t="s">
        <v>1270</v>
      </c>
      <c r="L428" s="424"/>
      <c r="M428" s="325" t="s">
        <v>1280</v>
      </c>
      <c r="N428" s="384"/>
      <c r="O428" s="385" t="s">
        <v>1149</v>
      </c>
      <c r="P428" s="487" t="s">
        <v>1281</v>
      </c>
      <c r="Q428" s="325" t="s">
        <v>41</v>
      </c>
      <c r="R428" s="464">
        <v>10000</v>
      </c>
      <c r="S428" s="430"/>
      <c r="T428" s="326">
        <v>10000</v>
      </c>
      <c r="U428" s="21"/>
    </row>
    <row r="429" spans="2:21" ht="12.75">
      <c r="B429" s="486" t="s">
        <v>1239</v>
      </c>
      <c r="C429" s="485">
        <v>39000</v>
      </c>
      <c r="D429" s="413" t="s">
        <v>1596</v>
      </c>
      <c r="E429" s="424"/>
      <c r="F429" s="380" t="s">
        <v>1249</v>
      </c>
      <c r="G429" s="424"/>
      <c r="H429" s="380" t="s">
        <v>1256</v>
      </c>
      <c r="I429" s="422" t="s">
        <v>1267</v>
      </c>
      <c r="J429" s="325" t="s">
        <v>1268</v>
      </c>
      <c r="K429" s="426" t="s">
        <v>553</v>
      </c>
      <c r="L429" s="424"/>
      <c r="M429" s="325" t="s">
        <v>1093</v>
      </c>
      <c r="N429" s="384"/>
      <c r="O429" s="385" t="s">
        <v>1282</v>
      </c>
      <c r="P429" s="301" t="s">
        <v>1294</v>
      </c>
      <c r="Q429" s="325" t="s">
        <v>41</v>
      </c>
      <c r="R429" s="464">
        <v>25000</v>
      </c>
      <c r="S429" s="430"/>
      <c r="T429" s="326">
        <v>25000</v>
      </c>
      <c r="U429" s="21"/>
    </row>
    <row r="430" spans="2:21" ht="12.75">
      <c r="B430" s="486" t="s">
        <v>1240</v>
      </c>
      <c r="C430" s="485">
        <v>39005</v>
      </c>
      <c r="D430" s="413" t="s">
        <v>86</v>
      </c>
      <c r="E430" s="424"/>
      <c r="F430" s="380" t="s">
        <v>1249</v>
      </c>
      <c r="G430" s="424"/>
      <c r="H430" s="380" t="s">
        <v>1257</v>
      </c>
      <c r="I430" s="422" t="s">
        <v>127</v>
      </c>
      <c r="J430" s="325" t="s">
        <v>1268</v>
      </c>
      <c r="K430" s="426" t="s">
        <v>1056</v>
      </c>
      <c r="L430" s="424"/>
      <c r="M430" s="325" t="s">
        <v>1141</v>
      </c>
      <c r="N430" s="384"/>
      <c r="O430" s="385" t="s">
        <v>1108</v>
      </c>
      <c r="P430" s="487" t="s">
        <v>1283</v>
      </c>
      <c r="Q430" s="325" t="s">
        <v>41</v>
      </c>
      <c r="R430" s="464">
        <v>50000</v>
      </c>
      <c r="S430" s="430"/>
      <c r="T430" s="326">
        <v>50000</v>
      </c>
      <c r="U430" s="21"/>
    </row>
    <row r="431" spans="2:21" ht="12.75">
      <c r="B431" s="486" t="s">
        <v>1241</v>
      </c>
      <c r="C431" s="498">
        <v>39011</v>
      </c>
      <c r="D431" s="413" t="s">
        <v>1597</v>
      </c>
      <c r="E431" s="424"/>
      <c r="F431" s="495" t="s">
        <v>1249</v>
      </c>
      <c r="G431" s="424"/>
      <c r="H431" s="380" t="s">
        <v>1258</v>
      </c>
      <c r="I431" s="422" t="s">
        <v>45</v>
      </c>
      <c r="J431" s="325" t="s">
        <v>1268</v>
      </c>
      <c r="K431" s="426" t="s">
        <v>1273</v>
      </c>
      <c r="L431" s="424"/>
      <c r="M431" s="299" t="s">
        <v>1295</v>
      </c>
      <c r="N431" s="384"/>
      <c r="O431" s="325" t="s">
        <v>1111</v>
      </c>
      <c r="P431" s="487" t="s">
        <v>1284</v>
      </c>
      <c r="Q431" s="325" t="s">
        <v>41</v>
      </c>
      <c r="R431" s="464">
        <v>14890</v>
      </c>
      <c r="S431" s="430"/>
      <c r="T431" s="326">
        <v>14890</v>
      </c>
      <c r="U431" s="21"/>
    </row>
    <row r="432" spans="2:21" ht="12.75">
      <c r="B432" s="486" t="s">
        <v>1246</v>
      </c>
      <c r="C432" s="485">
        <v>39058</v>
      </c>
      <c r="D432" s="413" t="s">
        <v>1598</v>
      </c>
      <c r="E432" s="424"/>
      <c r="F432" s="495" t="s">
        <v>1249</v>
      </c>
      <c r="G432" s="424"/>
      <c r="H432" s="380" t="s">
        <v>1263</v>
      </c>
      <c r="I432" s="422" t="s">
        <v>85</v>
      </c>
      <c r="J432" s="325" t="s">
        <v>1268</v>
      </c>
      <c r="K432" s="426" t="s">
        <v>1088</v>
      </c>
      <c r="L432" s="424"/>
      <c r="M432" s="325" t="s">
        <v>1141</v>
      </c>
      <c r="N432" s="384"/>
      <c r="O432" s="311" t="s">
        <v>1288</v>
      </c>
      <c r="P432" s="497" t="s">
        <v>1289</v>
      </c>
      <c r="Q432" s="325" t="s">
        <v>41</v>
      </c>
      <c r="R432" s="464">
        <v>200000</v>
      </c>
      <c r="S432" s="430"/>
      <c r="T432" s="326">
        <v>200000</v>
      </c>
      <c r="U432" s="21"/>
    </row>
    <row r="433" spans="2:21" ht="13.5" thickBot="1">
      <c r="B433" s="499" t="s">
        <v>1247</v>
      </c>
      <c r="C433" s="500">
        <v>39072</v>
      </c>
      <c r="D433" s="382" t="s">
        <v>1599</v>
      </c>
      <c r="E433" s="444"/>
      <c r="F433" s="501" t="s">
        <v>1249</v>
      </c>
      <c r="G433" s="444"/>
      <c r="H433" s="502" t="s">
        <v>1264</v>
      </c>
      <c r="I433" s="445" t="s">
        <v>45</v>
      </c>
      <c r="J433" s="471" t="s">
        <v>1268</v>
      </c>
      <c r="K433" s="448" t="s">
        <v>1276</v>
      </c>
      <c r="L433" s="444"/>
      <c r="M433" s="471" t="s">
        <v>1141</v>
      </c>
      <c r="N433" s="444"/>
      <c r="O433" s="472" t="s">
        <v>1288</v>
      </c>
      <c r="P433" s="503" t="s">
        <v>1289</v>
      </c>
      <c r="Q433" s="471" t="s">
        <v>41</v>
      </c>
      <c r="R433" s="473">
        <v>50000</v>
      </c>
      <c r="S433" s="452"/>
      <c r="T433" s="453">
        <v>50000</v>
      </c>
      <c r="U433" s="21"/>
    </row>
    <row r="434" spans="2:21" ht="13.5" thickTop="1">
      <c r="B434" s="305"/>
      <c r="C434" s="321"/>
      <c r="D434" s="303"/>
      <c r="E434" s="82"/>
      <c r="F434" s="304"/>
      <c r="G434" s="8"/>
      <c r="H434" s="44"/>
      <c r="I434" s="285"/>
      <c r="J434" s="43"/>
      <c r="K434" s="303"/>
      <c r="L434" s="8"/>
      <c r="M434" s="20"/>
      <c r="O434" s="294"/>
      <c r="P434" s="297"/>
      <c r="Q434" s="43"/>
      <c r="R434" s="295"/>
      <c r="S434" s="21"/>
      <c r="T434" s="40"/>
      <c r="U434" s="21"/>
    </row>
    <row r="435" spans="2:21" ht="18">
      <c r="B435" s="165">
        <v>2007</v>
      </c>
      <c r="C435" s="319"/>
      <c r="D435" s="285"/>
      <c r="E435" s="83"/>
      <c r="F435" s="296"/>
      <c r="G435" s="8"/>
      <c r="H435" s="44"/>
      <c r="I435" s="285"/>
      <c r="J435" s="43"/>
      <c r="K435" s="285"/>
      <c r="L435" s="8"/>
      <c r="M435" s="20"/>
      <c r="O435" s="294"/>
      <c r="P435" s="297"/>
      <c r="Q435" s="43"/>
      <c r="R435" s="295"/>
      <c r="S435" s="21"/>
      <c r="T435" s="118">
        <f>+T437+T443</f>
        <v>628882</v>
      </c>
      <c r="U435" s="21"/>
    </row>
    <row r="436" spans="2:21" ht="15">
      <c r="B436" s="302"/>
      <c r="C436" s="319"/>
      <c r="D436" s="285"/>
      <c r="E436" s="83"/>
      <c r="F436" s="296"/>
      <c r="G436" s="8"/>
      <c r="H436" s="44"/>
      <c r="I436" s="285"/>
      <c r="J436" s="43"/>
      <c r="K436" s="285"/>
      <c r="L436" s="8"/>
      <c r="M436" s="20"/>
      <c r="O436" s="294"/>
      <c r="P436" s="297"/>
      <c r="Q436" s="43"/>
      <c r="R436" s="295"/>
      <c r="S436" s="21"/>
      <c r="T436" s="40"/>
      <c r="U436" s="21"/>
    </row>
    <row r="437" spans="2:21" ht="12.75">
      <c r="B437" s="154" t="s">
        <v>803</v>
      </c>
      <c r="C437" s="436"/>
      <c r="D437" s="422"/>
      <c r="E437" s="504"/>
      <c r="F437" s="495"/>
      <c r="G437" s="424"/>
      <c r="H437" s="428"/>
      <c r="I437" s="422"/>
      <c r="J437" s="325"/>
      <c r="K437" s="422"/>
      <c r="L437" s="424"/>
      <c r="M437" s="325"/>
      <c r="N437" s="384"/>
      <c r="O437" s="311"/>
      <c r="P437" s="497"/>
      <c r="Q437" s="325"/>
      <c r="R437" s="466"/>
      <c r="S437" s="430"/>
      <c r="T437" s="148">
        <f>SUM(T438:T441)</f>
        <v>71018</v>
      </c>
      <c r="U437" s="21"/>
    </row>
    <row r="438" spans="2:21" ht="12.75">
      <c r="B438" s="313" t="s">
        <v>1160</v>
      </c>
      <c r="C438" s="436">
        <v>39128</v>
      </c>
      <c r="D438" s="422" t="s">
        <v>1170</v>
      </c>
      <c r="E438" s="504"/>
      <c r="F438" s="422" t="s">
        <v>1045</v>
      </c>
      <c r="G438" s="424"/>
      <c r="H438" s="428" t="s">
        <v>1172</v>
      </c>
      <c r="I438" s="422" t="s">
        <v>1008</v>
      </c>
      <c r="J438" s="325" t="s">
        <v>1268</v>
      </c>
      <c r="K438" s="422" t="s">
        <v>1181</v>
      </c>
      <c r="L438" s="424"/>
      <c r="M438" s="325" t="s">
        <v>1192</v>
      </c>
      <c r="N438" s="384"/>
      <c r="O438" s="311" t="s">
        <v>1194</v>
      </c>
      <c r="P438" s="497" t="s">
        <v>1284</v>
      </c>
      <c r="Q438" s="325" t="s">
        <v>1199</v>
      </c>
      <c r="R438" s="430">
        <v>5131.73</v>
      </c>
      <c r="S438" s="430"/>
      <c r="T438" s="326">
        <v>6737</v>
      </c>
      <c r="U438" s="21"/>
    </row>
    <row r="439" spans="2:27" ht="12.75">
      <c r="B439" s="313" t="s">
        <v>1160</v>
      </c>
      <c r="C439" s="436">
        <v>39128</v>
      </c>
      <c r="D439" s="422" t="s">
        <v>1171</v>
      </c>
      <c r="E439" s="504"/>
      <c r="F439" s="422" t="s">
        <v>1045</v>
      </c>
      <c r="G439" s="424"/>
      <c r="H439" s="428" t="s">
        <v>1172</v>
      </c>
      <c r="I439" s="422" t="s">
        <v>1008</v>
      </c>
      <c r="J439" s="325" t="s">
        <v>1268</v>
      </c>
      <c r="K439" s="422" t="s">
        <v>1181</v>
      </c>
      <c r="L439" s="424"/>
      <c r="M439" s="299" t="s">
        <v>3</v>
      </c>
      <c r="N439" s="384"/>
      <c r="O439" s="311" t="s">
        <v>1195</v>
      </c>
      <c r="P439" s="497" t="s">
        <v>1053</v>
      </c>
      <c r="Q439" s="325" t="s">
        <v>1199</v>
      </c>
      <c r="R439" s="430">
        <v>3421.16</v>
      </c>
      <c r="S439" s="430"/>
      <c r="T439" s="326">
        <v>4491</v>
      </c>
      <c r="U439" s="21"/>
      <c r="AA439" s="13"/>
    </row>
    <row r="440" spans="2:27" s="360" customFormat="1" ht="12.75">
      <c r="B440" s="490" t="s">
        <v>1165</v>
      </c>
      <c r="C440" s="477">
        <v>39282</v>
      </c>
      <c r="D440" s="456" t="s">
        <v>386</v>
      </c>
      <c r="E440" s="506"/>
      <c r="F440" s="456" t="s">
        <v>1045</v>
      </c>
      <c r="G440" s="474"/>
      <c r="H440" s="496" t="s">
        <v>1177</v>
      </c>
      <c r="I440" s="456" t="s">
        <v>1185</v>
      </c>
      <c r="J440" s="458" t="s">
        <v>1268</v>
      </c>
      <c r="K440" s="456" t="s">
        <v>1186</v>
      </c>
      <c r="L440" s="474"/>
      <c r="M440" s="458">
        <v>0.02</v>
      </c>
      <c r="N440" s="492"/>
      <c r="O440" s="480" t="s">
        <v>1046</v>
      </c>
      <c r="P440" s="508" t="s">
        <v>1047</v>
      </c>
      <c r="Q440" s="458" t="s">
        <v>1199</v>
      </c>
      <c r="R440" s="494">
        <v>2000</v>
      </c>
      <c r="S440" s="482"/>
      <c r="T440" s="484">
        <v>2760</v>
      </c>
      <c r="U440" s="361"/>
      <c r="AA440" s="624"/>
    </row>
    <row r="441" spans="2:21" s="360" customFormat="1" ht="12.75">
      <c r="B441" s="490" t="s">
        <v>1169</v>
      </c>
      <c r="C441" s="477">
        <v>39444</v>
      </c>
      <c r="D441" s="456" t="s">
        <v>386</v>
      </c>
      <c r="E441" s="506"/>
      <c r="F441" s="724" t="s">
        <v>1045</v>
      </c>
      <c r="G441" s="474"/>
      <c r="H441" s="496" t="s">
        <v>1180</v>
      </c>
      <c r="I441" s="456" t="s">
        <v>36</v>
      </c>
      <c r="J441" s="458" t="s">
        <v>1268</v>
      </c>
      <c r="K441" s="456" t="s">
        <v>1191</v>
      </c>
      <c r="L441" s="474"/>
      <c r="M441" s="505" t="s">
        <v>1202</v>
      </c>
      <c r="N441" s="492"/>
      <c r="O441" s="480" t="s">
        <v>1053</v>
      </c>
      <c r="P441" s="508" t="s">
        <v>1198</v>
      </c>
      <c r="Q441" s="458" t="s">
        <v>908</v>
      </c>
      <c r="R441" s="494">
        <v>39000</v>
      </c>
      <c r="S441" s="482"/>
      <c r="T441" s="484">
        <v>57030</v>
      </c>
      <c r="U441" s="361"/>
    </row>
    <row r="442" spans="2:21" s="360" customFormat="1" ht="12.75">
      <c r="B442" s="490"/>
      <c r="C442" s="477"/>
      <c r="D442" s="456"/>
      <c r="E442" s="506"/>
      <c r="F442" s="456"/>
      <c r="G442" s="474"/>
      <c r="H442" s="496"/>
      <c r="I442" s="456"/>
      <c r="J442" s="458"/>
      <c r="K442" s="456"/>
      <c r="L442" s="474"/>
      <c r="M442" s="505"/>
      <c r="N442" s="492"/>
      <c r="O442" s="480"/>
      <c r="P442" s="508"/>
      <c r="Q442" s="458"/>
      <c r="R442" s="482"/>
      <c r="S442" s="482"/>
      <c r="T442" s="484"/>
      <c r="U442" s="361"/>
    </row>
    <row r="443" spans="2:21" s="360" customFormat="1" ht="12.75">
      <c r="B443" s="560" t="s">
        <v>634</v>
      </c>
      <c r="C443" s="477"/>
      <c r="D443" s="456"/>
      <c r="E443" s="506"/>
      <c r="F443" s="456"/>
      <c r="G443" s="474"/>
      <c r="H443" s="496"/>
      <c r="I443" s="456"/>
      <c r="J443" s="458"/>
      <c r="K443" s="456"/>
      <c r="L443" s="474"/>
      <c r="M443" s="505"/>
      <c r="N443" s="492"/>
      <c r="O443" s="480"/>
      <c r="P443" s="508"/>
      <c r="Q443" s="458"/>
      <c r="R443" s="482"/>
      <c r="S443" s="482"/>
      <c r="T443" s="563">
        <f>SUM(T444:T450)</f>
        <v>557864</v>
      </c>
      <c r="U443" s="361"/>
    </row>
    <row r="444" spans="2:27" s="360" customFormat="1" ht="12.75">
      <c r="B444" s="490" t="s">
        <v>1161</v>
      </c>
      <c r="C444" s="477">
        <v>39135</v>
      </c>
      <c r="D444" s="412" t="s">
        <v>1600</v>
      </c>
      <c r="E444" s="506"/>
      <c r="F444" s="456" t="s">
        <v>1249</v>
      </c>
      <c r="G444" s="474"/>
      <c r="H444" s="496" t="s">
        <v>1173</v>
      </c>
      <c r="I444" s="456" t="s">
        <v>45</v>
      </c>
      <c r="J444" s="458" t="s">
        <v>1268</v>
      </c>
      <c r="K444" s="456" t="s">
        <v>1182</v>
      </c>
      <c r="L444" s="474"/>
      <c r="M444" s="458" t="s">
        <v>1193</v>
      </c>
      <c r="N444" s="492"/>
      <c r="O444" s="480" t="s">
        <v>1106</v>
      </c>
      <c r="P444" s="508" t="s">
        <v>1108</v>
      </c>
      <c r="Q444" s="458" t="s">
        <v>41</v>
      </c>
      <c r="R444" s="482">
        <v>2692</v>
      </c>
      <c r="S444" s="482"/>
      <c r="T444" s="484">
        <v>2692</v>
      </c>
      <c r="U444" s="361"/>
      <c r="AA444" s="624"/>
    </row>
    <row r="445" spans="2:27" s="360" customFormat="1" ht="12.75">
      <c r="B445" s="490" t="s">
        <v>1162</v>
      </c>
      <c r="C445" s="477">
        <v>39135</v>
      </c>
      <c r="D445" s="412" t="s">
        <v>1601</v>
      </c>
      <c r="E445" s="506"/>
      <c r="F445" s="456" t="s">
        <v>1249</v>
      </c>
      <c r="G445" s="474"/>
      <c r="H445" s="496" t="s">
        <v>1174</v>
      </c>
      <c r="I445" s="456" t="s">
        <v>45</v>
      </c>
      <c r="J445" s="458" t="s">
        <v>1268</v>
      </c>
      <c r="K445" s="456" t="s">
        <v>1182</v>
      </c>
      <c r="L445" s="474"/>
      <c r="M445" s="458" t="s">
        <v>1093</v>
      </c>
      <c r="N445" s="505" t="s">
        <v>5</v>
      </c>
      <c r="O445" s="480" t="s">
        <v>1046</v>
      </c>
      <c r="P445" s="508" t="s">
        <v>1277</v>
      </c>
      <c r="Q445" s="458" t="s">
        <v>41</v>
      </c>
      <c r="R445" s="494">
        <v>50000</v>
      </c>
      <c r="S445" s="482"/>
      <c r="T445" s="484">
        <v>50000</v>
      </c>
      <c r="U445" s="361"/>
      <c r="AA445" s="624"/>
    </row>
    <row r="446" spans="2:27" s="360" customFormat="1" ht="12.75">
      <c r="B446" s="490" t="s">
        <v>1163</v>
      </c>
      <c r="C446" s="477">
        <v>39169</v>
      </c>
      <c r="D446" s="412" t="s">
        <v>1602</v>
      </c>
      <c r="E446" s="506"/>
      <c r="F446" s="724" t="s">
        <v>1249</v>
      </c>
      <c r="G446" s="474"/>
      <c r="H446" s="496" t="s">
        <v>1175</v>
      </c>
      <c r="I446" s="456" t="s">
        <v>85</v>
      </c>
      <c r="J446" s="458" t="s">
        <v>1268</v>
      </c>
      <c r="K446" s="456" t="s">
        <v>1183</v>
      </c>
      <c r="L446" s="474"/>
      <c r="M446" s="458" t="s">
        <v>1093</v>
      </c>
      <c r="N446" s="492"/>
      <c r="O446" s="483" t="s">
        <v>1200</v>
      </c>
      <c r="P446" s="725" t="s">
        <v>1200</v>
      </c>
      <c r="Q446" s="458" t="s">
        <v>41</v>
      </c>
      <c r="R446" s="494">
        <v>200000</v>
      </c>
      <c r="S446" s="482"/>
      <c r="T446" s="484">
        <v>200000</v>
      </c>
      <c r="U446" s="361"/>
      <c r="AA446" s="362"/>
    </row>
    <row r="447" spans="2:27" s="360" customFormat="1" ht="12.75">
      <c r="B447" s="490" t="s">
        <v>1164</v>
      </c>
      <c r="C447" s="477">
        <v>39275</v>
      </c>
      <c r="D447" s="412" t="s">
        <v>1603</v>
      </c>
      <c r="E447" s="506"/>
      <c r="F447" s="724" t="s">
        <v>1249</v>
      </c>
      <c r="G447" s="474"/>
      <c r="H447" s="496" t="s">
        <v>1176</v>
      </c>
      <c r="I447" s="456" t="s">
        <v>45</v>
      </c>
      <c r="J447" s="458" t="s">
        <v>1268</v>
      </c>
      <c r="K447" s="456" t="s">
        <v>1184</v>
      </c>
      <c r="L447" s="474"/>
      <c r="M447" s="458" t="s">
        <v>1141</v>
      </c>
      <c r="N447" s="492"/>
      <c r="O447" s="480" t="s">
        <v>1288</v>
      </c>
      <c r="P447" s="508" t="s">
        <v>1289</v>
      </c>
      <c r="Q447" s="458" t="s">
        <v>41</v>
      </c>
      <c r="R447" s="494">
        <v>100000</v>
      </c>
      <c r="S447" s="482"/>
      <c r="T447" s="484">
        <v>100000</v>
      </c>
      <c r="U447" s="361"/>
      <c r="AA447" s="701"/>
    </row>
    <row r="448" spans="2:21" s="360" customFormat="1" ht="12.75">
      <c r="B448" s="490" t="s">
        <v>1166</v>
      </c>
      <c r="C448" s="477">
        <v>39304</v>
      </c>
      <c r="D448" s="412" t="s">
        <v>1604</v>
      </c>
      <c r="E448" s="506"/>
      <c r="F448" s="456" t="s">
        <v>1249</v>
      </c>
      <c r="G448" s="474"/>
      <c r="H448" s="496" t="s">
        <v>1178</v>
      </c>
      <c r="I448" s="456" t="s">
        <v>442</v>
      </c>
      <c r="J448" s="458" t="s">
        <v>1268</v>
      </c>
      <c r="K448" s="456" t="s">
        <v>1187</v>
      </c>
      <c r="L448" s="474"/>
      <c r="M448" s="458" t="s">
        <v>1141</v>
      </c>
      <c r="N448" s="492"/>
      <c r="O448" s="480" t="s">
        <v>1106</v>
      </c>
      <c r="P448" s="725" t="s">
        <v>1201</v>
      </c>
      <c r="Q448" s="458" t="s">
        <v>41</v>
      </c>
      <c r="R448" s="494">
        <v>1179.25</v>
      </c>
      <c r="S448" s="482"/>
      <c r="T448" s="484">
        <v>1179</v>
      </c>
      <c r="U448" s="361"/>
    </row>
    <row r="449" spans="2:21" s="360" customFormat="1" ht="12.75">
      <c r="B449" s="490" t="s">
        <v>1167</v>
      </c>
      <c r="C449" s="477">
        <v>39366</v>
      </c>
      <c r="D449" s="412" t="s">
        <v>1605</v>
      </c>
      <c r="E449" s="506"/>
      <c r="F449" s="456" t="s">
        <v>1249</v>
      </c>
      <c r="G449" s="474"/>
      <c r="H449" s="496" t="s">
        <v>1179</v>
      </c>
      <c r="I449" s="456" t="s">
        <v>85</v>
      </c>
      <c r="J449" s="458" t="s">
        <v>1268</v>
      </c>
      <c r="K449" s="456" t="s">
        <v>1188</v>
      </c>
      <c r="L449" s="474"/>
      <c r="M449" s="458" t="s">
        <v>1141</v>
      </c>
      <c r="N449" s="492"/>
      <c r="O449" s="480" t="s">
        <v>1288</v>
      </c>
      <c r="P449" s="508" t="s">
        <v>1289</v>
      </c>
      <c r="Q449" s="458" t="s">
        <v>41</v>
      </c>
      <c r="R449" s="494">
        <v>200000</v>
      </c>
      <c r="S449" s="482"/>
      <c r="T449" s="484">
        <v>200000</v>
      </c>
      <c r="U449" s="361"/>
    </row>
    <row r="450" spans="2:21" s="360" customFormat="1" ht="25.5">
      <c r="B450" s="490" t="s">
        <v>1168</v>
      </c>
      <c r="C450" s="477">
        <v>39408</v>
      </c>
      <c r="D450" s="412" t="s">
        <v>1606</v>
      </c>
      <c r="E450" s="506"/>
      <c r="F450" s="456" t="s">
        <v>1249</v>
      </c>
      <c r="G450" s="474"/>
      <c r="H450" s="584" t="s">
        <v>1822</v>
      </c>
      <c r="I450" s="456" t="s">
        <v>1189</v>
      </c>
      <c r="J450" s="458" t="s">
        <v>1268</v>
      </c>
      <c r="K450" s="456" t="s">
        <v>1190</v>
      </c>
      <c r="L450" s="474"/>
      <c r="M450" s="458" t="s">
        <v>1141</v>
      </c>
      <c r="N450" s="492"/>
      <c r="O450" s="480" t="s">
        <v>1196</v>
      </c>
      <c r="P450" s="508" t="s">
        <v>1197</v>
      </c>
      <c r="Q450" s="458" t="s">
        <v>41</v>
      </c>
      <c r="R450" s="494">
        <v>3993</v>
      </c>
      <c r="S450" s="482"/>
      <c r="T450" s="484">
        <v>3993</v>
      </c>
      <c r="U450" s="361"/>
    </row>
    <row r="451" spans="2:21" s="360" customFormat="1" ht="13.5" thickBot="1">
      <c r="B451" s="726"/>
      <c r="C451" s="727"/>
      <c r="D451" s="728"/>
      <c r="E451" s="290"/>
      <c r="F451" s="729"/>
      <c r="G451" s="569"/>
      <c r="H451" s="730"/>
      <c r="I451" s="728"/>
      <c r="J451" s="393"/>
      <c r="K451" s="728"/>
      <c r="L451" s="569"/>
      <c r="M451" s="731"/>
      <c r="N451" s="569"/>
      <c r="O451" s="732"/>
      <c r="P451" s="733"/>
      <c r="Q451" s="393"/>
      <c r="R451" s="734"/>
      <c r="S451" s="735"/>
      <c r="T451" s="736"/>
      <c r="U451" s="361"/>
    </row>
    <row r="452" spans="2:21" s="360" customFormat="1" ht="13.5" thickTop="1">
      <c r="B452" s="737"/>
      <c r="C452" s="738"/>
      <c r="D452" s="324"/>
      <c r="E452" s="557"/>
      <c r="F452" s="739"/>
      <c r="G452" s="220"/>
      <c r="H452" s="683"/>
      <c r="I452" s="324"/>
      <c r="J452" s="312"/>
      <c r="K452" s="396"/>
      <c r="L452" s="220"/>
      <c r="M452" s="673"/>
      <c r="O452" s="740"/>
      <c r="P452" s="741"/>
      <c r="Q452" s="312"/>
      <c r="R452" s="742"/>
      <c r="S452" s="361"/>
      <c r="T452" s="559"/>
      <c r="U452" s="361"/>
    </row>
    <row r="453" spans="2:21" s="360" customFormat="1" ht="18">
      <c r="B453" s="162">
        <v>2008</v>
      </c>
      <c r="C453" s="738"/>
      <c r="D453" s="324"/>
      <c r="E453" s="557"/>
      <c r="F453" s="739"/>
      <c r="G453" s="220"/>
      <c r="H453" s="683"/>
      <c r="I453" s="324"/>
      <c r="J453" s="312"/>
      <c r="K453" s="324"/>
      <c r="L453" s="220"/>
      <c r="M453" s="673"/>
      <c r="O453" s="740"/>
      <c r="P453" s="741"/>
      <c r="Q453" s="312"/>
      <c r="R453" s="742"/>
      <c r="S453" s="361"/>
      <c r="T453" s="635">
        <f>+T455+T460</f>
        <v>1043274.95</v>
      </c>
      <c r="U453" s="361"/>
    </row>
    <row r="454" spans="2:21" s="360" customFormat="1" ht="12.75">
      <c r="B454" s="737"/>
      <c r="C454" s="738"/>
      <c r="D454" s="324"/>
      <c r="E454" s="557"/>
      <c r="F454" s="739"/>
      <c r="G454" s="220"/>
      <c r="H454" s="683"/>
      <c r="I454" s="324"/>
      <c r="J454" s="312"/>
      <c r="K454" s="324"/>
      <c r="L454" s="220"/>
      <c r="M454" s="673"/>
      <c r="O454" s="740"/>
      <c r="P454" s="741"/>
      <c r="Q454" s="312"/>
      <c r="R454" s="742"/>
      <c r="S454" s="361"/>
      <c r="T454" s="559"/>
      <c r="U454" s="361"/>
    </row>
    <row r="455" spans="2:21" s="360" customFormat="1" ht="12.75">
      <c r="B455" s="743" t="s">
        <v>803</v>
      </c>
      <c r="C455" s="477"/>
      <c r="D455" s="456"/>
      <c r="E455" s="506"/>
      <c r="F455" s="491"/>
      <c r="G455" s="474"/>
      <c r="H455" s="496"/>
      <c r="I455" s="456"/>
      <c r="J455" s="458"/>
      <c r="K455" s="456"/>
      <c r="L455" s="474"/>
      <c r="M455" s="458"/>
      <c r="N455" s="492"/>
      <c r="O455" s="480"/>
      <c r="P455" s="508"/>
      <c r="Q455" s="458"/>
      <c r="R455" s="637"/>
      <c r="S455" s="482"/>
      <c r="T455" s="563">
        <f>SUM(T456:T458)</f>
        <v>109417.02</v>
      </c>
      <c r="U455" s="361"/>
    </row>
    <row r="456" spans="2:21" s="360" customFormat="1" ht="12.75">
      <c r="B456" s="490" t="s">
        <v>576</v>
      </c>
      <c r="C456" s="489">
        <v>39767</v>
      </c>
      <c r="D456" s="456" t="s">
        <v>386</v>
      </c>
      <c r="E456" s="506"/>
      <c r="F456" s="507" t="s">
        <v>1045</v>
      </c>
      <c r="G456" s="474"/>
      <c r="H456" s="496" t="s">
        <v>595</v>
      </c>
      <c r="I456" s="456" t="s">
        <v>85</v>
      </c>
      <c r="J456" s="458" t="s">
        <v>1268</v>
      </c>
      <c r="K456" s="456" t="s">
        <v>1183</v>
      </c>
      <c r="L456" s="474"/>
      <c r="M456" s="744">
        <v>0.0338</v>
      </c>
      <c r="N456" s="474"/>
      <c r="O456" s="480" t="s">
        <v>1288</v>
      </c>
      <c r="P456" s="508" t="s">
        <v>1046</v>
      </c>
      <c r="Q456" s="458" t="s">
        <v>908</v>
      </c>
      <c r="R456" s="494">
        <v>15000</v>
      </c>
      <c r="S456" s="482"/>
      <c r="T456" s="484">
        <v>18900</v>
      </c>
      <c r="U456" s="361"/>
    </row>
    <row r="457" spans="2:21" s="360" customFormat="1" ht="12.75">
      <c r="B457" s="490" t="s">
        <v>577</v>
      </c>
      <c r="C457" s="489">
        <v>39772</v>
      </c>
      <c r="D457" s="456" t="s">
        <v>589</v>
      </c>
      <c r="E457" s="506"/>
      <c r="F457" s="507" t="s">
        <v>1045</v>
      </c>
      <c r="G457" s="474"/>
      <c r="H457" s="496" t="s">
        <v>596</v>
      </c>
      <c r="I457" s="456" t="s">
        <v>127</v>
      </c>
      <c r="J457" s="458" t="s">
        <v>1268</v>
      </c>
      <c r="K457" s="456" t="s">
        <v>603</v>
      </c>
      <c r="L457" s="474"/>
      <c r="M457" s="745" t="s">
        <v>612</v>
      </c>
      <c r="N457" s="474"/>
      <c r="O457" s="480" t="s">
        <v>1053</v>
      </c>
      <c r="P457" s="508" t="s">
        <v>1046</v>
      </c>
      <c r="Q457" s="458" t="s">
        <v>112</v>
      </c>
      <c r="R457" s="494">
        <v>6660000</v>
      </c>
      <c r="S457" s="482"/>
      <c r="T457" s="484">
        <v>69410.52</v>
      </c>
      <c r="U457" s="361"/>
    </row>
    <row r="458" spans="2:21" s="360" customFormat="1" ht="12.75">
      <c r="B458" s="490" t="s">
        <v>578</v>
      </c>
      <c r="C458" s="489">
        <v>39813</v>
      </c>
      <c r="D458" s="456" t="s">
        <v>386</v>
      </c>
      <c r="E458" s="506"/>
      <c r="F458" s="507" t="s">
        <v>1045</v>
      </c>
      <c r="G458" s="474"/>
      <c r="H458" s="496" t="s">
        <v>599</v>
      </c>
      <c r="I458" s="456" t="s">
        <v>85</v>
      </c>
      <c r="J458" s="458" t="s">
        <v>1268</v>
      </c>
      <c r="K458" s="456" t="s">
        <v>1183</v>
      </c>
      <c r="L458" s="474"/>
      <c r="M458" s="746" t="s">
        <v>616</v>
      </c>
      <c r="N458" s="474"/>
      <c r="O458" s="480" t="s">
        <v>1288</v>
      </c>
      <c r="P458" s="508" t="s">
        <v>607</v>
      </c>
      <c r="Q458" s="458" t="s">
        <v>908</v>
      </c>
      <c r="R458" s="494">
        <v>15000</v>
      </c>
      <c r="S458" s="482"/>
      <c r="T458" s="484">
        <v>21106.5</v>
      </c>
      <c r="U458" s="361"/>
    </row>
    <row r="459" spans="2:21" s="360" customFormat="1" ht="12.75">
      <c r="B459" s="490"/>
      <c r="C459" s="489"/>
      <c r="D459" s="456"/>
      <c r="E459" s="506"/>
      <c r="F459" s="507"/>
      <c r="G459" s="474"/>
      <c r="H459" s="496"/>
      <c r="I459" s="456"/>
      <c r="J459" s="458"/>
      <c r="K459" s="456"/>
      <c r="L459" s="474"/>
      <c r="M459" s="490"/>
      <c r="N459" s="474"/>
      <c r="O459" s="480"/>
      <c r="P459" s="508"/>
      <c r="Q459" s="458"/>
      <c r="R459" s="494"/>
      <c r="S459" s="482"/>
      <c r="T459" s="484"/>
      <c r="U459" s="361"/>
    </row>
    <row r="460" spans="2:21" s="360" customFormat="1" ht="12.75">
      <c r="B460" s="560" t="s">
        <v>634</v>
      </c>
      <c r="C460" s="489"/>
      <c r="D460" s="456"/>
      <c r="E460" s="506"/>
      <c r="F460" s="507"/>
      <c r="G460" s="474"/>
      <c r="H460" s="496"/>
      <c r="I460" s="456"/>
      <c r="J460" s="458"/>
      <c r="K460" s="456"/>
      <c r="L460" s="474"/>
      <c r="M460" s="490"/>
      <c r="N460" s="474"/>
      <c r="O460" s="480"/>
      <c r="P460" s="508"/>
      <c r="Q460" s="458"/>
      <c r="R460" s="494"/>
      <c r="S460" s="482"/>
      <c r="T460" s="563">
        <f>SUM(T461:T470)</f>
        <v>933857.9299999999</v>
      </c>
      <c r="U460" s="361"/>
    </row>
    <row r="461" spans="2:21" s="360" customFormat="1" ht="12.75">
      <c r="B461" s="490" t="s">
        <v>579</v>
      </c>
      <c r="C461" s="489">
        <v>39513</v>
      </c>
      <c r="D461" s="412" t="s">
        <v>1607</v>
      </c>
      <c r="E461" s="506"/>
      <c r="F461" s="413" t="s">
        <v>1249</v>
      </c>
      <c r="G461" s="474"/>
      <c r="H461" s="496" t="s">
        <v>590</v>
      </c>
      <c r="I461" s="456" t="s">
        <v>33</v>
      </c>
      <c r="J461" s="458" t="s">
        <v>1268</v>
      </c>
      <c r="K461" s="456" t="s">
        <v>602</v>
      </c>
      <c r="L461" s="474"/>
      <c r="M461" s="490" t="s">
        <v>1093</v>
      </c>
      <c r="N461" s="474"/>
      <c r="O461" s="480" t="s">
        <v>1046</v>
      </c>
      <c r="P461" s="725" t="s">
        <v>610</v>
      </c>
      <c r="Q461" s="458" t="s">
        <v>41</v>
      </c>
      <c r="R461" s="494">
        <v>20000</v>
      </c>
      <c r="S461" s="482"/>
      <c r="T461" s="484">
        <v>20000</v>
      </c>
      <c r="U461" s="361"/>
    </row>
    <row r="462" spans="2:21" s="360" customFormat="1" ht="12.75">
      <c r="B462" s="490" t="s">
        <v>580</v>
      </c>
      <c r="C462" s="489">
        <v>39520</v>
      </c>
      <c r="D462" s="412" t="s">
        <v>1608</v>
      </c>
      <c r="E462" s="506"/>
      <c r="F462" s="507" t="s">
        <v>1249</v>
      </c>
      <c r="G462" s="474"/>
      <c r="H462" s="496" t="s">
        <v>591</v>
      </c>
      <c r="I462" s="456" t="s">
        <v>85</v>
      </c>
      <c r="J462" s="458" t="s">
        <v>1268</v>
      </c>
      <c r="K462" s="456" t="s">
        <v>1183</v>
      </c>
      <c r="L462" s="474"/>
      <c r="M462" s="490" t="s">
        <v>1093</v>
      </c>
      <c r="N462" s="474"/>
      <c r="O462" s="483" t="s">
        <v>611</v>
      </c>
      <c r="P462" s="725" t="s">
        <v>611</v>
      </c>
      <c r="Q462" s="458" t="s">
        <v>41</v>
      </c>
      <c r="R462" s="494">
        <v>150000</v>
      </c>
      <c r="S462" s="482"/>
      <c r="T462" s="484">
        <v>150000</v>
      </c>
      <c r="U462" s="361"/>
    </row>
    <row r="463" spans="2:21" s="360" customFormat="1" ht="12.75">
      <c r="B463" s="490" t="s">
        <v>581</v>
      </c>
      <c r="C463" s="489">
        <v>39583</v>
      </c>
      <c r="D463" s="412" t="s">
        <v>1609</v>
      </c>
      <c r="E463" s="506"/>
      <c r="F463" s="507" t="s">
        <v>1249</v>
      </c>
      <c r="G463" s="474"/>
      <c r="H463" s="496" t="s">
        <v>592</v>
      </c>
      <c r="I463" s="456" t="s">
        <v>85</v>
      </c>
      <c r="J463" s="458" t="s">
        <v>1268</v>
      </c>
      <c r="K463" s="456" t="s">
        <v>1183</v>
      </c>
      <c r="L463" s="474"/>
      <c r="M463" s="490" t="s">
        <v>1141</v>
      </c>
      <c r="N463" s="474"/>
      <c r="O463" s="480" t="s">
        <v>1288</v>
      </c>
      <c r="P463" s="508" t="s">
        <v>1289</v>
      </c>
      <c r="Q463" s="458" t="s">
        <v>41</v>
      </c>
      <c r="R463" s="494">
        <v>100000</v>
      </c>
      <c r="S463" s="482"/>
      <c r="T463" s="484">
        <v>100000</v>
      </c>
      <c r="U463" s="361"/>
    </row>
    <row r="464" spans="2:21" s="360" customFormat="1" ht="12.75">
      <c r="B464" s="490" t="s">
        <v>582</v>
      </c>
      <c r="C464" s="489">
        <v>39633</v>
      </c>
      <c r="D464" s="412" t="s">
        <v>1610</v>
      </c>
      <c r="E464" s="506"/>
      <c r="F464" s="507" t="s">
        <v>1249</v>
      </c>
      <c r="G464" s="474"/>
      <c r="H464" s="496" t="s">
        <v>593</v>
      </c>
      <c r="I464" s="456" t="s">
        <v>85</v>
      </c>
      <c r="J464" s="458" t="s">
        <v>1268</v>
      </c>
      <c r="K464" s="456" t="s">
        <v>1183</v>
      </c>
      <c r="L464" s="474"/>
      <c r="M464" s="490" t="s">
        <v>1141</v>
      </c>
      <c r="N464" s="474"/>
      <c r="O464" s="480" t="s">
        <v>1288</v>
      </c>
      <c r="P464" s="508" t="s">
        <v>1289</v>
      </c>
      <c r="Q464" s="458" t="s">
        <v>41</v>
      </c>
      <c r="R464" s="494">
        <v>75000</v>
      </c>
      <c r="S464" s="482"/>
      <c r="T464" s="484">
        <v>75000</v>
      </c>
      <c r="U464" s="361"/>
    </row>
    <row r="465" spans="2:21" s="360" customFormat="1" ht="12.75">
      <c r="B465" s="490" t="s">
        <v>583</v>
      </c>
      <c r="C465" s="489">
        <v>39634</v>
      </c>
      <c r="D465" s="412" t="s">
        <v>1611</v>
      </c>
      <c r="E465" s="506"/>
      <c r="F465" s="507" t="s">
        <v>1249</v>
      </c>
      <c r="G465" s="474"/>
      <c r="H465" s="496" t="s">
        <v>594</v>
      </c>
      <c r="I465" s="456" t="s">
        <v>127</v>
      </c>
      <c r="J465" s="458" t="s">
        <v>1268</v>
      </c>
      <c r="K465" s="456" t="s">
        <v>128</v>
      </c>
      <c r="L465" s="474"/>
      <c r="M465" s="490" t="s">
        <v>1141</v>
      </c>
      <c r="N465" s="474"/>
      <c r="O465" s="480" t="s">
        <v>1111</v>
      </c>
      <c r="P465" s="508" t="s">
        <v>606</v>
      </c>
      <c r="Q465" s="458" t="s">
        <v>41</v>
      </c>
      <c r="R465" s="494">
        <v>50000</v>
      </c>
      <c r="S465" s="482"/>
      <c r="T465" s="484">
        <v>50000</v>
      </c>
      <c r="U465" s="361"/>
    </row>
    <row r="466" spans="2:21" s="360" customFormat="1" ht="12.75">
      <c r="B466" s="490" t="s">
        <v>584</v>
      </c>
      <c r="C466" s="489">
        <v>39782</v>
      </c>
      <c r="D466" s="412" t="s">
        <v>1612</v>
      </c>
      <c r="E466" s="506"/>
      <c r="F466" s="507" t="s">
        <v>1249</v>
      </c>
      <c r="G466" s="474"/>
      <c r="H466" s="496" t="s">
        <v>597</v>
      </c>
      <c r="I466" s="456" t="s">
        <v>85</v>
      </c>
      <c r="J466" s="458" t="s">
        <v>1268</v>
      </c>
      <c r="K466" s="456" t="s">
        <v>1183</v>
      </c>
      <c r="L466" s="474"/>
      <c r="M466" s="490" t="s">
        <v>1093</v>
      </c>
      <c r="N466" s="474"/>
      <c r="O466" s="483" t="s">
        <v>613</v>
      </c>
      <c r="P466" s="725" t="s">
        <v>613</v>
      </c>
      <c r="Q466" s="458" t="s">
        <v>41</v>
      </c>
      <c r="R466" s="494">
        <v>70000</v>
      </c>
      <c r="S466" s="482"/>
      <c r="T466" s="484">
        <v>70000</v>
      </c>
      <c r="U466" s="361"/>
    </row>
    <row r="467" spans="2:21" s="360" customFormat="1" ht="12.75">
      <c r="B467" s="490" t="s">
        <v>585</v>
      </c>
      <c r="C467" s="489">
        <v>39793</v>
      </c>
      <c r="D467" s="412" t="s">
        <v>1613</v>
      </c>
      <c r="E467" s="506"/>
      <c r="F467" s="507" t="s">
        <v>1249</v>
      </c>
      <c r="G467" s="474"/>
      <c r="H467" s="496" t="s">
        <v>598</v>
      </c>
      <c r="I467" s="456" t="s">
        <v>33</v>
      </c>
      <c r="J467" s="458" t="s">
        <v>1268</v>
      </c>
      <c r="K467" s="456" t="s">
        <v>602</v>
      </c>
      <c r="L467" s="474"/>
      <c r="M467" s="490" t="s">
        <v>1095</v>
      </c>
      <c r="N467" s="474"/>
      <c r="O467" s="505" t="s">
        <v>614</v>
      </c>
      <c r="P467" s="747" t="s">
        <v>614</v>
      </c>
      <c r="Q467" s="458" t="s">
        <v>177</v>
      </c>
      <c r="R467" s="494">
        <v>9300</v>
      </c>
      <c r="S467" s="482"/>
      <c r="T467" s="484">
        <v>13857.93</v>
      </c>
      <c r="U467" s="361"/>
    </row>
    <row r="468" spans="2:21" s="360" customFormat="1" ht="12.75">
      <c r="B468" s="490" t="s">
        <v>586</v>
      </c>
      <c r="C468" s="489">
        <v>39793</v>
      </c>
      <c r="D468" s="412" t="s">
        <v>1614</v>
      </c>
      <c r="E468" s="506"/>
      <c r="F468" s="507" t="s">
        <v>1249</v>
      </c>
      <c r="G468" s="474"/>
      <c r="H468" s="496" t="s">
        <v>599</v>
      </c>
      <c r="I468" s="456" t="s">
        <v>85</v>
      </c>
      <c r="J468" s="458" t="s">
        <v>1268</v>
      </c>
      <c r="K468" s="456" t="s">
        <v>1183</v>
      </c>
      <c r="L468" s="474"/>
      <c r="M468" s="490" t="s">
        <v>1141</v>
      </c>
      <c r="N468" s="474"/>
      <c r="O468" s="480" t="s">
        <v>1288</v>
      </c>
      <c r="P468" s="508" t="s">
        <v>1289</v>
      </c>
      <c r="Q468" s="458" t="s">
        <v>41</v>
      </c>
      <c r="R468" s="494">
        <v>130000</v>
      </c>
      <c r="S468" s="482"/>
      <c r="T468" s="484">
        <v>130000</v>
      </c>
      <c r="U468" s="361"/>
    </row>
    <row r="469" spans="2:21" s="360" customFormat="1" ht="12.75">
      <c r="B469" s="490" t="s">
        <v>587</v>
      </c>
      <c r="C469" s="489">
        <v>39807</v>
      </c>
      <c r="D469" s="412" t="s">
        <v>1615</v>
      </c>
      <c r="E469" s="506"/>
      <c r="F469" s="507" t="s">
        <v>1249</v>
      </c>
      <c r="G469" s="474"/>
      <c r="H469" s="496" t="s">
        <v>600</v>
      </c>
      <c r="I469" s="456" t="s">
        <v>33</v>
      </c>
      <c r="J469" s="458" t="s">
        <v>1268</v>
      </c>
      <c r="K469" s="456" t="s">
        <v>1139</v>
      </c>
      <c r="L469" s="474"/>
      <c r="M469" s="490" t="s">
        <v>1141</v>
      </c>
      <c r="N469" s="474"/>
      <c r="O469" s="480" t="s">
        <v>1288</v>
      </c>
      <c r="P469" s="508" t="s">
        <v>1289</v>
      </c>
      <c r="Q469" s="458" t="s">
        <v>41</v>
      </c>
      <c r="R469" s="494">
        <v>25000</v>
      </c>
      <c r="S469" s="482"/>
      <c r="T469" s="484">
        <v>25000</v>
      </c>
      <c r="U469" s="361"/>
    </row>
    <row r="470" spans="2:21" s="360" customFormat="1" ht="12.75">
      <c r="B470" s="490" t="s">
        <v>588</v>
      </c>
      <c r="C470" s="489">
        <v>39813</v>
      </c>
      <c r="D470" s="412" t="s">
        <v>1616</v>
      </c>
      <c r="E470" s="506"/>
      <c r="F470" s="507" t="s">
        <v>1249</v>
      </c>
      <c r="G470" s="474"/>
      <c r="H470" s="496" t="s">
        <v>601</v>
      </c>
      <c r="I470" s="456" t="s">
        <v>45</v>
      </c>
      <c r="J470" s="458" t="s">
        <v>1268</v>
      </c>
      <c r="K470" s="456" t="s">
        <v>604</v>
      </c>
      <c r="L470" s="474"/>
      <c r="M470" s="419" t="s">
        <v>615</v>
      </c>
      <c r="N470" s="474"/>
      <c r="O470" s="480" t="s">
        <v>605</v>
      </c>
      <c r="P470" s="508" t="s">
        <v>1105</v>
      </c>
      <c r="Q470" s="458" t="s">
        <v>41</v>
      </c>
      <c r="R470" s="494">
        <v>300000</v>
      </c>
      <c r="S470" s="482"/>
      <c r="T470" s="484">
        <v>300000</v>
      </c>
      <c r="U470" s="361"/>
    </row>
    <row r="471" spans="2:20" s="360" customFormat="1" ht="13.5" thickBot="1">
      <c r="B471" s="748"/>
      <c r="C471" s="749"/>
      <c r="D471" s="290"/>
      <c r="E471" s="290"/>
      <c r="F471" s="248"/>
      <c r="G471" s="569"/>
      <c r="H471" s="290"/>
      <c r="I471" s="290"/>
      <c r="J471" s="569"/>
      <c r="K471" s="645"/>
      <c r="L471" s="569"/>
      <c r="M471" s="355"/>
      <c r="N471" s="569"/>
      <c r="O471" s="263"/>
      <c r="P471" s="645"/>
      <c r="Q471" s="569"/>
      <c r="R471" s="570"/>
      <c r="S471" s="569"/>
      <c r="T471" s="736"/>
    </row>
    <row r="472" spans="2:20" s="360" customFormat="1" ht="13.5" thickTop="1">
      <c r="B472" s="555"/>
      <c r="C472" s="750"/>
      <c r="D472" s="557"/>
      <c r="E472" s="557"/>
      <c r="F472" s="557"/>
      <c r="H472" s="220"/>
      <c r="I472" s="557"/>
      <c r="K472" s="287"/>
      <c r="M472" s="221"/>
      <c r="N472" s="220"/>
      <c r="O472" s="221"/>
      <c r="P472" s="751"/>
      <c r="R472" s="624"/>
      <c r="T472" s="559"/>
    </row>
    <row r="473" spans="2:20" s="360" customFormat="1" ht="18">
      <c r="B473" s="162">
        <v>2009</v>
      </c>
      <c r="C473" s="750"/>
      <c r="D473" s="557"/>
      <c r="E473" s="557"/>
      <c r="F473" s="557"/>
      <c r="H473" s="220"/>
      <c r="I473" s="557"/>
      <c r="K473" s="287"/>
      <c r="M473" s="221"/>
      <c r="N473" s="220"/>
      <c r="O473" s="221"/>
      <c r="P473" s="751"/>
      <c r="R473" s="624"/>
      <c r="T473" s="635">
        <f>+T475+T484</f>
        <v>754631</v>
      </c>
    </row>
    <row r="474" spans="2:20" s="360" customFormat="1" ht="12.75">
      <c r="B474" s="555"/>
      <c r="C474" s="750"/>
      <c r="D474" s="557"/>
      <c r="E474" s="557"/>
      <c r="F474" s="557"/>
      <c r="H474" s="220"/>
      <c r="I474" s="557"/>
      <c r="K474" s="287"/>
      <c r="M474" s="752"/>
      <c r="N474" s="220"/>
      <c r="O474" s="221"/>
      <c r="P474" s="751"/>
      <c r="R474" s="624"/>
      <c r="T474" s="559"/>
    </row>
    <row r="475" spans="2:20" s="360" customFormat="1" ht="12.75">
      <c r="B475" s="743" t="s">
        <v>803</v>
      </c>
      <c r="C475" s="709"/>
      <c r="D475" s="562"/>
      <c r="E475" s="506"/>
      <c r="F475" s="506"/>
      <c r="G475" s="492"/>
      <c r="H475" s="506"/>
      <c r="I475" s="506"/>
      <c r="J475" s="492"/>
      <c r="K475" s="490"/>
      <c r="L475" s="492"/>
      <c r="M475" s="490"/>
      <c r="N475" s="474"/>
      <c r="O475" s="458"/>
      <c r="P475" s="459"/>
      <c r="Q475" s="492"/>
      <c r="R475" s="701"/>
      <c r="S475" s="492"/>
      <c r="T475" s="563">
        <f>SUM(T476:T482)</f>
        <v>212631</v>
      </c>
    </row>
    <row r="476" spans="2:20" s="360" customFormat="1" ht="12.75">
      <c r="B476" s="490" t="s">
        <v>1297</v>
      </c>
      <c r="C476" s="489">
        <v>39897</v>
      </c>
      <c r="D476" s="490" t="s">
        <v>589</v>
      </c>
      <c r="E476" s="506"/>
      <c r="F476" s="491" t="s">
        <v>1045</v>
      </c>
      <c r="G476" s="492"/>
      <c r="H476" s="412" t="s">
        <v>1314</v>
      </c>
      <c r="I476" s="456" t="s">
        <v>1331</v>
      </c>
      <c r="J476" s="458" t="s">
        <v>1268</v>
      </c>
      <c r="K476" s="458" t="s">
        <v>603</v>
      </c>
      <c r="L476" s="492"/>
      <c r="M476" s="753" t="s">
        <v>1355</v>
      </c>
      <c r="N476" s="474"/>
      <c r="O476" s="480" t="s">
        <v>1053</v>
      </c>
      <c r="P476" s="508" t="s">
        <v>1046</v>
      </c>
      <c r="Q476" s="458" t="s">
        <v>112</v>
      </c>
      <c r="R476" s="494">
        <v>755000</v>
      </c>
      <c r="S476" s="492"/>
      <c r="T476" s="484">
        <v>7741</v>
      </c>
    </row>
    <row r="477" spans="2:20" s="360" customFormat="1" ht="12.75">
      <c r="B477" s="807" t="s">
        <v>1298</v>
      </c>
      <c r="C477" s="812">
        <v>39897</v>
      </c>
      <c r="D477" s="807" t="s">
        <v>589</v>
      </c>
      <c r="E477" s="506"/>
      <c r="F477" s="491" t="s">
        <v>1045</v>
      </c>
      <c r="G477" s="492"/>
      <c r="H477" s="808" t="s">
        <v>1315</v>
      </c>
      <c r="I477" s="456" t="s">
        <v>127</v>
      </c>
      <c r="J477" s="792" t="s">
        <v>1268</v>
      </c>
      <c r="K477" s="792" t="s">
        <v>1332</v>
      </c>
      <c r="L477" s="492"/>
      <c r="M477" s="813" t="s">
        <v>1356</v>
      </c>
      <c r="N477" s="474"/>
      <c r="O477" s="792" t="s">
        <v>1053</v>
      </c>
      <c r="P477" s="793" t="s">
        <v>1046</v>
      </c>
      <c r="Q477" s="792" t="s">
        <v>112</v>
      </c>
      <c r="R477" s="805">
        <v>4995000</v>
      </c>
      <c r="S477" s="492"/>
      <c r="T477" s="484">
        <v>51214</v>
      </c>
    </row>
    <row r="478" spans="2:20" s="360" customFormat="1" ht="12.75">
      <c r="B478" s="807"/>
      <c r="C478" s="812"/>
      <c r="D478" s="807"/>
      <c r="E478" s="506"/>
      <c r="F478" s="506"/>
      <c r="G478" s="492"/>
      <c r="H478" s="808"/>
      <c r="I478" s="456"/>
      <c r="J478" s="792"/>
      <c r="K478" s="792"/>
      <c r="L478" s="492"/>
      <c r="M478" s="813"/>
      <c r="N478" s="474"/>
      <c r="O478" s="792" t="s">
        <v>1053</v>
      </c>
      <c r="P478" s="793" t="s">
        <v>1046</v>
      </c>
      <c r="Q478" s="792"/>
      <c r="R478" s="805"/>
      <c r="S478" s="492"/>
      <c r="T478" s="484"/>
    </row>
    <row r="479" spans="2:20" s="360" customFormat="1" ht="12.75">
      <c r="B479" s="490" t="s">
        <v>1299</v>
      </c>
      <c r="C479" s="489">
        <v>39897</v>
      </c>
      <c r="D479" s="490" t="s">
        <v>589</v>
      </c>
      <c r="E479" s="506"/>
      <c r="F479" s="491" t="s">
        <v>1045</v>
      </c>
      <c r="G479" s="492"/>
      <c r="H479" s="412" t="s">
        <v>1316</v>
      </c>
      <c r="I479" s="456" t="s">
        <v>1331</v>
      </c>
      <c r="J479" s="458" t="s">
        <v>1268</v>
      </c>
      <c r="K479" s="458" t="s">
        <v>1333</v>
      </c>
      <c r="L479" s="492"/>
      <c r="M479" s="753" t="s">
        <v>1355</v>
      </c>
      <c r="N479" s="474"/>
      <c r="O479" s="480" t="s">
        <v>1053</v>
      </c>
      <c r="P479" s="508" t="s">
        <v>1046</v>
      </c>
      <c r="Q479" s="458" t="s">
        <v>112</v>
      </c>
      <c r="R479" s="494">
        <v>4171000</v>
      </c>
      <c r="S479" s="492"/>
      <c r="T479" s="484">
        <v>42765</v>
      </c>
    </row>
    <row r="480" spans="2:20" s="360" customFormat="1" ht="12.75">
      <c r="B480" s="800" t="s">
        <v>1303</v>
      </c>
      <c r="C480" s="806">
        <v>40079</v>
      </c>
      <c r="D480" s="800" t="s">
        <v>589</v>
      </c>
      <c r="E480" s="506"/>
      <c r="F480" s="804" t="s">
        <v>1045</v>
      </c>
      <c r="G480" s="492"/>
      <c r="H480" s="809" t="s">
        <v>1320</v>
      </c>
      <c r="I480" s="456" t="s">
        <v>127</v>
      </c>
      <c r="J480" s="792" t="s">
        <v>1268</v>
      </c>
      <c r="K480" s="788" t="s">
        <v>128</v>
      </c>
      <c r="L480" s="492"/>
      <c r="M480" s="813" t="s">
        <v>1359</v>
      </c>
      <c r="N480" s="474"/>
      <c r="O480" s="792" t="s">
        <v>1287</v>
      </c>
      <c r="P480" s="793" t="s">
        <v>1279</v>
      </c>
      <c r="Q480" s="788" t="s">
        <v>112</v>
      </c>
      <c r="R480" s="790">
        <v>5550000</v>
      </c>
      <c r="S480" s="492"/>
      <c r="T480" s="484">
        <v>60911</v>
      </c>
    </row>
    <row r="481" spans="2:20" s="360" customFormat="1" ht="12.75">
      <c r="B481" s="800"/>
      <c r="C481" s="806"/>
      <c r="D481" s="800"/>
      <c r="E481" s="506"/>
      <c r="F481" s="804"/>
      <c r="G481" s="492"/>
      <c r="H481" s="809"/>
      <c r="I481" s="456"/>
      <c r="J481" s="792"/>
      <c r="K481" s="789"/>
      <c r="L481" s="492"/>
      <c r="M481" s="813"/>
      <c r="N481" s="474"/>
      <c r="O481" s="792" t="s">
        <v>1053</v>
      </c>
      <c r="P481" s="793" t="s">
        <v>1046</v>
      </c>
      <c r="Q481" s="789"/>
      <c r="R481" s="791"/>
      <c r="S481" s="492"/>
      <c r="T481" s="484"/>
    </row>
    <row r="482" spans="2:20" s="360" customFormat="1" ht="38.25">
      <c r="B482" s="754" t="s">
        <v>1313</v>
      </c>
      <c r="C482" s="756">
        <v>40178</v>
      </c>
      <c r="D482" s="755" t="s">
        <v>386</v>
      </c>
      <c r="E482" s="506"/>
      <c r="F482" s="491" t="s">
        <v>1045</v>
      </c>
      <c r="G482" s="492"/>
      <c r="H482" s="565" t="s">
        <v>1330</v>
      </c>
      <c r="I482" s="456" t="s">
        <v>127</v>
      </c>
      <c r="J482" s="757" t="s">
        <v>1268</v>
      </c>
      <c r="K482" s="757" t="s">
        <v>128</v>
      </c>
      <c r="L482" s="492"/>
      <c r="M482" s="759" t="s">
        <v>616</v>
      </c>
      <c r="N482" s="474"/>
      <c r="O482" s="760" t="s">
        <v>1342</v>
      </c>
      <c r="P482" s="761" t="s">
        <v>1343</v>
      </c>
      <c r="Q482" s="762" t="s">
        <v>41</v>
      </c>
      <c r="R482" s="758">
        <v>50000</v>
      </c>
      <c r="S482" s="492"/>
      <c r="T482" s="763">
        <v>50000</v>
      </c>
    </row>
    <row r="483" spans="2:20" s="360" customFormat="1" ht="12.75">
      <c r="B483" s="754"/>
      <c r="C483" s="756"/>
      <c r="D483" s="755"/>
      <c r="E483" s="506"/>
      <c r="F483" s="491"/>
      <c r="G483" s="492"/>
      <c r="H483" s="565"/>
      <c r="I483" s="456"/>
      <c r="J483" s="757"/>
      <c r="K483" s="757"/>
      <c r="L483" s="492"/>
      <c r="M483" s="764"/>
      <c r="N483" s="474"/>
      <c r="O483" s="760"/>
      <c r="P483" s="761"/>
      <c r="Q483" s="762"/>
      <c r="R483" s="758"/>
      <c r="S483" s="492"/>
      <c r="T483" s="484"/>
    </row>
    <row r="484" spans="2:20" s="360" customFormat="1" ht="12.75">
      <c r="B484" s="560" t="s">
        <v>634</v>
      </c>
      <c r="C484" s="756"/>
      <c r="D484" s="755"/>
      <c r="E484" s="506"/>
      <c r="F484" s="491"/>
      <c r="G484" s="492"/>
      <c r="H484" s="565"/>
      <c r="I484" s="456"/>
      <c r="J484" s="757"/>
      <c r="K484" s="757"/>
      <c r="L484" s="492"/>
      <c r="M484" s="764"/>
      <c r="N484" s="474"/>
      <c r="O484" s="760"/>
      <c r="P484" s="761"/>
      <c r="Q484" s="762"/>
      <c r="R484" s="758"/>
      <c r="S484" s="492"/>
      <c r="T484" s="563">
        <f>SUM(T485:T498)</f>
        <v>542000</v>
      </c>
    </row>
    <row r="485" spans="2:20" s="360" customFormat="1" ht="12.75">
      <c r="B485" s="490" t="s">
        <v>1300</v>
      </c>
      <c r="C485" s="489">
        <v>40012</v>
      </c>
      <c r="D485" s="413" t="s">
        <v>1617</v>
      </c>
      <c r="E485" s="506"/>
      <c r="F485" s="412" t="s">
        <v>1249</v>
      </c>
      <c r="G485" s="492"/>
      <c r="H485" s="412" t="s">
        <v>1317</v>
      </c>
      <c r="I485" s="456" t="s">
        <v>85</v>
      </c>
      <c r="J485" s="458" t="s">
        <v>1268</v>
      </c>
      <c r="K485" s="458" t="s">
        <v>1334</v>
      </c>
      <c r="L485" s="492"/>
      <c r="M485" s="490" t="s">
        <v>1338</v>
      </c>
      <c r="N485" s="474"/>
      <c r="O485" s="458">
        <f>66/12</f>
        <v>5.5</v>
      </c>
      <c r="P485" s="508" t="s">
        <v>1340</v>
      </c>
      <c r="Q485" s="458" t="s">
        <v>41</v>
      </c>
      <c r="R485" s="494">
        <v>10000</v>
      </c>
      <c r="S485" s="492"/>
      <c r="T485" s="511">
        <v>10000</v>
      </c>
    </row>
    <row r="486" spans="2:20" s="360" customFormat="1" ht="12.75">
      <c r="B486" s="490" t="s">
        <v>1301</v>
      </c>
      <c r="C486" s="489">
        <v>40059</v>
      </c>
      <c r="D486" s="413" t="s">
        <v>1618</v>
      </c>
      <c r="E486" s="506"/>
      <c r="F486" s="412" t="s">
        <v>1249</v>
      </c>
      <c r="G486" s="492"/>
      <c r="H486" s="412" t="s">
        <v>1318</v>
      </c>
      <c r="I486" s="456" t="s">
        <v>85</v>
      </c>
      <c r="J486" s="458" t="s">
        <v>1268</v>
      </c>
      <c r="K486" s="458" t="s">
        <v>1334</v>
      </c>
      <c r="L486" s="492"/>
      <c r="M486" s="490" t="s">
        <v>1093</v>
      </c>
      <c r="N486" s="474"/>
      <c r="O486" s="564" t="s">
        <v>1357</v>
      </c>
      <c r="P486" s="765" t="s">
        <v>1357</v>
      </c>
      <c r="Q486" s="458" t="s">
        <v>41</v>
      </c>
      <c r="R486" s="494">
        <v>20000</v>
      </c>
      <c r="S486" s="492"/>
      <c r="T486" s="511">
        <v>20000</v>
      </c>
    </row>
    <row r="487" spans="2:20" s="360" customFormat="1" ht="12.75">
      <c r="B487" s="490" t="s">
        <v>1302</v>
      </c>
      <c r="C487" s="489">
        <v>40059</v>
      </c>
      <c r="D487" s="413" t="s">
        <v>1619</v>
      </c>
      <c r="E487" s="506"/>
      <c r="F487" s="412" t="s">
        <v>1249</v>
      </c>
      <c r="G487" s="492"/>
      <c r="H487" s="412" t="s">
        <v>1319</v>
      </c>
      <c r="I487" s="456" t="s">
        <v>85</v>
      </c>
      <c r="J487" s="458" t="s">
        <v>1268</v>
      </c>
      <c r="K487" s="458" t="s">
        <v>1334</v>
      </c>
      <c r="L487" s="492"/>
      <c r="M487" s="490" t="s">
        <v>1093</v>
      </c>
      <c r="N487" s="474"/>
      <c r="O487" s="564" t="s">
        <v>1358</v>
      </c>
      <c r="P487" s="765" t="s">
        <v>1358</v>
      </c>
      <c r="Q487" s="458" t="s">
        <v>41</v>
      </c>
      <c r="R487" s="494">
        <v>20000</v>
      </c>
      <c r="S487" s="492"/>
      <c r="T487" s="511">
        <v>20000</v>
      </c>
    </row>
    <row r="488" spans="2:20" s="360" customFormat="1" ht="12.75">
      <c r="B488" s="490" t="s">
        <v>1304</v>
      </c>
      <c r="C488" s="489">
        <v>40080</v>
      </c>
      <c r="D488" s="540" t="s">
        <v>1620</v>
      </c>
      <c r="E488" s="506"/>
      <c r="F488" s="412" t="s">
        <v>1249</v>
      </c>
      <c r="G488" s="492"/>
      <c r="H488" s="412" t="s">
        <v>1321</v>
      </c>
      <c r="I488" s="456" t="s">
        <v>85</v>
      </c>
      <c r="J488" s="458" t="s">
        <v>1268</v>
      </c>
      <c r="K488" s="458" t="s">
        <v>1334</v>
      </c>
      <c r="L488" s="492"/>
      <c r="M488" s="490" t="s">
        <v>1339</v>
      </c>
      <c r="N488" s="474"/>
      <c r="O488" s="458">
        <f>66/12</f>
        <v>5.5</v>
      </c>
      <c r="P488" s="508" t="s">
        <v>1340</v>
      </c>
      <c r="Q488" s="458" t="s">
        <v>41</v>
      </c>
      <c r="R488" s="494">
        <v>20000</v>
      </c>
      <c r="S488" s="492"/>
      <c r="T488" s="511">
        <v>20000</v>
      </c>
    </row>
    <row r="489" spans="2:20" s="360" customFormat="1" ht="12.75">
      <c r="B489" s="490" t="s">
        <v>1305</v>
      </c>
      <c r="C489" s="489">
        <v>40108</v>
      </c>
      <c r="D489" s="540" t="s">
        <v>1622</v>
      </c>
      <c r="E489" s="506"/>
      <c r="F489" s="412" t="s">
        <v>1249</v>
      </c>
      <c r="G489" s="492"/>
      <c r="H489" s="412" t="s">
        <v>1322</v>
      </c>
      <c r="I489" s="456" t="s">
        <v>186</v>
      </c>
      <c r="J489" s="458" t="s">
        <v>1268</v>
      </c>
      <c r="K489" s="458" t="s">
        <v>1335</v>
      </c>
      <c r="L489" s="492"/>
      <c r="M489" s="490" t="s">
        <v>1093</v>
      </c>
      <c r="N489" s="474"/>
      <c r="O489" s="480" t="s">
        <v>1046</v>
      </c>
      <c r="P489" s="765" t="s">
        <v>1360</v>
      </c>
      <c r="Q489" s="458" t="s">
        <v>41</v>
      </c>
      <c r="R489" s="494">
        <v>15000</v>
      </c>
      <c r="S489" s="492"/>
      <c r="T489" s="511">
        <v>15000</v>
      </c>
    </row>
    <row r="490" spans="2:20" s="360" customFormat="1" ht="12.75">
      <c r="B490" s="490" t="s">
        <v>1305</v>
      </c>
      <c r="C490" s="489">
        <v>40108</v>
      </c>
      <c r="D490" s="540" t="s">
        <v>1621</v>
      </c>
      <c r="E490" s="506"/>
      <c r="F490" s="412" t="s">
        <v>1249</v>
      </c>
      <c r="G490" s="492"/>
      <c r="H490" s="412" t="s">
        <v>1322</v>
      </c>
      <c r="I490" s="456" t="s">
        <v>186</v>
      </c>
      <c r="J490" s="458" t="s">
        <v>1268</v>
      </c>
      <c r="K490" s="458" t="s">
        <v>1335</v>
      </c>
      <c r="L490" s="492"/>
      <c r="M490" s="490" t="s">
        <v>1339</v>
      </c>
      <c r="N490" s="474"/>
      <c r="O490" s="458">
        <f>66/12</f>
        <v>5.5</v>
      </c>
      <c r="P490" s="508" t="s">
        <v>1340</v>
      </c>
      <c r="Q490" s="458" t="s">
        <v>41</v>
      </c>
      <c r="R490" s="494">
        <v>15000</v>
      </c>
      <c r="S490" s="492"/>
      <c r="T490" s="511">
        <v>15000</v>
      </c>
    </row>
    <row r="491" spans="2:20" s="360" customFormat="1" ht="12.75">
      <c r="B491" s="490" t="s">
        <v>1306</v>
      </c>
      <c r="C491" s="489">
        <v>40115</v>
      </c>
      <c r="D491" s="540" t="s">
        <v>1623</v>
      </c>
      <c r="E491" s="506"/>
      <c r="F491" s="412" t="s">
        <v>1249</v>
      </c>
      <c r="G491" s="492"/>
      <c r="H491" s="412" t="s">
        <v>1323</v>
      </c>
      <c r="I491" s="456" t="s">
        <v>85</v>
      </c>
      <c r="J491" s="458" t="s">
        <v>1268</v>
      </c>
      <c r="K491" s="458" t="s">
        <v>1334</v>
      </c>
      <c r="L491" s="492"/>
      <c r="M491" s="490" t="s">
        <v>1339</v>
      </c>
      <c r="N491" s="474"/>
      <c r="O491" s="458">
        <f>66/12</f>
        <v>5.5</v>
      </c>
      <c r="P491" s="508" t="s">
        <v>1340</v>
      </c>
      <c r="Q491" s="458" t="s">
        <v>41</v>
      </c>
      <c r="R491" s="494">
        <v>150000</v>
      </c>
      <c r="S491" s="492"/>
      <c r="T491" s="511">
        <v>150000</v>
      </c>
    </row>
    <row r="492" spans="2:20" s="360" customFormat="1" ht="12.75">
      <c r="B492" s="490" t="s">
        <v>1307</v>
      </c>
      <c r="C492" s="489">
        <v>40136</v>
      </c>
      <c r="D492" s="540" t="s">
        <v>1625</v>
      </c>
      <c r="E492" s="506"/>
      <c r="F492" s="412" t="s">
        <v>1249</v>
      </c>
      <c r="G492" s="492"/>
      <c r="H492" s="412" t="s">
        <v>1324</v>
      </c>
      <c r="I492" s="456" t="s">
        <v>33</v>
      </c>
      <c r="J492" s="458" t="s">
        <v>1268</v>
      </c>
      <c r="K492" s="458" t="s">
        <v>1336</v>
      </c>
      <c r="L492" s="492"/>
      <c r="M492" s="490" t="s">
        <v>1093</v>
      </c>
      <c r="N492" s="474"/>
      <c r="O492" s="458">
        <v>17.5</v>
      </c>
      <c r="P492" s="765" t="s">
        <v>1361</v>
      </c>
      <c r="Q492" s="458" t="s">
        <v>41</v>
      </c>
      <c r="R492" s="494">
        <v>10000</v>
      </c>
      <c r="S492" s="492"/>
      <c r="T492" s="511">
        <v>10000</v>
      </c>
    </row>
    <row r="493" spans="2:20" s="360" customFormat="1" ht="12.75">
      <c r="B493" s="490" t="s">
        <v>1307</v>
      </c>
      <c r="C493" s="489">
        <v>40136</v>
      </c>
      <c r="D493" s="540" t="s">
        <v>1624</v>
      </c>
      <c r="E493" s="506"/>
      <c r="F493" s="412" t="s">
        <v>1249</v>
      </c>
      <c r="G493" s="492"/>
      <c r="H493" s="412" t="s">
        <v>1324</v>
      </c>
      <c r="I493" s="456" t="s">
        <v>33</v>
      </c>
      <c r="J493" s="458" t="s">
        <v>1268</v>
      </c>
      <c r="K493" s="458" t="s">
        <v>1336</v>
      </c>
      <c r="L493" s="492"/>
      <c r="M493" s="490" t="s">
        <v>1339</v>
      </c>
      <c r="N493" s="474"/>
      <c r="O493" s="458" t="s">
        <v>1053</v>
      </c>
      <c r="P493" s="508" t="s">
        <v>1047</v>
      </c>
      <c r="Q493" s="458" t="s">
        <v>41</v>
      </c>
      <c r="R493" s="494">
        <v>10000</v>
      </c>
      <c r="S493" s="492"/>
      <c r="T493" s="511">
        <v>10000</v>
      </c>
    </row>
    <row r="494" spans="2:20" s="360" customFormat="1" ht="12.75">
      <c r="B494" s="490" t="s">
        <v>1308</v>
      </c>
      <c r="C494" s="489">
        <v>40151</v>
      </c>
      <c r="D494" s="540" t="s">
        <v>1626</v>
      </c>
      <c r="E494" s="506"/>
      <c r="F494" s="412" t="s">
        <v>1249</v>
      </c>
      <c r="G494" s="492"/>
      <c r="H494" s="412" t="s">
        <v>1325</v>
      </c>
      <c r="I494" s="456" t="s">
        <v>85</v>
      </c>
      <c r="J494" s="458" t="s">
        <v>1268</v>
      </c>
      <c r="K494" s="458" t="s">
        <v>1334</v>
      </c>
      <c r="L494" s="492"/>
      <c r="M494" s="490" t="s">
        <v>1093</v>
      </c>
      <c r="N494" s="474"/>
      <c r="O494" s="458" t="s">
        <v>1107</v>
      </c>
      <c r="P494" s="765" t="s">
        <v>1362</v>
      </c>
      <c r="Q494" s="458" t="s">
        <v>41</v>
      </c>
      <c r="R494" s="494">
        <v>150000</v>
      </c>
      <c r="S494" s="492"/>
      <c r="T494" s="511">
        <v>150000</v>
      </c>
    </row>
    <row r="495" spans="2:20" s="360" customFormat="1" ht="12.75">
      <c r="B495" s="490" t="s">
        <v>1309</v>
      </c>
      <c r="C495" s="489">
        <v>40151</v>
      </c>
      <c r="D495" s="540" t="s">
        <v>1627</v>
      </c>
      <c r="E495" s="506"/>
      <c r="F495" s="412" t="s">
        <v>1249</v>
      </c>
      <c r="G495" s="492"/>
      <c r="H495" s="412" t="s">
        <v>1326</v>
      </c>
      <c r="I495" s="456" t="s">
        <v>85</v>
      </c>
      <c r="J495" s="458" t="s">
        <v>1268</v>
      </c>
      <c r="K495" s="458" t="s">
        <v>1334</v>
      </c>
      <c r="L495" s="492"/>
      <c r="M495" s="490" t="s">
        <v>1339</v>
      </c>
      <c r="N495" s="474"/>
      <c r="O495" s="458">
        <f>66/12</f>
        <v>5.5</v>
      </c>
      <c r="P495" s="508" t="s">
        <v>1340</v>
      </c>
      <c r="Q495" s="458" t="s">
        <v>41</v>
      </c>
      <c r="R495" s="494">
        <v>20000</v>
      </c>
      <c r="S495" s="492"/>
      <c r="T495" s="511">
        <v>20000</v>
      </c>
    </row>
    <row r="496" spans="2:20" s="360" customFormat="1" ht="12.75">
      <c r="B496" s="490" t="s">
        <v>1310</v>
      </c>
      <c r="C496" s="489">
        <v>40164</v>
      </c>
      <c r="D496" s="540" t="s">
        <v>1628</v>
      </c>
      <c r="E496" s="506"/>
      <c r="F496" s="412" t="s">
        <v>1249</v>
      </c>
      <c r="G496" s="492"/>
      <c r="H496" s="412" t="s">
        <v>1327</v>
      </c>
      <c r="I496" s="456" t="s">
        <v>85</v>
      </c>
      <c r="J496" s="458" t="s">
        <v>1268</v>
      </c>
      <c r="K496" s="458" t="s">
        <v>1334</v>
      </c>
      <c r="L496" s="492"/>
      <c r="M496" s="490" t="s">
        <v>1339</v>
      </c>
      <c r="N496" s="474"/>
      <c r="O496" s="458">
        <f>66/12</f>
        <v>5.5</v>
      </c>
      <c r="P496" s="508" t="s">
        <v>1340</v>
      </c>
      <c r="Q496" s="458" t="s">
        <v>41</v>
      </c>
      <c r="R496" s="494">
        <v>50000</v>
      </c>
      <c r="S496" s="492"/>
      <c r="T496" s="511">
        <v>50000</v>
      </c>
    </row>
    <row r="497" spans="2:20" s="360" customFormat="1" ht="12.75">
      <c r="B497" s="490" t="s">
        <v>1311</v>
      </c>
      <c r="C497" s="489">
        <v>40164</v>
      </c>
      <c r="D497" s="540" t="s">
        <v>1629</v>
      </c>
      <c r="E497" s="506"/>
      <c r="F497" s="412" t="s">
        <v>1249</v>
      </c>
      <c r="G497" s="492"/>
      <c r="H497" s="412" t="s">
        <v>1328</v>
      </c>
      <c r="I497" s="456" t="s">
        <v>85</v>
      </c>
      <c r="J497" s="458" t="s">
        <v>1268</v>
      </c>
      <c r="K497" s="458" t="s">
        <v>1334</v>
      </c>
      <c r="L497" s="492"/>
      <c r="M497" s="490" t="s">
        <v>1093</v>
      </c>
      <c r="N497" s="474"/>
      <c r="O497" s="458" t="s">
        <v>1341</v>
      </c>
      <c r="P497" s="765" t="s">
        <v>1363</v>
      </c>
      <c r="Q497" s="458" t="s">
        <v>41</v>
      </c>
      <c r="R497" s="494">
        <v>50000</v>
      </c>
      <c r="S497" s="492"/>
      <c r="T497" s="511">
        <v>50000</v>
      </c>
    </row>
    <row r="498" spans="2:20" s="360" customFormat="1" ht="12.75">
      <c r="B498" s="389" t="s">
        <v>1312</v>
      </c>
      <c r="C498" s="766">
        <v>40178</v>
      </c>
      <c r="D498" s="767" t="s">
        <v>1630</v>
      </c>
      <c r="E498" s="557"/>
      <c r="F498" s="768" t="s">
        <v>1249</v>
      </c>
      <c r="H498" s="615" t="s">
        <v>1329</v>
      </c>
      <c r="I498" s="287" t="s">
        <v>85</v>
      </c>
      <c r="J498" s="312" t="s">
        <v>1268</v>
      </c>
      <c r="K498" s="312" t="s">
        <v>1337</v>
      </c>
      <c r="M498" s="389" t="s">
        <v>1339</v>
      </c>
      <c r="N498" s="220"/>
      <c r="O498" s="312" t="s">
        <v>1111</v>
      </c>
      <c r="P498" s="400" t="s">
        <v>1112</v>
      </c>
      <c r="Q498" s="312" t="s">
        <v>41</v>
      </c>
      <c r="R498" s="358">
        <v>2000</v>
      </c>
      <c r="T498" s="583">
        <v>2000</v>
      </c>
    </row>
    <row r="499" spans="2:20" s="360" customFormat="1" ht="12.75">
      <c r="B499" s="555"/>
      <c r="C499" s="750"/>
      <c r="D499" s="557"/>
      <c r="E499" s="557"/>
      <c r="F499" s="557"/>
      <c r="G499" s="220"/>
      <c r="H499" s="557"/>
      <c r="I499" s="557"/>
      <c r="J499" s="220"/>
      <c r="K499" s="751"/>
      <c r="L499" s="220"/>
      <c r="M499" s="221"/>
      <c r="N499" s="220"/>
      <c r="O499" s="221"/>
      <c r="P499" s="751"/>
      <c r="Q499" s="220"/>
      <c r="R499" s="558"/>
      <c r="S499" s="220"/>
      <c r="T499" s="559"/>
    </row>
    <row r="500" spans="2:20" s="360" customFormat="1" ht="12.75">
      <c r="B500" s="769"/>
      <c r="C500" s="770"/>
      <c r="D500" s="771"/>
      <c r="E500" s="771"/>
      <c r="F500" s="771"/>
      <c r="G500" s="772"/>
      <c r="H500" s="771"/>
      <c r="I500" s="771"/>
      <c r="J500" s="772"/>
      <c r="K500" s="773"/>
      <c r="L500" s="772"/>
      <c r="M500" s="774"/>
      <c r="N500" s="772"/>
      <c r="O500" s="774"/>
      <c r="P500" s="773"/>
      <c r="Q500" s="772"/>
      <c r="R500" s="775"/>
      <c r="S500" s="772"/>
      <c r="T500" s="776"/>
    </row>
    <row r="501" spans="2:20" s="360" customFormat="1" ht="18">
      <c r="B501" s="162">
        <v>2010</v>
      </c>
      <c r="C501" s="750"/>
      <c r="D501" s="557"/>
      <c r="E501" s="557"/>
      <c r="F501" s="557"/>
      <c r="H501" s="557"/>
      <c r="I501" s="557"/>
      <c r="K501" s="751"/>
      <c r="M501" s="221"/>
      <c r="N501" s="220"/>
      <c r="O501" s="221"/>
      <c r="P501" s="751"/>
      <c r="R501" s="624"/>
      <c r="T501" s="635">
        <f>+T503+T512</f>
        <v>1336402.82</v>
      </c>
    </row>
    <row r="502" spans="2:20" s="360" customFormat="1" ht="12.75">
      <c r="B502" s="555"/>
      <c r="C502" s="750"/>
      <c r="D502" s="557"/>
      <c r="E502" s="557"/>
      <c r="F502" s="557"/>
      <c r="H502" s="557"/>
      <c r="I502" s="557"/>
      <c r="K502" s="751"/>
      <c r="M502" s="221"/>
      <c r="N502" s="220"/>
      <c r="O502" s="221"/>
      <c r="P502" s="751"/>
      <c r="R502" s="624"/>
      <c r="T502" s="559"/>
    </row>
    <row r="503" spans="2:20" s="360" customFormat="1" ht="12.75">
      <c r="B503" s="743" t="s">
        <v>803</v>
      </c>
      <c r="C503" s="709"/>
      <c r="D503" s="506"/>
      <c r="E503" s="506"/>
      <c r="F503" s="506"/>
      <c r="G503" s="492"/>
      <c r="H503" s="506"/>
      <c r="I503" s="506"/>
      <c r="J503" s="492"/>
      <c r="K503" s="456"/>
      <c r="L503" s="492"/>
      <c r="M503" s="458"/>
      <c r="N503" s="474"/>
      <c r="O503" s="458"/>
      <c r="P503" s="459"/>
      <c r="Q503" s="492"/>
      <c r="R503" s="701"/>
      <c r="S503" s="492"/>
      <c r="T503" s="563">
        <f>SUM(T504:T510)</f>
        <v>275712.54</v>
      </c>
    </row>
    <row r="504" spans="2:20" s="360" customFormat="1" ht="12.75">
      <c r="B504" s="456" t="s">
        <v>1369</v>
      </c>
      <c r="C504" s="705">
        <v>40250</v>
      </c>
      <c r="D504" s="456" t="s">
        <v>589</v>
      </c>
      <c r="E504" s="506"/>
      <c r="F504" s="506"/>
      <c r="G504" s="492"/>
      <c r="H504" s="598" t="s">
        <v>1371</v>
      </c>
      <c r="I504" s="506"/>
      <c r="J504" s="492"/>
      <c r="K504" s="490" t="s">
        <v>128</v>
      </c>
      <c r="L504" s="492"/>
      <c r="M504" s="753" t="s">
        <v>1430</v>
      </c>
      <c r="N504" s="474"/>
      <c r="O504" s="480" t="s">
        <v>1287</v>
      </c>
      <c r="P504" s="508" t="s">
        <v>1279</v>
      </c>
      <c r="Q504" s="458" t="s">
        <v>112</v>
      </c>
      <c r="R504" s="494">
        <v>9301000</v>
      </c>
      <c r="S504" s="492"/>
      <c r="T504" s="484">
        <v>102831.86</v>
      </c>
    </row>
    <row r="505" spans="2:20" s="360" customFormat="1" ht="12.75">
      <c r="B505" s="456" t="s">
        <v>1364</v>
      </c>
      <c r="C505" s="705">
        <v>40360</v>
      </c>
      <c r="D505" s="456" t="s">
        <v>386</v>
      </c>
      <c r="E505" s="506"/>
      <c r="F505" s="506"/>
      <c r="G505" s="492"/>
      <c r="H505" s="598" t="s">
        <v>1372</v>
      </c>
      <c r="I505" s="506"/>
      <c r="J505" s="492"/>
      <c r="K505" s="490" t="s">
        <v>1377</v>
      </c>
      <c r="L505" s="492"/>
      <c r="M505" s="706">
        <v>0.02</v>
      </c>
      <c r="N505" s="474"/>
      <c r="O505" s="480" t="s">
        <v>1046</v>
      </c>
      <c r="P505" s="508" t="s">
        <v>1047</v>
      </c>
      <c r="Q505" s="458" t="s">
        <v>908</v>
      </c>
      <c r="R505" s="494">
        <v>5000</v>
      </c>
      <c r="S505" s="492"/>
      <c r="T505" s="484">
        <v>6113.5</v>
      </c>
    </row>
    <row r="506" spans="2:20" s="360" customFormat="1" ht="12.75">
      <c r="B506" s="456" t="s">
        <v>1370</v>
      </c>
      <c r="C506" s="705">
        <v>40507</v>
      </c>
      <c r="D506" s="456" t="s">
        <v>386</v>
      </c>
      <c r="E506" s="506"/>
      <c r="F506" s="506"/>
      <c r="G506" s="492"/>
      <c r="H506" s="584" t="s">
        <v>1326</v>
      </c>
      <c r="I506" s="506"/>
      <c r="J506" s="492"/>
      <c r="K506" s="490" t="s">
        <v>1378</v>
      </c>
      <c r="L506" s="492"/>
      <c r="M506" s="706" t="s">
        <v>1431</v>
      </c>
      <c r="N506" s="474"/>
      <c r="O506" s="458" t="s">
        <v>1053</v>
      </c>
      <c r="P506" s="508" t="s">
        <v>1105</v>
      </c>
      <c r="Q506" s="458" t="s">
        <v>908</v>
      </c>
      <c r="R506" s="494">
        <v>45000</v>
      </c>
      <c r="S506" s="492"/>
      <c r="T506" s="484">
        <v>59971.5</v>
      </c>
    </row>
    <row r="507" spans="2:20" s="360" customFormat="1" ht="25.5">
      <c r="B507" s="456" t="s">
        <v>1365</v>
      </c>
      <c r="C507" s="705">
        <v>40542</v>
      </c>
      <c r="D507" s="456" t="s">
        <v>386</v>
      </c>
      <c r="E507" s="506"/>
      <c r="F507" s="506"/>
      <c r="G507" s="492"/>
      <c r="H507" s="584" t="s">
        <v>1373</v>
      </c>
      <c r="I507" s="506"/>
      <c r="J507" s="492"/>
      <c r="K507" s="490" t="s">
        <v>1379</v>
      </c>
      <c r="L507" s="492"/>
      <c r="M507" s="707">
        <v>0.02</v>
      </c>
      <c r="N507" s="474"/>
      <c r="O507" s="458" t="s">
        <v>1046</v>
      </c>
      <c r="P507" s="508" t="s">
        <v>1047</v>
      </c>
      <c r="Q507" s="458" t="s">
        <v>908</v>
      </c>
      <c r="R507" s="494">
        <v>5300</v>
      </c>
      <c r="S507" s="492"/>
      <c r="T507" s="484">
        <v>6962.08</v>
      </c>
    </row>
    <row r="508" spans="2:20" s="360" customFormat="1" ht="12.75">
      <c r="B508" s="456" t="s">
        <v>1366</v>
      </c>
      <c r="C508" s="705">
        <v>40542</v>
      </c>
      <c r="D508" s="456" t="s">
        <v>386</v>
      </c>
      <c r="E508" s="506"/>
      <c r="F508" s="506"/>
      <c r="G508" s="492"/>
      <c r="H508" s="584" t="s">
        <v>1374</v>
      </c>
      <c r="I508" s="506"/>
      <c r="J508" s="492"/>
      <c r="K508" s="490" t="s">
        <v>1378</v>
      </c>
      <c r="L508" s="492"/>
      <c r="M508" s="708" t="s">
        <v>1432</v>
      </c>
      <c r="N508" s="474"/>
      <c r="O508" s="458" t="s">
        <v>1053</v>
      </c>
      <c r="P508" s="508" t="s">
        <v>1105</v>
      </c>
      <c r="Q508" s="458" t="s">
        <v>908</v>
      </c>
      <c r="R508" s="494">
        <v>20000</v>
      </c>
      <c r="S508" s="492"/>
      <c r="T508" s="484">
        <v>26272</v>
      </c>
    </row>
    <row r="509" spans="2:20" s="360" customFormat="1" ht="12.75">
      <c r="B509" s="456" t="s">
        <v>1367</v>
      </c>
      <c r="C509" s="705">
        <v>40542</v>
      </c>
      <c r="D509" s="456" t="s">
        <v>386</v>
      </c>
      <c r="E509" s="506"/>
      <c r="F509" s="506"/>
      <c r="G509" s="492"/>
      <c r="H509" s="584" t="s">
        <v>1375</v>
      </c>
      <c r="I509" s="506"/>
      <c r="J509" s="492"/>
      <c r="K509" s="490" t="s">
        <v>1378</v>
      </c>
      <c r="L509" s="492"/>
      <c r="M509" s="708" t="s">
        <v>1432</v>
      </c>
      <c r="N509" s="474"/>
      <c r="O509" s="458" t="s">
        <v>1053</v>
      </c>
      <c r="P509" s="508" t="s">
        <v>1105</v>
      </c>
      <c r="Q509" s="458" t="s">
        <v>908</v>
      </c>
      <c r="R509" s="494">
        <v>21000</v>
      </c>
      <c r="S509" s="492"/>
      <c r="T509" s="484">
        <v>27585.6</v>
      </c>
    </row>
    <row r="510" spans="2:20" s="360" customFormat="1" ht="12.75">
      <c r="B510" s="456" t="s">
        <v>1368</v>
      </c>
      <c r="C510" s="705">
        <v>40542</v>
      </c>
      <c r="D510" s="456" t="s">
        <v>386</v>
      </c>
      <c r="E510" s="506"/>
      <c r="F510" s="506"/>
      <c r="G510" s="492"/>
      <c r="H510" s="584" t="s">
        <v>1376</v>
      </c>
      <c r="I510" s="506"/>
      <c r="J510" s="492"/>
      <c r="K510" s="490" t="s">
        <v>1378</v>
      </c>
      <c r="L510" s="492"/>
      <c r="M510" s="708" t="s">
        <v>1432</v>
      </c>
      <c r="N510" s="474"/>
      <c r="O510" s="458" t="s">
        <v>1053</v>
      </c>
      <c r="P510" s="508" t="s">
        <v>1105</v>
      </c>
      <c r="Q510" s="458" t="s">
        <v>908</v>
      </c>
      <c r="R510" s="494">
        <v>35000</v>
      </c>
      <c r="S510" s="492"/>
      <c r="T510" s="484">
        <v>45976</v>
      </c>
    </row>
    <row r="511" spans="2:20" s="360" customFormat="1" ht="12.75">
      <c r="B511" s="476"/>
      <c r="C511" s="709"/>
      <c r="D511" s="506"/>
      <c r="E511" s="506"/>
      <c r="F511" s="506"/>
      <c r="G511" s="492"/>
      <c r="H511" s="506"/>
      <c r="I511" s="506"/>
      <c r="J511" s="492"/>
      <c r="K511" s="456"/>
      <c r="L511" s="492"/>
      <c r="M511" s="490"/>
      <c r="N511" s="474"/>
      <c r="O511" s="458"/>
      <c r="P511" s="459"/>
      <c r="Q511" s="492"/>
      <c r="R511" s="492"/>
      <c r="S511" s="492"/>
      <c r="T511" s="484"/>
    </row>
    <row r="512" spans="2:20" s="360" customFormat="1" ht="12.75">
      <c r="B512" s="560" t="s">
        <v>634</v>
      </c>
      <c r="C512" s="709"/>
      <c r="D512" s="506"/>
      <c r="E512" s="506"/>
      <c r="F512" s="506"/>
      <c r="G512" s="492"/>
      <c r="H512" s="506"/>
      <c r="I512" s="506"/>
      <c r="J512" s="492"/>
      <c r="K512" s="456"/>
      <c r="L512" s="492"/>
      <c r="M512" s="458"/>
      <c r="N512" s="474"/>
      <c r="O512" s="458"/>
      <c r="P512" s="459"/>
      <c r="Q512" s="492"/>
      <c r="R512" s="492"/>
      <c r="S512" s="492"/>
      <c r="T512" s="563">
        <f>SUM(T513:T532)</f>
        <v>1060690.28</v>
      </c>
    </row>
    <row r="513" spans="2:20" s="360" customFormat="1" ht="12.75">
      <c r="B513" s="456" t="s">
        <v>1380</v>
      </c>
      <c r="C513" s="477">
        <v>40339</v>
      </c>
      <c r="D513" s="412" t="s">
        <v>1631</v>
      </c>
      <c r="E513" s="506"/>
      <c r="F513" s="506"/>
      <c r="G513" s="492"/>
      <c r="H513" s="565" t="s">
        <v>1400</v>
      </c>
      <c r="I513" s="506"/>
      <c r="J513" s="492"/>
      <c r="K513" s="458" t="s">
        <v>128</v>
      </c>
      <c r="L513" s="492"/>
      <c r="M513" s="619" t="s">
        <v>1421</v>
      </c>
      <c r="N513" s="510"/>
      <c r="O513" s="480" t="s">
        <v>605</v>
      </c>
      <c r="P513" s="508" t="s">
        <v>1289</v>
      </c>
      <c r="Q513" s="458" t="s">
        <v>41</v>
      </c>
      <c r="R513" s="494">
        <v>77000</v>
      </c>
      <c r="S513" s="492"/>
      <c r="T513" s="484">
        <v>77000</v>
      </c>
    </row>
    <row r="514" spans="2:20" s="360" customFormat="1" ht="20.25" customHeight="1">
      <c r="B514" s="456" t="s">
        <v>1381</v>
      </c>
      <c r="C514" s="477">
        <v>40360</v>
      </c>
      <c r="D514" s="412" t="s">
        <v>1632</v>
      </c>
      <c r="E514" s="506"/>
      <c r="F514" s="506"/>
      <c r="G514" s="492"/>
      <c r="H514" s="565" t="s">
        <v>1401</v>
      </c>
      <c r="I514" s="506"/>
      <c r="J514" s="492"/>
      <c r="K514" s="458" t="s">
        <v>936</v>
      </c>
      <c r="L514" s="492"/>
      <c r="M514" s="619" t="s">
        <v>1422</v>
      </c>
      <c r="N514" s="510"/>
      <c r="O514" s="458" t="s">
        <v>605</v>
      </c>
      <c r="P514" s="508" t="s">
        <v>1423</v>
      </c>
      <c r="Q514" s="458" t="s">
        <v>41</v>
      </c>
      <c r="R514" s="494">
        <v>5000</v>
      </c>
      <c r="S514" s="492"/>
      <c r="T514" s="484">
        <v>5000</v>
      </c>
    </row>
    <row r="515" spans="2:20" s="360" customFormat="1" ht="25.5">
      <c r="B515" s="456" t="s">
        <v>1382</v>
      </c>
      <c r="C515" s="477">
        <v>40360</v>
      </c>
      <c r="D515" s="412" t="s">
        <v>1633</v>
      </c>
      <c r="E515" s="506"/>
      <c r="F515" s="506"/>
      <c r="G515" s="492"/>
      <c r="H515" s="565" t="s">
        <v>1402</v>
      </c>
      <c r="I515" s="506"/>
      <c r="J515" s="492"/>
      <c r="K515" s="458" t="s">
        <v>1419</v>
      </c>
      <c r="L515" s="492"/>
      <c r="M515" s="490" t="s">
        <v>1095</v>
      </c>
      <c r="N515" s="458"/>
      <c r="O515" s="777" t="s">
        <v>1433</v>
      </c>
      <c r="P515" s="778" t="s">
        <v>1433</v>
      </c>
      <c r="Q515" s="458" t="s">
        <v>177</v>
      </c>
      <c r="R515" s="494">
        <v>5200</v>
      </c>
      <c r="S515" s="492"/>
      <c r="T515" s="484">
        <v>7690.28</v>
      </c>
    </row>
    <row r="516" spans="2:20" s="360" customFormat="1" ht="12.75">
      <c r="B516" s="456" t="s">
        <v>1383</v>
      </c>
      <c r="C516" s="477">
        <v>40402</v>
      </c>
      <c r="D516" s="412" t="s">
        <v>1634</v>
      </c>
      <c r="E516" s="506"/>
      <c r="F516" s="506"/>
      <c r="G516" s="492"/>
      <c r="H516" s="420" t="s">
        <v>1403</v>
      </c>
      <c r="I516" s="506"/>
      <c r="J516" s="492"/>
      <c r="K516" s="458" t="s">
        <v>1378</v>
      </c>
      <c r="L516" s="492"/>
      <c r="M516" s="490" t="s">
        <v>1338</v>
      </c>
      <c r="N516" s="458"/>
      <c r="O516" s="458" t="s">
        <v>1288</v>
      </c>
      <c r="P516" s="508" t="s">
        <v>1289</v>
      </c>
      <c r="Q516" s="458" t="s">
        <v>41</v>
      </c>
      <c r="R516" s="494">
        <v>50000</v>
      </c>
      <c r="S516" s="492"/>
      <c r="T516" s="484">
        <v>50000</v>
      </c>
    </row>
    <row r="517" spans="2:20" s="360" customFormat="1" ht="12.75">
      <c r="B517" s="456" t="s">
        <v>1384</v>
      </c>
      <c r="C517" s="477">
        <v>40416</v>
      </c>
      <c r="D517" s="412" t="s">
        <v>1635</v>
      </c>
      <c r="E517" s="506"/>
      <c r="F517" s="506"/>
      <c r="G517" s="492"/>
      <c r="H517" s="420" t="s">
        <v>1404</v>
      </c>
      <c r="I517" s="506"/>
      <c r="J517" s="492"/>
      <c r="K517" s="458" t="s">
        <v>1378</v>
      </c>
      <c r="L517" s="492"/>
      <c r="M517" s="619" t="s">
        <v>1424</v>
      </c>
      <c r="N517" s="510"/>
      <c r="O517" s="458" t="s">
        <v>1146</v>
      </c>
      <c r="P517" s="765" t="s">
        <v>1434</v>
      </c>
      <c r="Q517" s="458" t="s">
        <v>41</v>
      </c>
      <c r="R517" s="494">
        <v>75000</v>
      </c>
      <c r="S517" s="492"/>
      <c r="T517" s="484">
        <v>75000</v>
      </c>
    </row>
    <row r="518" spans="2:20" s="360" customFormat="1" ht="12.75">
      <c r="B518" s="456" t="s">
        <v>1385</v>
      </c>
      <c r="C518" s="477">
        <v>40430</v>
      </c>
      <c r="D518" s="412" t="s">
        <v>1636</v>
      </c>
      <c r="E518" s="506"/>
      <c r="F518" s="506"/>
      <c r="G518" s="492"/>
      <c r="H518" s="565" t="s">
        <v>1405</v>
      </c>
      <c r="I518" s="506"/>
      <c r="J518" s="492"/>
      <c r="K518" s="458" t="s">
        <v>1378</v>
      </c>
      <c r="L518" s="492"/>
      <c r="M518" s="619" t="s">
        <v>1424</v>
      </c>
      <c r="N518" s="510"/>
      <c r="O518" s="458" t="s">
        <v>1284</v>
      </c>
      <c r="P518" s="765" t="s">
        <v>1435</v>
      </c>
      <c r="Q518" s="458" t="s">
        <v>41</v>
      </c>
      <c r="R518" s="494">
        <v>100000</v>
      </c>
      <c r="S518" s="492"/>
      <c r="T518" s="484">
        <v>100000</v>
      </c>
    </row>
    <row r="519" spans="2:20" s="360" customFormat="1" ht="12.75">
      <c r="B519" s="456" t="s">
        <v>1386</v>
      </c>
      <c r="C519" s="477">
        <v>40465</v>
      </c>
      <c r="D519" s="412" t="s">
        <v>1637</v>
      </c>
      <c r="E519" s="506"/>
      <c r="F519" s="506"/>
      <c r="G519" s="492"/>
      <c r="H519" s="565" t="s">
        <v>1406</v>
      </c>
      <c r="I519" s="506"/>
      <c r="J519" s="492"/>
      <c r="K519" s="458" t="s">
        <v>1378</v>
      </c>
      <c r="L519" s="492"/>
      <c r="M519" s="619" t="s">
        <v>1422</v>
      </c>
      <c r="N519" s="510"/>
      <c r="O519" s="458" t="s">
        <v>1288</v>
      </c>
      <c r="P519" s="508" t="s">
        <v>1289</v>
      </c>
      <c r="Q519" s="458" t="s">
        <v>41</v>
      </c>
      <c r="R519" s="494">
        <v>25000</v>
      </c>
      <c r="S519" s="492"/>
      <c r="T519" s="484">
        <v>25000</v>
      </c>
    </row>
    <row r="520" spans="2:20" s="360" customFormat="1" ht="12.75">
      <c r="B520" s="456" t="s">
        <v>1387</v>
      </c>
      <c r="C520" s="477">
        <v>40473</v>
      </c>
      <c r="D520" s="412" t="s">
        <v>1638</v>
      </c>
      <c r="E520" s="506"/>
      <c r="F520" s="506"/>
      <c r="G520" s="492"/>
      <c r="H520" s="565" t="s">
        <v>1407</v>
      </c>
      <c r="I520" s="506"/>
      <c r="J520" s="492"/>
      <c r="K520" s="458" t="s">
        <v>1378</v>
      </c>
      <c r="L520" s="492"/>
      <c r="M520" s="619" t="s">
        <v>1422</v>
      </c>
      <c r="N520" s="510"/>
      <c r="O520" s="458" t="s">
        <v>1288</v>
      </c>
      <c r="P520" s="508" t="s">
        <v>1289</v>
      </c>
      <c r="Q520" s="458" t="s">
        <v>41</v>
      </c>
      <c r="R520" s="494">
        <v>25000</v>
      </c>
      <c r="S520" s="492"/>
      <c r="T520" s="484">
        <v>25000</v>
      </c>
    </row>
    <row r="521" spans="2:20" s="360" customFormat="1" ht="12.75">
      <c r="B521" s="456" t="s">
        <v>1388</v>
      </c>
      <c r="C521" s="477">
        <v>40500</v>
      </c>
      <c r="D521" s="412" t="s">
        <v>1639</v>
      </c>
      <c r="E521" s="506"/>
      <c r="F521" s="506"/>
      <c r="G521" s="492"/>
      <c r="H521" s="565" t="s">
        <v>1376</v>
      </c>
      <c r="I521" s="506"/>
      <c r="J521" s="492"/>
      <c r="K521" s="458" t="s">
        <v>1378</v>
      </c>
      <c r="L521" s="492"/>
      <c r="M521" s="619" t="s">
        <v>1422</v>
      </c>
      <c r="N521" s="510"/>
      <c r="O521" s="458" t="s">
        <v>1288</v>
      </c>
      <c r="P521" s="508" t="s">
        <v>1289</v>
      </c>
      <c r="Q521" s="458" t="s">
        <v>41</v>
      </c>
      <c r="R521" s="494">
        <v>50000</v>
      </c>
      <c r="S521" s="492"/>
      <c r="T521" s="484">
        <v>50000</v>
      </c>
    </row>
    <row r="522" spans="2:20" s="360" customFormat="1" ht="12.75">
      <c r="B522" s="456" t="s">
        <v>1389</v>
      </c>
      <c r="C522" s="477">
        <v>40500</v>
      </c>
      <c r="D522" s="412" t="s">
        <v>1640</v>
      </c>
      <c r="E522" s="506"/>
      <c r="F522" s="506"/>
      <c r="G522" s="492"/>
      <c r="H522" s="420" t="s">
        <v>1408</v>
      </c>
      <c r="I522" s="506"/>
      <c r="J522" s="492"/>
      <c r="K522" s="458" t="s">
        <v>1378</v>
      </c>
      <c r="L522" s="492"/>
      <c r="M522" s="619" t="s">
        <v>1422</v>
      </c>
      <c r="N522" s="510"/>
      <c r="O522" s="458" t="s">
        <v>1288</v>
      </c>
      <c r="P522" s="508" t="s">
        <v>1289</v>
      </c>
      <c r="Q522" s="458" t="s">
        <v>41</v>
      </c>
      <c r="R522" s="494">
        <v>25000</v>
      </c>
      <c r="S522" s="492"/>
      <c r="T522" s="484">
        <v>25000</v>
      </c>
    </row>
    <row r="523" spans="2:20" s="360" customFormat="1" ht="15.75" customHeight="1">
      <c r="B523" s="456" t="s">
        <v>1390</v>
      </c>
      <c r="C523" s="477">
        <v>40507</v>
      </c>
      <c r="D523" s="412" t="s">
        <v>1641</v>
      </c>
      <c r="E523" s="506"/>
      <c r="F523" s="506"/>
      <c r="G523" s="492"/>
      <c r="H523" s="420" t="s">
        <v>1409</v>
      </c>
      <c r="I523" s="506"/>
      <c r="J523" s="492"/>
      <c r="K523" s="458" t="s">
        <v>1184</v>
      </c>
      <c r="L523" s="492"/>
      <c r="M523" s="509" t="s">
        <v>1885</v>
      </c>
      <c r="N523" s="510"/>
      <c r="O523" s="458" t="s">
        <v>605</v>
      </c>
      <c r="P523" s="508" t="s">
        <v>1425</v>
      </c>
      <c r="Q523" s="458" t="s">
        <v>41</v>
      </c>
      <c r="R523" s="494">
        <v>200000</v>
      </c>
      <c r="S523" s="492"/>
      <c r="T523" s="484">
        <v>200000</v>
      </c>
    </row>
    <row r="524" spans="2:20" s="360" customFormat="1" ht="25.5">
      <c r="B524" s="456" t="s">
        <v>1391</v>
      </c>
      <c r="C524" s="477">
        <v>40507</v>
      </c>
      <c r="D524" s="412" t="s">
        <v>1642</v>
      </c>
      <c r="E524" s="506"/>
      <c r="F524" s="506"/>
      <c r="G524" s="492"/>
      <c r="H524" s="565" t="s">
        <v>1410</v>
      </c>
      <c r="I524" s="506"/>
      <c r="J524" s="492"/>
      <c r="K524" s="458" t="s">
        <v>936</v>
      </c>
      <c r="L524" s="492"/>
      <c r="M524" s="619" t="s">
        <v>1422</v>
      </c>
      <c r="N524" s="510"/>
      <c r="O524" s="458" t="s">
        <v>1288</v>
      </c>
      <c r="P524" s="508" t="s">
        <v>1426</v>
      </c>
      <c r="Q524" s="458" t="s">
        <v>41</v>
      </c>
      <c r="R524" s="494">
        <v>20000</v>
      </c>
      <c r="S524" s="492"/>
      <c r="T524" s="484">
        <v>20000</v>
      </c>
    </row>
    <row r="525" spans="2:20" s="360" customFormat="1" ht="25.5">
      <c r="B525" s="456" t="s">
        <v>1392</v>
      </c>
      <c r="C525" s="477">
        <v>40507</v>
      </c>
      <c r="D525" s="412" t="s">
        <v>1643</v>
      </c>
      <c r="E525" s="506"/>
      <c r="F525" s="506"/>
      <c r="G525" s="492"/>
      <c r="H525" s="565" t="s">
        <v>1411</v>
      </c>
      <c r="I525" s="506"/>
      <c r="J525" s="492"/>
      <c r="K525" s="458" t="s">
        <v>936</v>
      </c>
      <c r="L525" s="492"/>
      <c r="M525" s="619" t="s">
        <v>1422</v>
      </c>
      <c r="N525" s="510"/>
      <c r="O525" s="458" t="s">
        <v>605</v>
      </c>
      <c r="P525" s="508" t="s">
        <v>1427</v>
      </c>
      <c r="Q525" s="458" t="s">
        <v>41</v>
      </c>
      <c r="R525" s="494">
        <v>6000</v>
      </c>
      <c r="S525" s="492"/>
      <c r="T525" s="484">
        <v>6000</v>
      </c>
    </row>
    <row r="526" spans="2:20" s="360" customFormat="1" ht="12.75">
      <c r="B526" s="456" t="s">
        <v>1393</v>
      </c>
      <c r="C526" s="477">
        <v>40507</v>
      </c>
      <c r="D526" s="412" t="s">
        <v>1644</v>
      </c>
      <c r="E526" s="506"/>
      <c r="F526" s="506"/>
      <c r="G526" s="492"/>
      <c r="H526" s="420" t="s">
        <v>1412</v>
      </c>
      <c r="I526" s="506"/>
      <c r="J526" s="492"/>
      <c r="K526" s="458" t="s">
        <v>1378</v>
      </c>
      <c r="L526" s="492"/>
      <c r="M526" s="619" t="s">
        <v>1422</v>
      </c>
      <c r="N526" s="510"/>
      <c r="O526" s="458" t="s">
        <v>1288</v>
      </c>
      <c r="P526" s="508" t="s">
        <v>1289</v>
      </c>
      <c r="Q526" s="458" t="s">
        <v>41</v>
      </c>
      <c r="R526" s="494">
        <v>100000</v>
      </c>
      <c r="S526" s="492"/>
      <c r="T526" s="484">
        <v>100000</v>
      </c>
    </row>
    <row r="527" spans="2:20" s="360" customFormat="1" ht="12.75">
      <c r="B527" s="456" t="s">
        <v>1394</v>
      </c>
      <c r="C527" s="477">
        <v>40507</v>
      </c>
      <c r="D527" s="412" t="s">
        <v>1645</v>
      </c>
      <c r="E527" s="506"/>
      <c r="F527" s="506"/>
      <c r="G527" s="492"/>
      <c r="H527" s="420" t="s">
        <v>1413</v>
      </c>
      <c r="I527" s="506"/>
      <c r="J527" s="492"/>
      <c r="K527" s="458" t="s">
        <v>1378</v>
      </c>
      <c r="L527" s="492"/>
      <c r="M527" s="619" t="s">
        <v>1422</v>
      </c>
      <c r="N527" s="510"/>
      <c r="O527" s="458" t="s">
        <v>1288</v>
      </c>
      <c r="P527" s="508" t="s">
        <v>1289</v>
      </c>
      <c r="Q527" s="458" t="s">
        <v>41</v>
      </c>
      <c r="R527" s="494">
        <v>25000</v>
      </c>
      <c r="S527" s="492"/>
      <c r="T527" s="484">
        <v>25000</v>
      </c>
    </row>
    <row r="528" spans="2:20" s="360" customFormat="1" ht="12.75">
      <c r="B528" s="456" t="s">
        <v>1395</v>
      </c>
      <c r="C528" s="477">
        <v>40507</v>
      </c>
      <c r="D528" s="412" t="s">
        <v>1646</v>
      </c>
      <c r="E528" s="506"/>
      <c r="F528" s="506"/>
      <c r="G528" s="492"/>
      <c r="H528" s="420" t="s">
        <v>1414</v>
      </c>
      <c r="I528" s="506"/>
      <c r="J528" s="492"/>
      <c r="K528" s="458" t="s">
        <v>1378</v>
      </c>
      <c r="L528" s="492"/>
      <c r="M528" s="619" t="s">
        <v>1424</v>
      </c>
      <c r="N528" s="510"/>
      <c r="O528" s="458" t="s">
        <v>1284</v>
      </c>
      <c r="P528" s="765" t="s">
        <v>1436</v>
      </c>
      <c r="Q528" s="458" t="s">
        <v>41</v>
      </c>
      <c r="R528" s="494">
        <v>50000</v>
      </c>
      <c r="S528" s="492"/>
      <c r="T528" s="484">
        <v>50000</v>
      </c>
    </row>
    <row r="529" spans="2:20" s="360" customFormat="1" ht="12.75">
      <c r="B529" s="456" t="s">
        <v>1396</v>
      </c>
      <c r="C529" s="477">
        <v>40507</v>
      </c>
      <c r="D529" s="412" t="s">
        <v>1647</v>
      </c>
      <c r="E529" s="506"/>
      <c r="F529" s="506"/>
      <c r="G529" s="492"/>
      <c r="H529" s="420" t="s">
        <v>1415</v>
      </c>
      <c r="I529" s="506"/>
      <c r="J529" s="492"/>
      <c r="K529" s="458" t="s">
        <v>1056</v>
      </c>
      <c r="L529" s="492"/>
      <c r="M529" s="619" t="s">
        <v>1424</v>
      </c>
      <c r="N529" s="510"/>
      <c r="O529" s="458" t="s">
        <v>1284</v>
      </c>
      <c r="P529" s="765" t="s">
        <v>1437</v>
      </c>
      <c r="Q529" s="458" t="s">
        <v>41</v>
      </c>
      <c r="R529" s="494">
        <v>30000</v>
      </c>
      <c r="S529" s="492"/>
      <c r="T529" s="484">
        <v>30000</v>
      </c>
    </row>
    <row r="530" spans="2:20" s="360" customFormat="1" ht="12.75">
      <c r="B530" s="456" t="s">
        <v>1397</v>
      </c>
      <c r="C530" s="477">
        <v>40514</v>
      </c>
      <c r="D530" s="412" t="s">
        <v>1648</v>
      </c>
      <c r="E530" s="506"/>
      <c r="F530" s="506"/>
      <c r="G530" s="492"/>
      <c r="H530" s="420" t="s">
        <v>1416</v>
      </c>
      <c r="I530" s="506"/>
      <c r="J530" s="492"/>
      <c r="K530" s="458" t="s">
        <v>443</v>
      </c>
      <c r="L530" s="492"/>
      <c r="M530" s="619" t="s">
        <v>1424</v>
      </c>
      <c r="N530" s="510"/>
      <c r="O530" s="458" t="s">
        <v>1198</v>
      </c>
      <c r="P530" s="765" t="s">
        <v>1438</v>
      </c>
      <c r="Q530" s="458" t="s">
        <v>41</v>
      </c>
      <c r="R530" s="494">
        <v>20000</v>
      </c>
      <c r="S530" s="492"/>
      <c r="T530" s="484">
        <v>20000</v>
      </c>
    </row>
    <row r="531" spans="2:20" s="360" customFormat="1" ht="12.75">
      <c r="B531" s="456" t="s">
        <v>1398</v>
      </c>
      <c r="C531" s="477">
        <v>40528</v>
      </c>
      <c r="D531" s="412" t="s">
        <v>1649</v>
      </c>
      <c r="E531" s="506"/>
      <c r="F531" s="506"/>
      <c r="G531" s="492"/>
      <c r="H531" s="420" t="s">
        <v>1417</v>
      </c>
      <c r="I531" s="506"/>
      <c r="J531" s="492"/>
      <c r="K531" s="458" t="s">
        <v>1125</v>
      </c>
      <c r="L531" s="492"/>
      <c r="M531" s="619" t="s">
        <v>1424</v>
      </c>
      <c r="N531" s="510"/>
      <c r="O531" s="458" t="s">
        <v>1198</v>
      </c>
      <c r="P531" s="765" t="s">
        <v>1439</v>
      </c>
      <c r="Q531" s="458" t="s">
        <v>41</v>
      </c>
      <c r="R531" s="494">
        <v>20000</v>
      </c>
      <c r="S531" s="492"/>
      <c r="T531" s="484">
        <v>20000</v>
      </c>
    </row>
    <row r="532" spans="2:27" s="360" customFormat="1" ht="25.5">
      <c r="B532" s="456" t="s">
        <v>1399</v>
      </c>
      <c r="C532" s="477">
        <v>40542</v>
      </c>
      <c r="D532" s="412" t="s">
        <v>1650</v>
      </c>
      <c r="E532" s="506"/>
      <c r="F532" s="506"/>
      <c r="G532" s="492"/>
      <c r="H532" s="420" t="s">
        <v>1418</v>
      </c>
      <c r="I532" s="506"/>
      <c r="J532" s="492"/>
      <c r="K532" s="458" t="s">
        <v>1420</v>
      </c>
      <c r="L532" s="492"/>
      <c r="M532" s="619" t="s">
        <v>1428</v>
      </c>
      <c r="N532" s="510"/>
      <c r="O532" s="458" t="s">
        <v>1053</v>
      </c>
      <c r="P532" s="508" t="s">
        <v>1105</v>
      </c>
      <c r="Q532" s="458" t="s">
        <v>41</v>
      </c>
      <c r="R532" s="494">
        <v>150000</v>
      </c>
      <c r="S532" s="492"/>
      <c r="T532" s="484">
        <v>150000</v>
      </c>
      <c r="AA532" s="624">
        <f>+T532+T523+T513</f>
        <v>427000</v>
      </c>
    </row>
    <row r="533" spans="2:21" s="360" customFormat="1" ht="13.5" thickBot="1">
      <c r="B533" s="644"/>
      <c r="C533" s="567"/>
      <c r="D533" s="290"/>
      <c r="E533" s="290"/>
      <c r="F533" s="290"/>
      <c r="G533" s="569"/>
      <c r="H533" s="568"/>
      <c r="I533" s="288"/>
      <c r="J533" s="263"/>
      <c r="K533" s="645"/>
      <c r="L533" s="569"/>
      <c r="M533" s="263"/>
      <c r="N533" s="263"/>
      <c r="O533" s="263"/>
      <c r="P533" s="645"/>
      <c r="Q533" s="263"/>
      <c r="R533" s="570"/>
      <c r="S533" s="570"/>
      <c r="T533" s="571"/>
      <c r="U533" s="42"/>
    </row>
    <row r="534" spans="2:21" s="360" customFormat="1" ht="18.75" thickTop="1">
      <c r="B534" s="162">
        <v>2011</v>
      </c>
      <c r="C534" s="550"/>
      <c r="D534" s="551"/>
      <c r="E534" s="551"/>
      <c r="F534" s="551"/>
      <c r="G534" s="551"/>
      <c r="H534" s="551"/>
      <c r="I534" s="551"/>
      <c r="J534" s="551"/>
      <c r="K534" s="289"/>
      <c r="M534" s="221"/>
      <c r="N534" s="220"/>
      <c r="O534" s="221"/>
      <c r="P534" s="221"/>
      <c r="Q534" s="552"/>
      <c r="R534" s="553"/>
      <c r="S534" s="268"/>
      <c r="T534" s="554">
        <f>+T536</f>
        <v>580500</v>
      </c>
      <c r="U534" s="42"/>
    </row>
    <row r="535" spans="2:21" s="360" customFormat="1" ht="12.75">
      <c r="B535" s="555"/>
      <c r="C535" s="556"/>
      <c r="D535" s="557"/>
      <c r="E535" s="557"/>
      <c r="F535" s="557"/>
      <c r="G535" s="557"/>
      <c r="H535" s="557"/>
      <c r="I535" s="557"/>
      <c r="J535" s="557"/>
      <c r="K535" s="287"/>
      <c r="M535" s="221"/>
      <c r="N535" s="220"/>
      <c r="O535" s="221"/>
      <c r="P535" s="221"/>
      <c r="Q535" s="145"/>
      <c r="R535" s="558"/>
      <c r="S535" s="220"/>
      <c r="T535" s="559"/>
      <c r="U535" s="42"/>
    </row>
    <row r="536" spans="2:21" s="360" customFormat="1" ht="12.75">
      <c r="B536" s="560" t="s">
        <v>634</v>
      </c>
      <c r="C536" s="561"/>
      <c r="D536" s="506"/>
      <c r="E536" s="506"/>
      <c r="F536" s="506"/>
      <c r="G536" s="506"/>
      <c r="H536" s="506"/>
      <c r="I536" s="506"/>
      <c r="J536" s="506"/>
      <c r="K536" s="456"/>
      <c r="L536" s="474"/>
      <c r="M536" s="458"/>
      <c r="N536" s="474"/>
      <c r="O536" s="458"/>
      <c r="P536" s="458"/>
      <c r="Q536" s="562"/>
      <c r="R536" s="482"/>
      <c r="S536" s="474"/>
      <c r="T536" s="563">
        <f>SUM(T537:T546)</f>
        <v>580500</v>
      </c>
      <c r="U536" s="42"/>
    </row>
    <row r="537" spans="2:21" s="360" customFormat="1" ht="26.25" customHeight="1">
      <c r="B537" s="490" t="s">
        <v>1440</v>
      </c>
      <c r="C537" s="477">
        <v>40703</v>
      </c>
      <c r="D537" s="412" t="s">
        <v>1651</v>
      </c>
      <c r="E537" s="506"/>
      <c r="F537" s="506"/>
      <c r="G537" s="506"/>
      <c r="H537" s="420" t="s">
        <v>1450</v>
      </c>
      <c r="I537" s="506"/>
      <c r="J537" s="506"/>
      <c r="K537" s="456" t="s">
        <v>1460</v>
      </c>
      <c r="L537" s="474"/>
      <c r="M537" s="510" t="s">
        <v>1466</v>
      </c>
      <c r="N537" s="474"/>
      <c r="O537" s="458" t="s">
        <v>1146</v>
      </c>
      <c r="P537" s="564" t="s">
        <v>1534</v>
      </c>
      <c r="Q537" s="490" t="s">
        <v>41</v>
      </c>
      <c r="R537" s="494">
        <v>50000</v>
      </c>
      <c r="S537" s="474"/>
      <c r="T537" s="511">
        <v>50000</v>
      </c>
      <c r="U537" s="42"/>
    </row>
    <row r="538" spans="2:21" s="360" customFormat="1" ht="15.75" customHeight="1">
      <c r="B538" s="490" t="s">
        <v>1441</v>
      </c>
      <c r="C538" s="477">
        <v>40710</v>
      </c>
      <c r="D538" s="412" t="s">
        <v>1652</v>
      </c>
      <c r="E538" s="506"/>
      <c r="F538" s="506"/>
      <c r="G538" s="506"/>
      <c r="H538" s="420" t="s">
        <v>1451</v>
      </c>
      <c r="I538" s="506"/>
      <c r="J538" s="506"/>
      <c r="K538" s="456" t="s">
        <v>1461</v>
      </c>
      <c r="L538" s="474"/>
      <c r="M538" s="510" t="s">
        <v>1422</v>
      </c>
      <c r="N538" s="474"/>
      <c r="O538" s="458" t="s">
        <v>1288</v>
      </c>
      <c r="P538" s="480" t="s">
        <v>1340</v>
      </c>
      <c r="Q538" s="490" t="s">
        <v>41</v>
      </c>
      <c r="R538" s="494">
        <v>25000</v>
      </c>
      <c r="S538" s="474"/>
      <c r="T538" s="511">
        <v>25000</v>
      </c>
      <c r="U538" s="42"/>
    </row>
    <row r="539" spans="2:21" s="360" customFormat="1" ht="27.75" customHeight="1">
      <c r="B539" s="490" t="s">
        <v>1442</v>
      </c>
      <c r="C539" s="477">
        <v>40710</v>
      </c>
      <c r="D539" s="412" t="s">
        <v>1653</v>
      </c>
      <c r="E539" s="506"/>
      <c r="F539" s="506"/>
      <c r="G539" s="506"/>
      <c r="H539" s="420" t="s">
        <v>1452</v>
      </c>
      <c r="I539" s="506"/>
      <c r="J539" s="506"/>
      <c r="K539" s="456" t="s">
        <v>1462</v>
      </c>
      <c r="L539" s="474"/>
      <c r="M539" s="510" t="s">
        <v>1466</v>
      </c>
      <c r="N539" s="474"/>
      <c r="O539" s="458" t="s">
        <v>1146</v>
      </c>
      <c r="P539" s="564" t="s">
        <v>1535</v>
      </c>
      <c r="Q539" s="490" t="s">
        <v>41</v>
      </c>
      <c r="R539" s="494">
        <v>25000</v>
      </c>
      <c r="S539" s="474"/>
      <c r="T539" s="511">
        <v>25000</v>
      </c>
      <c r="U539" s="42"/>
    </row>
    <row r="540" spans="2:21" s="360" customFormat="1" ht="32.25" customHeight="1">
      <c r="B540" s="490" t="s">
        <v>1443</v>
      </c>
      <c r="C540" s="477">
        <v>40721</v>
      </c>
      <c r="D540" s="412" t="s">
        <v>1654</v>
      </c>
      <c r="E540" s="506"/>
      <c r="F540" s="506"/>
      <c r="G540" s="506"/>
      <c r="H540" s="565" t="s">
        <v>1453</v>
      </c>
      <c r="I540" s="506"/>
      <c r="J540" s="506"/>
      <c r="K540" s="456" t="s">
        <v>1463</v>
      </c>
      <c r="L540" s="474"/>
      <c r="M540" s="458" t="s">
        <v>1886</v>
      </c>
      <c r="N540" s="474"/>
      <c r="O540" s="458" t="s">
        <v>1149</v>
      </c>
      <c r="P540" s="458" t="s">
        <v>1108</v>
      </c>
      <c r="Q540" s="490" t="s">
        <v>41</v>
      </c>
      <c r="R540" s="494">
        <v>300000</v>
      </c>
      <c r="S540" s="474"/>
      <c r="T540" s="511">
        <v>300000</v>
      </c>
      <c r="U540" s="42"/>
    </row>
    <row r="541" spans="2:21" s="360" customFormat="1" ht="31.5" customHeight="1">
      <c r="B541" s="490" t="s">
        <v>1444</v>
      </c>
      <c r="C541" s="477">
        <v>40731</v>
      </c>
      <c r="D541" s="412" t="s">
        <v>1655</v>
      </c>
      <c r="E541" s="506"/>
      <c r="F541" s="506"/>
      <c r="G541" s="506"/>
      <c r="H541" s="565" t="s">
        <v>1454</v>
      </c>
      <c r="I541" s="506"/>
      <c r="J541" s="506"/>
      <c r="K541" s="456" t="s">
        <v>128</v>
      </c>
      <c r="L541" s="474"/>
      <c r="M541" s="510" t="s">
        <v>1466</v>
      </c>
      <c r="N541" s="474"/>
      <c r="O541" s="458" t="s">
        <v>1467</v>
      </c>
      <c r="P541" s="458" t="s">
        <v>1468</v>
      </c>
      <c r="Q541" s="490" t="s">
        <v>41</v>
      </c>
      <c r="R541" s="494">
        <v>54500</v>
      </c>
      <c r="S541" s="474"/>
      <c r="T541" s="511">
        <v>54500</v>
      </c>
      <c r="U541" s="42"/>
    </row>
    <row r="542" spans="2:21" s="360" customFormat="1" ht="12.75">
      <c r="B542" s="490" t="s">
        <v>1445</v>
      </c>
      <c r="C542" s="477">
        <v>40802</v>
      </c>
      <c r="D542" s="412" t="s">
        <v>1656</v>
      </c>
      <c r="E542" s="506"/>
      <c r="F542" s="506"/>
      <c r="G542" s="506"/>
      <c r="H542" s="565" t="s">
        <v>1455</v>
      </c>
      <c r="I542" s="506"/>
      <c r="J542" s="506"/>
      <c r="K542" s="456" t="s">
        <v>1464</v>
      </c>
      <c r="L542" s="474"/>
      <c r="M542" s="510" t="s">
        <v>1422</v>
      </c>
      <c r="N542" s="474"/>
      <c r="O542" s="458" t="s">
        <v>1288</v>
      </c>
      <c r="P542" s="480" t="s">
        <v>1340</v>
      </c>
      <c r="Q542" s="490" t="s">
        <v>41</v>
      </c>
      <c r="R542" s="494">
        <v>25000</v>
      </c>
      <c r="S542" s="474"/>
      <c r="T542" s="511">
        <v>25000</v>
      </c>
      <c r="U542" s="42"/>
    </row>
    <row r="543" spans="2:21" s="360" customFormat="1" ht="12.75">
      <c r="B543" s="490" t="s">
        <v>1446</v>
      </c>
      <c r="C543" s="477">
        <v>40806</v>
      </c>
      <c r="D543" s="412" t="s">
        <v>1657</v>
      </c>
      <c r="E543" s="506"/>
      <c r="F543" s="506"/>
      <c r="G543" s="506"/>
      <c r="H543" s="565" t="s">
        <v>1456</v>
      </c>
      <c r="I543" s="506"/>
      <c r="J543" s="506"/>
      <c r="K543" s="456" t="s">
        <v>1464</v>
      </c>
      <c r="L543" s="474"/>
      <c r="M543" s="510" t="s">
        <v>1422</v>
      </c>
      <c r="N543" s="474"/>
      <c r="O543" s="458" t="s">
        <v>1288</v>
      </c>
      <c r="P543" s="480" t="s">
        <v>1340</v>
      </c>
      <c r="Q543" s="490" t="s">
        <v>41</v>
      </c>
      <c r="R543" s="494">
        <v>25000</v>
      </c>
      <c r="S543" s="474"/>
      <c r="T543" s="511">
        <v>25000</v>
      </c>
      <c r="U543" s="42"/>
    </row>
    <row r="544" spans="2:21" s="360" customFormat="1" ht="12.75">
      <c r="B544" s="490" t="s">
        <v>1447</v>
      </c>
      <c r="C544" s="477">
        <v>40900</v>
      </c>
      <c r="D544" s="412" t="s">
        <v>1658</v>
      </c>
      <c r="E544" s="506"/>
      <c r="F544" s="506"/>
      <c r="G544" s="506"/>
      <c r="H544" s="565" t="s">
        <v>1457</v>
      </c>
      <c r="I544" s="506"/>
      <c r="J544" s="506"/>
      <c r="K544" s="456" t="s">
        <v>1464</v>
      </c>
      <c r="L544" s="474"/>
      <c r="M544" s="510" t="s">
        <v>1422</v>
      </c>
      <c r="N544" s="474"/>
      <c r="O544" s="458" t="s">
        <v>1288</v>
      </c>
      <c r="P544" s="480" t="s">
        <v>1340</v>
      </c>
      <c r="Q544" s="490" t="s">
        <v>41</v>
      </c>
      <c r="R544" s="494">
        <v>25000</v>
      </c>
      <c r="S544" s="474"/>
      <c r="T544" s="511">
        <v>25000</v>
      </c>
      <c r="U544" s="42"/>
    </row>
    <row r="545" spans="2:21" s="360" customFormat="1" ht="12.75">
      <c r="B545" s="490" t="s">
        <v>1448</v>
      </c>
      <c r="C545" s="477">
        <v>40900</v>
      </c>
      <c r="D545" s="412" t="s">
        <v>1659</v>
      </c>
      <c r="E545" s="506"/>
      <c r="F545" s="506"/>
      <c r="G545" s="506"/>
      <c r="H545" s="565" t="s">
        <v>1458</v>
      </c>
      <c r="I545" s="506"/>
      <c r="J545" s="506"/>
      <c r="K545" s="456" t="s">
        <v>1464</v>
      </c>
      <c r="L545" s="474"/>
      <c r="M545" s="510" t="s">
        <v>1422</v>
      </c>
      <c r="N545" s="474"/>
      <c r="O545" s="458" t="s">
        <v>1288</v>
      </c>
      <c r="P545" s="480" t="s">
        <v>1340</v>
      </c>
      <c r="Q545" s="490" t="s">
        <v>41</v>
      </c>
      <c r="R545" s="494">
        <v>25000</v>
      </c>
      <c r="S545" s="474"/>
      <c r="T545" s="511">
        <v>25000</v>
      </c>
      <c r="U545" s="42"/>
    </row>
    <row r="546" spans="2:21" s="360" customFormat="1" ht="30.75" customHeight="1">
      <c r="B546" s="490" t="s">
        <v>1449</v>
      </c>
      <c r="C546" s="477">
        <v>41271</v>
      </c>
      <c r="D546" s="412" t="s">
        <v>1660</v>
      </c>
      <c r="E546" s="506"/>
      <c r="F546" s="506"/>
      <c r="G546" s="506"/>
      <c r="H546" s="565" t="s">
        <v>1459</v>
      </c>
      <c r="I546" s="506"/>
      <c r="J546" s="506"/>
      <c r="K546" s="456" t="s">
        <v>1465</v>
      </c>
      <c r="L546" s="474"/>
      <c r="M546" s="510" t="s">
        <v>1422</v>
      </c>
      <c r="N546" s="474"/>
      <c r="O546" s="458" t="s">
        <v>1288</v>
      </c>
      <c r="P546" s="480" t="s">
        <v>1469</v>
      </c>
      <c r="Q546" s="490" t="s">
        <v>41</v>
      </c>
      <c r="R546" s="494">
        <v>26000</v>
      </c>
      <c r="S546" s="474"/>
      <c r="T546" s="511">
        <v>26000</v>
      </c>
      <c r="U546" s="42"/>
    </row>
    <row r="547" spans="2:21" s="360" customFormat="1" ht="13.5" thickBot="1">
      <c r="B547" s="566"/>
      <c r="C547" s="567"/>
      <c r="D547" s="290"/>
      <c r="E547" s="290"/>
      <c r="F547" s="290"/>
      <c r="G547" s="290"/>
      <c r="H547" s="568"/>
      <c r="I547" s="288"/>
      <c r="J547" s="288"/>
      <c r="K547" s="288"/>
      <c r="L547" s="569"/>
      <c r="M547" s="263"/>
      <c r="N547" s="263"/>
      <c r="O547" s="263"/>
      <c r="P547" s="263"/>
      <c r="Q547" s="355"/>
      <c r="R547" s="570"/>
      <c r="S547" s="570"/>
      <c r="T547" s="571"/>
      <c r="U547" s="42"/>
    </row>
    <row r="548" spans="2:21" s="360" customFormat="1" ht="18.75" thickTop="1">
      <c r="B548" s="572">
        <v>2012</v>
      </c>
      <c r="C548" s="550"/>
      <c r="D548" s="551"/>
      <c r="E548" s="551"/>
      <c r="F548" s="551"/>
      <c r="G548" s="551"/>
      <c r="H548" s="551"/>
      <c r="I548" s="551"/>
      <c r="J548" s="551"/>
      <c r="K548" s="289"/>
      <c r="M548" s="221"/>
      <c r="N548" s="220"/>
      <c r="O548" s="221"/>
      <c r="P548" s="221"/>
      <c r="Q548" s="552"/>
      <c r="R548" s="553"/>
      <c r="S548" s="268"/>
      <c r="T548" s="554">
        <f>+T550+T553+T567</f>
        <v>1392317.9311419395</v>
      </c>
      <c r="U548" s="42"/>
    </row>
    <row r="549" spans="2:21" s="360" customFormat="1" ht="12.75">
      <c r="B549" s="573"/>
      <c r="C549" s="556"/>
      <c r="D549" s="557"/>
      <c r="E549" s="557"/>
      <c r="F549" s="557"/>
      <c r="G549" s="557"/>
      <c r="H549" s="557"/>
      <c r="I549" s="557"/>
      <c r="J549" s="557"/>
      <c r="K549" s="287"/>
      <c r="M549" s="221"/>
      <c r="N549" s="220"/>
      <c r="O549" s="221"/>
      <c r="P549" s="221"/>
      <c r="Q549" s="145"/>
      <c r="R549" s="558"/>
      <c r="S549" s="220"/>
      <c r="T549" s="559"/>
      <c r="U549" s="42"/>
    </row>
    <row r="550" spans="2:21" s="360" customFormat="1" ht="12.75">
      <c r="B550" s="574" t="s">
        <v>904</v>
      </c>
      <c r="C550" s="561"/>
      <c r="D550" s="506"/>
      <c r="E550" s="506"/>
      <c r="F550" s="506"/>
      <c r="G550" s="506"/>
      <c r="H550" s="506"/>
      <c r="I550" s="506"/>
      <c r="J550" s="506"/>
      <c r="K550" s="456"/>
      <c r="L550" s="474"/>
      <c r="M550" s="458"/>
      <c r="N550" s="474"/>
      <c r="O550" s="458"/>
      <c r="P550" s="458"/>
      <c r="Q550" s="145"/>
      <c r="R550" s="558"/>
      <c r="S550" s="220"/>
      <c r="T550" s="563">
        <f>+T551</f>
        <v>500000</v>
      </c>
      <c r="U550" s="42"/>
    </row>
    <row r="551" spans="2:21" s="360" customFormat="1" ht="12.75">
      <c r="B551" s="575" t="s">
        <v>1887</v>
      </c>
      <c r="C551" s="576">
        <v>40932</v>
      </c>
      <c r="D551" s="456" t="s">
        <v>1472</v>
      </c>
      <c r="E551" s="506"/>
      <c r="F551" s="506"/>
      <c r="G551" s="506"/>
      <c r="H551" s="577" t="s">
        <v>1473</v>
      </c>
      <c r="I551" s="506"/>
      <c r="J551" s="506"/>
      <c r="K551" s="456" t="s">
        <v>36</v>
      </c>
      <c r="L551" s="474"/>
      <c r="M551" s="578">
        <v>5.625</v>
      </c>
      <c r="N551" s="474"/>
      <c r="O551" s="579" t="s">
        <v>719</v>
      </c>
      <c r="P551" s="580" t="s">
        <v>1536</v>
      </c>
      <c r="Q551" s="581" t="s">
        <v>41</v>
      </c>
      <c r="R551" s="582">
        <v>500000</v>
      </c>
      <c r="S551" s="220"/>
      <c r="T551" s="583">
        <f>+R551</f>
        <v>500000</v>
      </c>
      <c r="U551" s="42"/>
    </row>
    <row r="552" spans="2:21" s="360" customFormat="1" ht="12.75">
      <c r="B552" s="456"/>
      <c r="C552" s="477"/>
      <c r="D552" s="456"/>
      <c r="E552" s="506"/>
      <c r="F552" s="506"/>
      <c r="G552" s="506"/>
      <c r="H552" s="584"/>
      <c r="I552" s="506"/>
      <c r="J552" s="506"/>
      <c r="K552" s="456"/>
      <c r="L552" s="474"/>
      <c r="M552" s="585"/>
      <c r="N552" s="474"/>
      <c r="O552" s="586"/>
      <c r="P552" s="587"/>
      <c r="Q552" s="389"/>
      <c r="R552" s="358"/>
      <c r="S552" s="220"/>
      <c r="T552" s="583"/>
      <c r="U552" s="42"/>
    </row>
    <row r="553" spans="2:21" s="360" customFormat="1" ht="12.75">
      <c r="B553" s="588" t="s">
        <v>803</v>
      </c>
      <c r="C553" s="477"/>
      <c r="D553" s="456"/>
      <c r="E553" s="506"/>
      <c r="F553" s="506"/>
      <c r="G553" s="506"/>
      <c r="H553" s="420"/>
      <c r="I553" s="506"/>
      <c r="J553" s="506"/>
      <c r="K553" s="456"/>
      <c r="L553" s="474"/>
      <c r="M553" s="510"/>
      <c r="N553" s="474"/>
      <c r="O553" s="458"/>
      <c r="P553" s="480"/>
      <c r="Q553" s="389"/>
      <c r="R553" s="358"/>
      <c r="S553" s="220"/>
      <c r="T553" s="563">
        <f>SUM(T554:T564)</f>
        <v>462384.3351419393</v>
      </c>
      <c r="U553" s="42"/>
    </row>
    <row r="554" spans="2:21" s="360" customFormat="1" ht="12.75">
      <c r="B554" s="512" t="s">
        <v>1510</v>
      </c>
      <c r="C554" s="589">
        <v>40991</v>
      </c>
      <c r="D554" s="512" t="s">
        <v>589</v>
      </c>
      <c r="E554" s="506"/>
      <c r="F554" s="506"/>
      <c r="G554" s="506"/>
      <c r="H554" s="541" t="s">
        <v>1521</v>
      </c>
      <c r="I554" s="506"/>
      <c r="J554" s="506"/>
      <c r="K554" s="512" t="s">
        <v>1888</v>
      </c>
      <c r="L554" s="474"/>
      <c r="M554" s="590" t="s">
        <v>1537</v>
      </c>
      <c r="N554" s="474"/>
      <c r="O554" s="543" t="s">
        <v>1287</v>
      </c>
      <c r="P554" s="591" t="s">
        <v>1279</v>
      </c>
      <c r="Q554" s="544" t="s">
        <v>112</v>
      </c>
      <c r="R554" s="545">
        <v>3210000</v>
      </c>
      <c r="S554" s="220"/>
      <c r="T554" s="583">
        <f>38889150/1000</f>
        <v>38889.15</v>
      </c>
      <c r="U554" s="42"/>
    </row>
    <row r="555" spans="2:21" s="360" customFormat="1" ht="12.75">
      <c r="B555" s="512" t="s">
        <v>1511</v>
      </c>
      <c r="C555" s="589">
        <v>40997</v>
      </c>
      <c r="D555" s="512" t="s">
        <v>589</v>
      </c>
      <c r="E555" s="506"/>
      <c r="F555" s="506"/>
      <c r="G555" s="506"/>
      <c r="H555" s="541" t="s">
        <v>1522</v>
      </c>
      <c r="I555" s="506"/>
      <c r="J555" s="506"/>
      <c r="K555" s="512" t="s">
        <v>1507</v>
      </c>
      <c r="L555" s="474"/>
      <c r="M555" s="590" t="s">
        <v>1537</v>
      </c>
      <c r="N555" s="474"/>
      <c r="O555" s="543" t="s">
        <v>1287</v>
      </c>
      <c r="P555" s="591" t="s">
        <v>1279</v>
      </c>
      <c r="Q555" s="544" t="s">
        <v>112</v>
      </c>
      <c r="R555" s="545">
        <v>4406000</v>
      </c>
      <c r="S555" s="220"/>
      <c r="T555" s="583">
        <f>53457998/1000</f>
        <v>53457.998</v>
      </c>
      <c r="U555" s="42"/>
    </row>
    <row r="556" spans="2:21" s="360" customFormat="1" ht="38.25">
      <c r="B556" s="513" t="s">
        <v>1512</v>
      </c>
      <c r="C556" s="592">
        <v>41146</v>
      </c>
      <c r="D556" s="513" t="s">
        <v>589</v>
      </c>
      <c r="E556" s="506"/>
      <c r="F556" s="506"/>
      <c r="G556" s="506"/>
      <c r="H556" s="593" t="s">
        <v>1481</v>
      </c>
      <c r="I556" s="506"/>
      <c r="J556" s="506"/>
      <c r="K556" s="512" t="s">
        <v>1485</v>
      </c>
      <c r="L556" s="474"/>
      <c r="M556" s="594" t="s">
        <v>1538</v>
      </c>
      <c r="N556" s="474"/>
      <c r="O556" s="520" t="s">
        <v>1053</v>
      </c>
      <c r="P556" s="595" t="s">
        <v>1046</v>
      </c>
      <c r="Q556" s="596" t="s">
        <v>112</v>
      </c>
      <c r="R556" s="597">
        <v>4396000</v>
      </c>
      <c r="S556" s="220"/>
      <c r="T556" s="583">
        <f>57178270.847208/1000</f>
        <v>57178.270847208</v>
      </c>
      <c r="U556" s="42"/>
    </row>
    <row r="557" spans="2:21" s="360" customFormat="1" ht="12.75">
      <c r="B557" s="513" t="s">
        <v>1513</v>
      </c>
      <c r="C557" s="592">
        <v>41192</v>
      </c>
      <c r="D557" s="513" t="s">
        <v>589</v>
      </c>
      <c r="E557" s="506"/>
      <c r="F557" s="506"/>
      <c r="G557" s="506"/>
      <c r="H557" s="593" t="s">
        <v>1523</v>
      </c>
      <c r="I557" s="506"/>
      <c r="J557" s="506"/>
      <c r="K557" s="513" t="s">
        <v>104</v>
      </c>
      <c r="L557" s="474"/>
      <c r="M557" s="594" t="s">
        <v>1539</v>
      </c>
      <c r="N557" s="474"/>
      <c r="O557" s="520" t="s">
        <v>1053</v>
      </c>
      <c r="P557" s="595" t="s">
        <v>1046</v>
      </c>
      <c r="Q557" s="596" t="s">
        <v>112</v>
      </c>
      <c r="R557" s="597">
        <v>8770000</v>
      </c>
      <c r="S557" s="220"/>
      <c r="T557" s="583">
        <f>118742746.61926/1000</f>
        <v>118742.74661926</v>
      </c>
      <c r="U557" s="42"/>
    </row>
    <row r="558" spans="2:21" s="360" customFormat="1" ht="38.25">
      <c r="B558" s="513" t="s">
        <v>1514</v>
      </c>
      <c r="C558" s="477">
        <v>41250</v>
      </c>
      <c r="D558" s="456" t="s">
        <v>589</v>
      </c>
      <c r="E558" s="506"/>
      <c r="F558" s="506"/>
      <c r="G558" s="506"/>
      <c r="H558" s="598" t="s">
        <v>1524</v>
      </c>
      <c r="I558" s="506"/>
      <c r="J558" s="506"/>
      <c r="K558" s="456" t="s">
        <v>128</v>
      </c>
      <c r="L558" s="474"/>
      <c r="M558" s="590" t="s">
        <v>1537</v>
      </c>
      <c r="N558" s="474"/>
      <c r="O558" s="543" t="s">
        <v>1287</v>
      </c>
      <c r="P558" s="591" t="s">
        <v>1279</v>
      </c>
      <c r="Q558" s="389" t="s">
        <v>112</v>
      </c>
      <c r="R558" s="358">
        <v>5078000</v>
      </c>
      <c r="S558" s="220"/>
      <c r="T558" s="583">
        <f>70883288.096244/1000</f>
        <v>70883.28809624401</v>
      </c>
      <c r="U558" s="42"/>
    </row>
    <row r="559" spans="2:21" s="360" customFormat="1" ht="12.75">
      <c r="B559" s="513" t="s">
        <v>1515</v>
      </c>
      <c r="C559" s="477">
        <v>41252</v>
      </c>
      <c r="D559" s="456" t="s">
        <v>386</v>
      </c>
      <c r="E559" s="506"/>
      <c r="F559" s="506"/>
      <c r="G559" s="506"/>
      <c r="H559" s="598" t="s">
        <v>1525</v>
      </c>
      <c r="I559" s="506"/>
      <c r="J559" s="506"/>
      <c r="K559" s="456" t="s">
        <v>1531</v>
      </c>
      <c r="L559" s="474"/>
      <c r="M559" s="599" t="s">
        <v>1540</v>
      </c>
      <c r="N559" s="474"/>
      <c r="O559" s="480" t="s">
        <v>1046</v>
      </c>
      <c r="P559" s="564" t="s">
        <v>1543</v>
      </c>
      <c r="Q559" s="389" t="s">
        <v>908</v>
      </c>
      <c r="R559" s="358">
        <v>7449.76619</v>
      </c>
      <c r="S559" s="220"/>
      <c r="T559" s="583">
        <f>9816332.69230185/1000</f>
        <v>9816.33269230185</v>
      </c>
      <c r="U559" s="42"/>
    </row>
    <row r="560" spans="2:21" s="360" customFormat="1" ht="12.75">
      <c r="B560" s="513" t="s">
        <v>1516</v>
      </c>
      <c r="C560" s="477">
        <v>41256</v>
      </c>
      <c r="D560" s="456" t="s">
        <v>386</v>
      </c>
      <c r="E560" s="506"/>
      <c r="F560" s="506"/>
      <c r="G560" s="506"/>
      <c r="H560" s="598" t="s">
        <v>1526</v>
      </c>
      <c r="I560" s="506"/>
      <c r="J560" s="506"/>
      <c r="K560" s="456" t="s">
        <v>1549</v>
      </c>
      <c r="L560" s="474"/>
      <c r="M560" s="600">
        <v>0.02</v>
      </c>
      <c r="N560" s="474"/>
      <c r="O560" s="480" t="s">
        <v>1046</v>
      </c>
      <c r="P560" s="601" t="s">
        <v>1047</v>
      </c>
      <c r="Q560" s="389" t="s">
        <v>908</v>
      </c>
      <c r="R560" s="358">
        <v>6000</v>
      </c>
      <c r="S560" s="220"/>
      <c r="T560" s="583">
        <f>7982101.167318/1000</f>
        <v>7982.101167318</v>
      </c>
      <c r="U560" s="42"/>
    </row>
    <row r="561" spans="2:21" s="360" customFormat="1" ht="12.75">
      <c r="B561" s="513" t="s">
        <v>1517</v>
      </c>
      <c r="C561" s="477">
        <v>41263</v>
      </c>
      <c r="D561" s="456" t="s">
        <v>386</v>
      </c>
      <c r="E561" s="506"/>
      <c r="F561" s="506"/>
      <c r="G561" s="506"/>
      <c r="H561" s="598" t="s">
        <v>1527</v>
      </c>
      <c r="I561" s="506"/>
      <c r="J561" s="506"/>
      <c r="K561" s="456" t="s">
        <v>1464</v>
      </c>
      <c r="L561" s="474"/>
      <c r="M561" s="510" t="s">
        <v>1533</v>
      </c>
      <c r="N561" s="474"/>
      <c r="O561" s="480" t="s">
        <v>1053</v>
      </c>
      <c r="P561" s="601" t="s">
        <v>1105</v>
      </c>
      <c r="Q561" s="389" t="s">
        <v>908</v>
      </c>
      <c r="R561" s="358">
        <v>15000</v>
      </c>
      <c r="S561" s="220"/>
      <c r="T561" s="583">
        <f>20054602.184085/1000</f>
        <v>20054.602184085</v>
      </c>
      <c r="U561" s="42"/>
    </row>
    <row r="562" spans="2:21" s="360" customFormat="1" ht="12.75">
      <c r="B562" s="513" t="s">
        <v>1518</v>
      </c>
      <c r="C562" s="477">
        <v>41265</v>
      </c>
      <c r="D562" s="456" t="s">
        <v>823</v>
      </c>
      <c r="E562" s="506"/>
      <c r="F562" s="506"/>
      <c r="G562" s="506"/>
      <c r="H562" s="598" t="s">
        <v>1528</v>
      </c>
      <c r="I562" s="506"/>
      <c r="J562" s="506"/>
      <c r="K562" s="456" t="s">
        <v>104</v>
      </c>
      <c r="L562" s="474"/>
      <c r="M562" s="510" t="s">
        <v>1533</v>
      </c>
      <c r="N562" s="474"/>
      <c r="O562" s="480" t="s">
        <v>1149</v>
      </c>
      <c r="P562" s="601" t="s">
        <v>1281</v>
      </c>
      <c r="Q562" s="389" t="s">
        <v>908</v>
      </c>
      <c r="R562" s="358">
        <v>25000</v>
      </c>
      <c r="S562" s="220"/>
      <c r="T562" s="583">
        <f>33385335.413425/1000</f>
        <v>33385.335413425</v>
      </c>
      <c r="U562" s="42"/>
    </row>
    <row r="563" spans="2:21" s="360" customFormat="1" ht="12.75">
      <c r="B563" s="513" t="s">
        <v>1519</v>
      </c>
      <c r="C563" s="477">
        <v>41265</v>
      </c>
      <c r="D563" s="456" t="s">
        <v>386</v>
      </c>
      <c r="E563" s="506"/>
      <c r="F563" s="506"/>
      <c r="G563" s="506"/>
      <c r="H563" s="598" t="s">
        <v>1529</v>
      </c>
      <c r="I563" s="506"/>
      <c r="J563" s="506"/>
      <c r="K563" s="456" t="s">
        <v>104</v>
      </c>
      <c r="L563" s="474"/>
      <c r="M563" s="510" t="s">
        <v>1533</v>
      </c>
      <c r="N563" s="474"/>
      <c r="O563" s="480" t="s">
        <v>1053</v>
      </c>
      <c r="P563" s="601" t="s">
        <v>1046</v>
      </c>
      <c r="Q563" s="389" t="s">
        <v>908</v>
      </c>
      <c r="R563" s="358">
        <v>12500</v>
      </c>
      <c r="S563" s="220"/>
      <c r="T563" s="583">
        <f>16692667.7067125/1000</f>
        <v>16692.6677067125</v>
      </c>
      <c r="U563" s="42"/>
    </row>
    <row r="564" spans="2:21" s="360" customFormat="1" ht="25.5">
      <c r="B564" s="513" t="s">
        <v>1520</v>
      </c>
      <c r="C564" s="477">
        <v>41273</v>
      </c>
      <c r="D564" s="456" t="s">
        <v>589</v>
      </c>
      <c r="E564" s="506"/>
      <c r="F564" s="506"/>
      <c r="G564" s="506"/>
      <c r="H564" s="598" t="s">
        <v>1530</v>
      </c>
      <c r="I564" s="506"/>
      <c r="J564" s="506"/>
      <c r="K564" s="456" t="s">
        <v>1532</v>
      </c>
      <c r="L564" s="474"/>
      <c r="M564" s="590" t="s">
        <v>1545</v>
      </c>
      <c r="N564" s="474"/>
      <c r="O564" s="543" t="s">
        <v>1108</v>
      </c>
      <c r="P564" s="591" t="s">
        <v>1194</v>
      </c>
      <c r="Q564" s="389" t="s">
        <v>112</v>
      </c>
      <c r="R564" s="358">
        <v>2905000</v>
      </c>
      <c r="S564" s="220"/>
      <c r="T564" s="583">
        <f>35301842.415385/1000</f>
        <v>35301.842415385</v>
      </c>
      <c r="U564" s="42"/>
    </row>
    <row r="565" spans="2:21" s="360" customFormat="1" ht="12.75">
      <c r="B565" s="588"/>
      <c r="C565" s="477"/>
      <c r="D565" s="456"/>
      <c r="E565" s="506"/>
      <c r="F565" s="506"/>
      <c r="G565" s="506"/>
      <c r="H565" s="420"/>
      <c r="I565" s="506"/>
      <c r="J565" s="506"/>
      <c r="K565" s="456"/>
      <c r="L565" s="474"/>
      <c r="M565" s="510"/>
      <c r="N565" s="474"/>
      <c r="O565" s="458"/>
      <c r="P565" s="480"/>
      <c r="Q565" s="389"/>
      <c r="R565" s="358"/>
      <c r="S565" s="220"/>
      <c r="T565" s="583"/>
      <c r="U565" s="42"/>
    </row>
    <row r="566" spans="2:21" s="360" customFormat="1" ht="12.75">
      <c r="B566" s="588"/>
      <c r="C566" s="477"/>
      <c r="D566" s="456"/>
      <c r="E566" s="506"/>
      <c r="F566" s="506"/>
      <c r="G566" s="506"/>
      <c r="H566" s="420"/>
      <c r="I566" s="506"/>
      <c r="J566" s="506"/>
      <c r="K566" s="456"/>
      <c r="L566" s="474"/>
      <c r="M566" s="510"/>
      <c r="N566" s="474"/>
      <c r="O566" s="458"/>
      <c r="P566" s="480"/>
      <c r="Q566" s="389"/>
      <c r="R566" s="358"/>
      <c r="S566" s="220"/>
      <c r="T566" s="583"/>
      <c r="U566" s="42"/>
    </row>
    <row r="567" spans="2:21" s="360" customFormat="1" ht="12.75">
      <c r="B567" s="602" t="s">
        <v>634</v>
      </c>
      <c r="C567" s="477"/>
      <c r="D567" s="456"/>
      <c r="E567" s="506"/>
      <c r="F567" s="506"/>
      <c r="G567" s="506"/>
      <c r="H567" s="420"/>
      <c r="I567" s="506"/>
      <c r="J567" s="506"/>
      <c r="K567" s="456"/>
      <c r="L567" s="474"/>
      <c r="M567" s="510"/>
      <c r="N567" s="474"/>
      <c r="O567" s="458"/>
      <c r="P567" s="480"/>
      <c r="Q567" s="389"/>
      <c r="R567" s="358"/>
      <c r="S567" s="220"/>
      <c r="T567" s="563">
        <f>SUM(T568:T580)</f>
        <v>429933.596</v>
      </c>
      <c r="U567" s="42"/>
    </row>
    <row r="568" spans="2:21" s="360" customFormat="1" ht="12.75">
      <c r="B568" s="512" t="s">
        <v>1475</v>
      </c>
      <c r="C568" s="589">
        <v>41132</v>
      </c>
      <c r="D568" s="547" t="s">
        <v>1661</v>
      </c>
      <c r="E568" s="506"/>
      <c r="F568" s="506"/>
      <c r="G568" s="506"/>
      <c r="H568" s="541" t="s">
        <v>1480</v>
      </c>
      <c r="I568" s="506"/>
      <c r="J568" s="506"/>
      <c r="K568" s="512" t="s">
        <v>1549</v>
      </c>
      <c r="L568" s="474"/>
      <c r="M568" s="542" t="s">
        <v>1422</v>
      </c>
      <c r="N568" s="474"/>
      <c r="O568" s="514" t="s">
        <v>1108</v>
      </c>
      <c r="P568" s="543" t="s">
        <v>1283</v>
      </c>
      <c r="Q568" s="544" t="s">
        <v>41</v>
      </c>
      <c r="R568" s="545">
        <v>25000</v>
      </c>
      <c r="S568" s="220"/>
      <c r="T568" s="546">
        <v>25000</v>
      </c>
      <c r="U568" s="42"/>
    </row>
    <row r="569" spans="2:21" s="360" customFormat="1" ht="38.25">
      <c r="B569" s="512" t="s">
        <v>1476</v>
      </c>
      <c r="C569" s="589">
        <v>41132</v>
      </c>
      <c r="D569" s="547" t="s">
        <v>1662</v>
      </c>
      <c r="E569" s="506"/>
      <c r="F569" s="506"/>
      <c r="G569" s="506"/>
      <c r="H569" s="541" t="s">
        <v>1481</v>
      </c>
      <c r="I569" s="506"/>
      <c r="J569" s="506"/>
      <c r="K569" s="512" t="s">
        <v>1485</v>
      </c>
      <c r="L569" s="474"/>
      <c r="M569" s="542" t="s">
        <v>1422</v>
      </c>
      <c r="N569" s="474"/>
      <c r="O569" s="514" t="s">
        <v>1425</v>
      </c>
      <c r="P569" s="603" t="s">
        <v>1546</v>
      </c>
      <c r="Q569" s="544" t="s">
        <v>41</v>
      </c>
      <c r="R569" s="545">
        <v>15000</v>
      </c>
      <c r="S569" s="220"/>
      <c r="T569" s="546">
        <v>15000</v>
      </c>
      <c r="U569" s="42"/>
    </row>
    <row r="570" spans="2:21" s="360" customFormat="1" ht="38.25">
      <c r="B570" s="512" t="s">
        <v>1477</v>
      </c>
      <c r="C570" s="589">
        <v>41133</v>
      </c>
      <c r="D570" s="547" t="s">
        <v>1663</v>
      </c>
      <c r="E570" s="506"/>
      <c r="F570" s="506"/>
      <c r="G570" s="506"/>
      <c r="H570" s="541" t="s">
        <v>1482</v>
      </c>
      <c r="I570" s="506"/>
      <c r="J570" s="506"/>
      <c r="K570" s="512" t="s">
        <v>128</v>
      </c>
      <c r="L570" s="474"/>
      <c r="M570" s="542" t="s">
        <v>1422</v>
      </c>
      <c r="N570" s="474"/>
      <c r="O570" s="514" t="s">
        <v>1288</v>
      </c>
      <c r="P570" s="543" t="s">
        <v>1426</v>
      </c>
      <c r="Q570" s="544" t="s">
        <v>41</v>
      </c>
      <c r="R570" s="545">
        <v>100000</v>
      </c>
      <c r="S570" s="220"/>
      <c r="T570" s="546">
        <v>100000</v>
      </c>
      <c r="U570" s="42"/>
    </row>
    <row r="571" spans="2:21" s="360" customFormat="1" ht="12.75">
      <c r="B571" s="512" t="s">
        <v>1478</v>
      </c>
      <c r="C571" s="589">
        <v>41146</v>
      </c>
      <c r="D571" s="547" t="s">
        <v>1664</v>
      </c>
      <c r="E571" s="506"/>
      <c r="F571" s="506"/>
      <c r="G571" s="506"/>
      <c r="H571" s="541" t="s">
        <v>1483</v>
      </c>
      <c r="I571" s="506"/>
      <c r="J571" s="506"/>
      <c r="K571" s="512" t="s">
        <v>1486</v>
      </c>
      <c r="L571" s="474"/>
      <c r="M571" s="542" t="s">
        <v>1422</v>
      </c>
      <c r="N571" s="474"/>
      <c r="O571" s="514" t="s">
        <v>1053</v>
      </c>
      <c r="P571" s="543" t="s">
        <v>1047</v>
      </c>
      <c r="Q571" s="544" t="s">
        <v>41</v>
      </c>
      <c r="R571" s="545">
        <v>20000</v>
      </c>
      <c r="S571" s="220"/>
      <c r="T571" s="546">
        <v>20000</v>
      </c>
      <c r="U571" s="42"/>
    </row>
    <row r="572" spans="2:21" s="360" customFormat="1" ht="12.75">
      <c r="B572" s="512" t="s">
        <v>1479</v>
      </c>
      <c r="C572" s="589">
        <v>41146</v>
      </c>
      <c r="D572" s="547" t="s">
        <v>1665</v>
      </c>
      <c r="E572" s="506"/>
      <c r="F572" s="506"/>
      <c r="G572" s="506"/>
      <c r="H572" s="541" t="s">
        <v>1484</v>
      </c>
      <c r="I572" s="506"/>
      <c r="J572" s="506"/>
      <c r="K572" s="512" t="s">
        <v>1487</v>
      </c>
      <c r="L572" s="474"/>
      <c r="M572" s="542" t="s">
        <v>1422</v>
      </c>
      <c r="N572" s="474"/>
      <c r="O572" s="514" t="s">
        <v>607</v>
      </c>
      <c r="P572" s="543" t="s">
        <v>1146</v>
      </c>
      <c r="Q572" s="544" t="s">
        <v>41</v>
      </c>
      <c r="R572" s="545">
        <v>35000</v>
      </c>
      <c r="S572" s="220"/>
      <c r="T572" s="546">
        <v>35000</v>
      </c>
      <c r="U572" s="42"/>
    </row>
    <row r="573" spans="2:21" s="360" customFormat="1" ht="12.75">
      <c r="B573" s="513" t="s">
        <v>1488</v>
      </c>
      <c r="C573" s="592">
        <v>41207</v>
      </c>
      <c r="D573" s="516" t="s">
        <v>1666</v>
      </c>
      <c r="E573" s="506"/>
      <c r="F573" s="506"/>
      <c r="G573" s="506"/>
      <c r="H573" s="593" t="s">
        <v>1491</v>
      </c>
      <c r="I573" s="506"/>
      <c r="J573" s="506"/>
      <c r="K573" s="513" t="s">
        <v>1464</v>
      </c>
      <c r="L573" s="474"/>
      <c r="M573" s="604" t="s">
        <v>1422</v>
      </c>
      <c r="N573" s="474"/>
      <c r="O573" s="515" t="s">
        <v>1425</v>
      </c>
      <c r="P573" s="603" t="s">
        <v>1546</v>
      </c>
      <c r="Q573" s="596" t="s">
        <v>41</v>
      </c>
      <c r="R573" s="597">
        <v>30000</v>
      </c>
      <c r="S573" s="220"/>
      <c r="T573" s="421">
        <v>30000</v>
      </c>
      <c r="U573" s="42"/>
    </row>
    <row r="574" spans="2:21" s="360" customFormat="1" ht="12.75">
      <c r="B574" s="513" t="s">
        <v>1489</v>
      </c>
      <c r="C574" s="592">
        <v>41235</v>
      </c>
      <c r="D574" s="516" t="s">
        <v>137</v>
      </c>
      <c r="E574" s="506"/>
      <c r="F574" s="506"/>
      <c r="G574" s="506"/>
      <c r="H574" s="593" t="s">
        <v>1492</v>
      </c>
      <c r="I574" s="506"/>
      <c r="J574" s="506"/>
      <c r="K574" s="513" t="s">
        <v>1494</v>
      </c>
      <c r="L574" s="474"/>
      <c r="M574" s="604" t="s">
        <v>1496</v>
      </c>
      <c r="N574" s="474"/>
      <c r="O574" s="515" t="s">
        <v>1111</v>
      </c>
      <c r="P574" s="520" t="s">
        <v>1111</v>
      </c>
      <c r="Q574" s="596" t="s">
        <v>41</v>
      </c>
      <c r="R574" s="597">
        <v>20000</v>
      </c>
      <c r="S574" s="220"/>
      <c r="T574" s="421">
        <v>20000</v>
      </c>
      <c r="U574" s="42"/>
    </row>
    <row r="575" spans="2:21" s="360" customFormat="1" ht="12.75">
      <c r="B575" s="513" t="s">
        <v>1490</v>
      </c>
      <c r="C575" s="477">
        <v>41250</v>
      </c>
      <c r="D575" s="412" t="s">
        <v>1667</v>
      </c>
      <c r="E575" s="506"/>
      <c r="F575" s="506"/>
      <c r="G575" s="506"/>
      <c r="H575" s="598" t="s">
        <v>1493</v>
      </c>
      <c r="I575" s="506"/>
      <c r="J575" s="506"/>
      <c r="K575" s="456" t="s">
        <v>1495</v>
      </c>
      <c r="L575" s="474"/>
      <c r="M575" s="604" t="s">
        <v>1422</v>
      </c>
      <c r="N575" s="474"/>
      <c r="O575" s="515" t="s">
        <v>1145</v>
      </c>
      <c r="P575" s="529" t="s">
        <v>1547</v>
      </c>
      <c r="Q575" s="389" t="s">
        <v>41</v>
      </c>
      <c r="R575" s="358">
        <v>70000</v>
      </c>
      <c r="S575" s="220"/>
      <c r="T575" s="583">
        <v>70000</v>
      </c>
      <c r="U575" s="42"/>
    </row>
    <row r="576" spans="2:21" s="360" customFormat="1" ht="12.75">
      <c r="B576" s="513" t="s">
        <v>1497</v>
      </c>
      <c r="C576" s="477">
        <v>41256</v>
      </c>
      <c r="D576" s="412" t="s">
        <v>1668</v>
      </c>
      <c r="E576" s="506"/>
      <c r="F576" s="506"/>
      <c r="G576" s="506"/>
      <c r="H576" s="598" t="s">
        <v>1502</v>
      </c>
      <c r="I576" s="506"/>
      <c r="J576" s="506"/>
      <c r="K576" s="456" t="s">
        <v>1464</v>
      </c>
      <c r="L576" s="474"/>
      <c r="M576" s="542" t="s">
        <v>1422</v>
      </c>
      <c r="N576" s="474"/>
      <c r="O576" s="514" t="s">
        <v>1053</v>
      </c>
      <c r="P576" s="543" t="s">
        <v>1149</v>
      </c>
      <c r="Q576" s="389" t="s">
        <v>41</v>
      </c>
      <c r="R576" s="358">
        <v>30000</v>
      </c>
      <c r="S576" s="220"/>
      <c r="T576" s="583">
        <v>30000</v>
      </c>
      <c r="U576" s="42"/>
    </row>
    <row r="577" spans="2:21" s="360" customFormat="1" ht="12.75">
      <c r="B577" s="513" t="s">
        <v>1498</v>
      </c>
      <c r="C577" s="477">
        <v>41256</v>
      </c>
      <c r="D577" s="412" t="s">
        <v>1669</v>
      </c>
      <c r="E577" s="506"/>
      <c r="F577" s="506"/>
      <c r="G577" s="506"/>
      <c r="H577" s="598" t="s">
        <v>1503</v>
      </c>
      <c r="I577" s="506"/>
      <c r="J577" s="506"/>
      <c r="K577" s="456" t="s">
        <v>1464</v>
      </c>
      <c r="L577" s="474"/>
      <c r="M577" s="542" t="s">
        <v>1422</v>
      </c>
      <c r="N577" s="474"/>
      <c r="O577" s="514" t="s">
        <v>1053</v>
      </c>
      <c r="P577" s="543" t="s">
        <v>1149</v>
      </c>
      <c r="Q577" s="389" t="s">
        <v>41</v>
      </c>
      <c r="R577" s="358">
        <v>30000</v>
      </c>
      <c r="S577" s="220"/>
      <c r="T577" s="583">
        <v>30000</v>
      </c>
      <c r="U577" s="42"/>
    </row>
    <row r="578" spans="2:21" s="360" customFormat="1" ht="12.75">
      <c r="B578" s="513" t="s">
        <v>1499</v>
      </c>
      <c r="C578" s="477">
        <v>41263</v>
      </c>
      <c r="D578" s="412" t="s">
        <v>1670</v>
      </c>
      <c r="E578" s="506"/>
      <c r="F578" s="506"/>
      <c r="G578" s="506"/>
      <c r="H578" s="598" t="s">
        <v>1504</v>
      </c>
      <c r="I578" s="506"/>
      <c r="J578" s="506"/>
      <c r="K578" s="456" t="s">
        <v>1550</v>
      </c>
      <c r="L578" s="474"/>
      <c r="M578" s="542" t="s">
        <v>1509</v>
      </c>
      <c r="N578" s="474"/>
      <c r="O578" s="480" t="s">
        <v>1279</v>
      </c>
      <c r="P578" s="480" t="s">
        <v>1279</v>
      </c>
      <c r="Q578" s="389" t="s">
        <v>41</v>
      </c>
      <c r="R578" s="358">
        <v>25000</v>
      </c>
      <c r="S578" s="220"/>
      <c r="T578" s="583">
        <v>25000</v>
      </c>
      <c r="U578" s="42"/>
    </row>
    <row r="579" spans="2:21" s="360" customFormat="1" ht="12.75">
      <c r="B579" s="513" t="s">
        <v>1500</v>
      </c>
      <c r="C579" s="477">
        <v>41265</v>
      </c>
      <c r="D579" s="412" t="s">
        <v>1671</v>
      </c>
      <c r="E579" s="506"/>
      <c r="F579" s="506"/>
      <c r="G579" s="506"/>
      <c r="H579" s="598" t="s">
        <v>1505</v>
      </c>
      <c r="I579" s="506"/>
      <c r="J579" s="506"/>
      <c r="K579" s="456" t="s">
        <v>1507</v>
      </c>
      <c r="L579" s="474"/>
      <c r="M579" s="510" t="s">
        <v>1095</v>
      </c>
      <c r="N579" s="474"/>
      <c r="O579" s="564" t="s">
        <v>1548</v>
      </c>
      <c r="P579" s="605" t="s">
        <v>1105</v>
      </c>
      <c r="Q579" s="389" t="s">
        <v>177</v>
      </c>
      <c r="R579" s="358">
        <v>12900</v>
      </c>
      <c r="S579" s="220"/>
      <c r="T579" s="583">
        <f>19933596/1000</f>
        <v>19933.596</v>
      </c>
      <c r="U579" s="42"/>
    </row>
    <row r="580" spans="2:21" s="360" customFormat="1" ht="12.75">
      <c r="B580" s="513" t="s">
        <v>1501</v>
      </c>
      <c r="C580" s="477">
        <v>41265</v>
      </c>
      <c r="D580" s="412" t="s">
        <v>1672</v>
      </c>
      <c r="E580" s="506"/>
      <c r="F580" s="506"/>
      <c r="G580" s="506"/>
      <c r="H580" s="598" t="s">
        <v>1506</v>
      </c>
      <c r="I580" s="506"/>
      <c r="J580" s="506"/>
      <c r="K580" s="456" t="s">
        <v>1508</v>
      </c>
      <c r="L580" s="474"/>
      <c r="M580" s="542" t="s">
        <v>1509</v>
      </c>
      <c r="N580" s="474"/>
      <c r="O580" s="480" t="s">
        <v>1053</v>
      </c>
      <c r="P580" s="480" t="s">
        <v>1149</v>
      </c>
      <c r="Q580" s="389" t="s">
        <v>41</v>
      </c>
      <c r="R580" s="358">
        <v>10000</v>
      </c>
      <c r="S580" s="220"/>
      <c r="T580" s="583">
        <v>10000</v>
      </c>
      <c r="U580" s="42"/>
    </row>
    <row r="581" spans="2:21" s="360" customFormat="1" ht="13.5" thickBot="1">
      <c r="B581" s="469"/>
      <c r="C581" s="606"/>
      <c r="D581" s="607"/>
      <c r="E581" s="608"/>
      <c r="F581" s="608"/>
      <c r="G581" s="608"/>
      <c r="H581" s="609"/>
      <c r="I581" s="608"/>
      <c r="J581" s="608"/>
      <c r="K581" s="469"/>
      <c r="L581" s="610"/>
      <c r="M581" s="611"/>
      <c r="N581" s="610"/>
      <c r="O581" s="612"/>
      <c r="P581" s="612"/>
      <c r="Q581" s="391"/>
      <c r="R581" s="613"/>
      <c r="S581" s="569"/>
      <c r="T581" s="614"/>
      <c r="U581" s="42"/>
    </row>
    <row r="582" spans="2:21" s="360" customFormat="1" ht="18.75" thickTop="1">
      <c r="B582" s="572">
        <v>2013</v>
      </c>
      <c r="C582" s="359"/>
      <c r="D582" s="615"/>
      <c r="E582" s="557"/>
      <c r="F582" s="557"/>
      <c r="G582" s="557"/>
      <c r="H582" s="616"/>
      <c r="I582" s="557"/>
      <c r="J582" s="557"/>
      <c r="K582" s="324"/>
      <c r="L582" s="220"/>
      <c r="M582" s="617"/>
      <c r="N582" s="220"/>
      <c r="O582" s="618"/>
      <c r="P582" s="618"/>
      <c r="Q582" s="389"/>
      <c r="R582" s="358"/>
      <c r="S582" s="220"/>
      <c r="T582" s="554">
        <f>+T584+T589</f>
        <v>379387.2074659</v>
      </c>
      <c r="U582" s="42"/>
    </row>
    <row r="583" spans="2:21" s="360" customFormat="1" ht="12.75">
      <c r="B583" s="324"/>
      <c r="C583" s="359"/>
      <c r="D583" s="615"/>
      <c r="E583" s="557"/>
      <c r="F583" s="557"/>
      <c r="G583" s="557"/>
      <c r="H583" s="616"/>
      <c r="I583" s="557"/>
      <c r="J583" s="557"/>
      <c r="K583" s="324"/>
      <c r="L583" s="220"/>
      <c r="M583" s="617"/>
      <c r="N583" s="220"/>
      <c r="O583" s="618"/>
      <c r="P583" s="618"/>
      <c r="Q583" s="389"/>
      <c r="R583" s="358"/>
      <c r="S583" s="220"/>
      <c r="T583" s="583"/>
      <c r="U583" s="42"/>
    </row>
    <row r="584" spans="2:21" s="360" customFormat="1" ht="12.75">
      <c r="B584" s="588" t="s">
        <v>803</v>
      </c>
      <c r="C584" s="477"/>
      <c r="D584" s="412"/>
      <c r="E584" s="506"/>
      <c r="F584" s="506"/>
      <c r="G584" s="506"/>
      <c r="H584" s="598"/>
      <c r="I584" s="506"/>
      <c r="J584" s="506"/>
      <c r="K584" s="456"/>
      <c r="L584" s="474"/>
      <c r="M584" s="510"/>
      <c r="N584" s="474"/>
      <c r="O584" s="480"/>
      <c r="P584" s="480"/>
      <c r="Q584" s="490"/>
      <c r="R584" s="494"/>
      <c r="S584" s="474"/>
      <c r="T584" s="563">
        <f>SUM(T585:T587)</f>
        <v>83387.20746589999</v>
      </c>
      <c r="U584" s="42"/>
    </row>
    <row r="585" spans="2:21" s="360" customFormat="1" ht="38.25">
      <c r="B585" s="517" t="s">
        <v>1711</v>
      </c>
      <c r="C585" s="518">
        <v>41635</v>
      </c>
      <c r="D585" s="517" t="s">
        <v>688</v>
      </c>
      <c r="E585" s="506"/>
      <c r="F585" s="506"/>
      <c r="G585" s="506"/>
      <c r="H585" s="519" t="s">
        <v>1714</v>
      </c>
      <c r="I585" s="506"/>
      <c r="J585" s="506"/>
      <c r="K585" s="521" t="s">
        <v>128</v>
      </c>
      <c r="L585" s="474"/>
      <c r="M585" s="490" t="s">
        <v>1533</v>
      </c>
      <c r="N585" s="474"/>
      <c r="O585" s="515" t="s">
        <v>1053</v>
      </c>
      <c r="P585" s="520" t="s">
        <v>1145</v>
      </c>
      <c r="Q585" s="517" t="s">
        <v>41</v>
      </c>
      <c r="R585" s="548">
        <v>48660</v>
      </c>
      <c r="S585" s="474"/>
      <c r="T585" s="511">
        <v>48660</v>
      </c>
      <c r="U585" s="42"/>
    </row>
    <row r="586" spans="2:21" s="360" customFormat="1" ht="12.75">
      <c r="B586" s="517" t="s">
        <v>1712</v>
      </c>
      <c r="C586" s="518">
        <v>41635</v>
      </c>
      <c r="D586" s="517" t="s">
        <v>688</v>
      </c>
      <c r="E586" s="506"/>
      <c r="F586" s="506"/>
      <c r="G586" s="506"/>
      <c r="H586" s="519" t="s">
        <v>1715</v>
      </c>
      <c r="I586" s="506"/>
      <c r="J586" s="506"/>
      <c r="K586" s="521" t="s">
        <v>1717</v>
      </c>
      <c r="L586" s="474"/>
      <c r="M586" s="549">
        <v>0.02</v>
      </c>
      <c r="N586" s="474"/>
      <c r="O586" s="515" t="s">
        <v>1046</v>
      </c>
      <c r="P586" s="520" t="s">
        <v>1047</v>
      </c>
      <c r="Q586" s="517" t="s">
        <v>908</v>
      </c>
      <c r="R586" s="548">
        <v>10000</v>
      </c>
      <c r="S586" s="474"/>
      <c r="T586" s="511">
        <f>13890882.98636/1000</f>
        <v>13890.88298636</v>
      </c>
      <c r="U586" s="42"/>
    </row>
    <row r="587" spans="2:21" s="360" customFormat="1" ht="12.75">
      <c r="B587" s="517" t="s">
        <v>1713</v>
      </c>
      <c r="C587" s="518">
        <v>41635</v>
      </c>
      <c r="D587" s="517" t="s">
        <v>688</v>
      </c>
      <c r="E587" s="506"/>
      <c r="F587" s="506"/>
      <c r="G587" s="506"/>
      <c r="H587" s="519" t="s">
        <v>1716</v>
      </c>
      <c r="I587" s="506"/>
      <c r="J587" s="506"/>
      <c r="K587" s="521" t="s">
        <v>1464</v>
      </c>
      <c r="L587" s="474"/>
      <c r="M587" s="490" t="s">
        <v>1533</v>
      </c>
      <c r="N587" s="474"/>
      <c r="O587" s="515" t="s">
        <v>1053</v>
      </c>
      <c r="P587" s="520" t="s">
        <v>1279</v>
      </c>
      <c r="Q587" s="517" t="s">
        <v>908</v>
      </c>
      <c r="R587" s="548">
        <v>15000</v>
      </c>
      <c r="S587" s="474"/>
      <c r="T587" s="511">
        <f>20836324.47954/1000</f>
        <v>20836.324479540002</v>
      </c>
      <c r="U587" s="42"/>
    </row>
    <row r="588" spans="2:21" s="360" customFormat="1" ht="12.75">
      <c r="B588" s="490"/>
      <c r="C588" s="477"/>
      <c r="D588" s="412"/>
      <c r="E588" s="506"/>
      <c r="F588" s="506"/>
      <c r="G588" s="506"/>
      <c r="H588" s="565"/>
      <c r="I588" s="506"/>
      <c r="J588" s="506"/>
      <c r="K588" s="456"/>
      <c r="L588" s="474"/>
      <c r="M588" s="619"/>
      <c r="N588" s="474"/>
      <c r="O588" s="480"/>
      <c r="P588" s="480"/>
      <c r="Q588" s="490"/>
      <c r="R588" s="494"/>
      <c r="S588" s="474"/>
      <c r="T588" s="511"/>
      <c r="U588" s="42"/>
    </row>
    <row r="589" spans="2:21" s="360" customFormat="1" ht="12.75">
      <c r="B589" s="560" t="s">
        <v>634</v>
      </c>
      <c r="C589" s="477"/>
      <c r="D589" s="412"/>
      <c r="E589" s="506"/>
      <c r="F589" s="506"/>
      <c r="G589" s="506"/>
      <c r="H589" s="565"/>
      <c r="I589" s="506"/>
      <c r="J589" s="506"/>
      <c r="K589" s="456"/>
      <c r="L589" s="474"/>
      <c r="M589" s="619"/>
      <c r="N589" s="474"/>
      <c r="O589" s="480"/>
      <c r="P589" s="480"/>
      <c r="Q589" s="490"/>
      <c r="R589" s="494"/>
      <c r="S589" s="474"/>
      <c r="T589" s="563">
        <f>SUM(T590:T600)</f>
        <v>296000</v>
      </c>
      <c r="U589" s="42"/>
    </row>
    <row r="590" spans="2:21" s="360" customFormat="1" ht="12.75">
      <c r="B590" s="517" t="s">
        <v>1718</v>
      </c>
      <c r="C590" s="523">
        <v>41367</v>
      </c>
      <c r="D590" s="517" t="s">
        <v>157</v>
      </c>
      <c r="E590" s="506"/>
      <c r="F590" s="506"/>
      <c r="G590" s="506"/>
      <c r="H590" s="620" t="s">
        <v>1728</v>
      </c>
      <c r="I590" s="506"/>
      <c r="J590" s="506"/>
      <c r="K590" s="521" t="s">
        <v>1464</v>
      </c>
      <c r="L590" s="474"/>
      <c r="M590" s="621" t="s">
        <v>1509</v>
      </c>
      <c r="N590" s="474"/>
      <c r="O590" s="522" t="s">
        <v>1053</v>
      </c>
      <c r="P590" s="603" t="s">
        <v>1742</v>
      </c>
      <c r="Q590" s="517" t="s">
        <v>41</v>
      </c>
      <c r="R590" s="548">
        <v>45000</v>
      </c>
      <c r="S590" s="474"/>
      <c r="T590" s="524">
        <v>45000</v>
      </c>
      <c r="U590" s="42"/>
    </row>
    <row r="591" spans="2:21" s="360" customFormat="1" ht="12.75">
      <c r="B591" s="517" t="s">
        <v>1719</v>
      </c>
      <c r="C591" s="523">
        <v>41452</v>
      </c>
      <c r="D591" s="517" t="s">
        <v>157</v>
      </c>
      <c r="E591" s="506"/>
      <c r="F591" s="506"/>
      <c r="G591" s="506"/>
      <c r="H591" s="622" t="s">
        <v>1729</v>
      </c>
      <c r="I591" s="506"/>
      <c r="J591" s="506"/>
      <c r="K591" s="521" t="s">
        <v>1737</v>
      </c>
      <c r="L591" s="474"/>
      <c r="M591" s="621" t="s">
        <v>1509</v>
      </c>
      <c r="N591" s="474"/>
      <c r="O591" s="522" t="s">
        <v>1196</v>
      </c>
      <c r="P591" s="623" t="s">
        <v>1103</v>
      </c>
      <c r="Q591" s="517" t="s">
        <v>41</v>
      </c>
      <c r="R591" s="548">
        <v>25000</v>
      </c>
      <c r="S591" s="474"/>
      <c r="T591" s="524">
        <v>25000</v>
      </c>
      <c r="U591" s="42"/>
    </row>
    <row r="592" spans="2:21" s="360" customFormat="1" ht="25.5">
      <c r="B592" s="517" t="s">
        <v>1720</v>
      </c>
      <c r="C592" s="523">
        <v>41529</v>
      </c>
      <c r="D592" s="517" t="s">
        <v>157</v>
      </c>
      <c r="E592" s="506"/>
      <c r="F592" s="506"/>
      <c r="G592" s="506"/>
      <c r="H592" s="519" t="s">
        <v>1730</v>
      </c>
      <c r="I592" s="506"/>
      <c r="J592" s="506"/>
      <c r="K592" s="521" t="s">
        <v>1419</v>
      </c>
      <c r="L592" s="474"/>
      <c r="M592" s="621" t="s">
        <v>1509</v>
      </c>
      <c r="N592" s="474"/>
      <c r="O592" s="522" t="s">
        <v>1111</v>
      </c>
      <c r="P592" s="623" t="s">
        <v>1111</v>
      </c>
      <c r="Q592" s="517" t="s">
        <v>41</v>
      </c>
      <c r="R592" s="548">
        <v>20000</v>
      </c>
      <c r="S592" s="474"/>
      <c r="T592" s="524">
        <v>20000</v>
      </c>
      <c r="U592" s="42"/>
    </row>
    <row r="593" spans="2:21" s="360" customFormat="1" ht="12.75">
      <c r="B593" s="517" t="s">
        <v>1721</v>
      </c>
      <c r="C593" s="523">
        <v>41576</v>
      </c>
      <c r="D593" s="517" t="s">
        <v>86</v>
      </c>
      <c r="E593" s="506"/>
      <c r="F593" s="506"/>
      <c r="G593" s="506"/>
      <c r="H593" s="519" t="s">
        <v>1731</v>
      </c>
      <c r="I593" s="506"/>
      <c r="J593" s="506"/>
      <c r="K593" s="521" t="s">
        <v>1091</v>
      </c>
      <c r="L593" s="474"/>
      <c r="M593" s="527" t="s">
        <v>1422</v>
      </c>
      <c r="N593" s="474"/>
      <c r="O593" s="515" t="s">
        <v>1287</v>
      </c>
      <c r="P593" s="603" t="s">
        <v>1744</v>
      </c>
      <c r="Q593" s="517" t="s">
        <v>41</v>
      </c>
      <c r="R593" s="548">
        <v>20000</v>
      </c>
      <c r="S593" s="474"/>
      <c r="T593" s="524">
        <v>20000</v>
      </c>
      <c r="U593" s="42"/>
    </row>
    <row r="594" spans="2:27" s="360" customFormat="1" ht="25.5">
      <c r="B594" s="517" t="s">
        <v>1722</v>
      </c>
      <c r="C594" s="523">
        <v>41608</v>
      </c>
      <c r="D594" s="517" t="s">
        <v>137</v>
      </c>
      <c r="E594" s="506"/>
      <c r="F594" s="506"/>
      <c r="G594" s="506"/>
      <c r="H594" s="519" t="s">
        <v>1732</v>
      </c>
      <c r="I594" s="506"/>
      <c r="J594" s="506"/>
      <c r="K594" s="521" t="s">
        <v>1485</v>
      </c>
      <c r="L594" s="474"/>
      <c r="M594" s="527" t="s">
        <v>1889</v>
      </c>
      <c r="N594" s="474"/>
      <c r="O594" s="515" t="s">
        <v>1149</v>
      </c>
      <c r="P594" s="520" t="s">
        <v>1053</v>
      </c>
      <c r="Q594" s="517" t="s">
        <v>41</v>
      </c>
      <c r="R594" s="548">
        <v>16000</v>
      </c>
      <c r="S594" s="474"/>
      <c r="T594" s="524">
        <v>16000</v>
      </c>
      <c r="U594" s="42"/>
      <c r="AA594" s="624"/>
    </row>
    <row r="595" spans="2:21" s="360" customFormat="1" ht="12.75">
      <c r="B595" s="517" t="s">
        <v>1723</v>
      </c>
      <c r="C595" s="523">
        <v>41612</v>
      </c>
      <c r="D595" s="517" t="s">
        <v>86</v>
      </c>
      <c r="E595" s="506"/>
      <c r="F595" s="506"/>
      <c r="G595" s="506"/>
      <c r="H595" s="519" t="s">
        <v>1733</v>
      </c>
      <c r="I595" s="506"/>
      <c r="J595" s="506"/>
      <c r="K595" s="521" t="s">
        <v>1464</v>
      </c>
      <c r="L595" s="474"/>
      <c r="M595" s="527" t="s">
        <v>1422</v>
      </c>
      <c r="N595" s="474"/>
      <c r="O595" s="515" t="s">
        <v>1108</v>
      </c>
      <c r="P595" s="603" t="s">
        <v>1748</v>
      </c>
      <c r="Q595" s="517" t="s">
        <v>41</v>
      </c>
      <c r="R595" s="548">
        <v>30000</v>
      </c>
      <c r="S595" s="474"/>
      <c r="T595" s="524">
        <v>30000</v>
      </c>
      <c r="U595" s="42"/>
    </row>
    <row r="596" spans="2:21" s="360" customFormat="1" ht="12.75">
      <c r="B596" s="517" t="s">
        <v>1724</v>
      </c>
      <c r="C596" s="523">
        <v>41612</v>
      </c>
      <c r="D596" s="517" t="s">
        <v>86</v>
      </c>
      <c r="E596" s="506"/>
      <c r="F596" s="506"/>
      <c r="G596" s="506"/>
      <c r="H596" s="519" t="s">
        <v>1413</v>
      </c>
      <c r="I596" s="506"/>
      <c r="J596" s="506"/>
      <c r="K596" s="521" t="s">
        <v>1464</v>
      </c>
      <c r="L596" s="474"/>
      <c r="M596" s="527" t="s">
        <v>1422</v>
      </c>
      <c r="N596" s="474"/>
      <c r="O596" s="515" t="s">
        <v>1108</v>
      </c>
      <c r="P596" s="603" t="s">
        <v>1749</v>
      </c>
      <c r="Q596" s="517" t="s">
        <v>41</v>
      </c>
      <c r="R596" s="548">
        <v>25000</v>
      </c>
      <c r="S596" s="474"/>
      <c r="T596" s="524">
        <v>25000</v>
      </c>
      <c r="U596" s="42"/>
    </row>
    <row r="597" spans="2:21" s="360" customFormat="1" ht="12.75">
      <c r="B597" s="517" t="s">
        <v>1725</v>
      </c>
      <c r="C597" s="523">
        <v>41612</v>
      </c>
      <c r="D597" s="517" t="s">
        <v>86</v>
      </c>
      <c r="E597" s="506"/>
      <c r="F597" s="506"/>
      <c r="G597" s="506"/>
      <c r="H597" s="519" t="s">
        <v>1734</v>
      </c>
      <c r="I597" s="506"/>
      <c r="J597" s="506"/>
      <c r="K597" s="521" t="s">
        <v>1464</v>
      </c>
      <c r="L597" s="474"/>
      <c r="M597" s="527" t="s">
        <v>1422</v>
      </c>
      <c r="N597" s="474"/>
      <c r="O597" s="515" t="s">
        <v>1108</v>
      </c>
      <c r="P597" s="603" t="s">
        <v>1749</v>
      </c>
      <c r="Q597" s="517" t="s">
        <v>41</v>
      </c>
      <c r="R597" s="548">
        <v>25000</v>
      </c>
      <c r="S597" s="474"/>
      <c r="T597" s="524">
        <v>25000</v>
      </c>
      <c r="U597" s="42"/>
    </row>
    <row r="598" spans="2:21" s="360" customFormat="1" ht="12.75">
      <c r="B598" s="517" t="s">
        <v>1726</v>
      </c>
      <c r="C598" s="523">
        <v>41619</v>
      </c>
      <c r="D598" s="517" t="s">
        <v>86</v>
      </c>
      <c r="E598" s="506"/>
      <c r="F598" s="506"/>
      <c r="G598" s="506"/>
      <c r="H598" s="519" t="s">
        <v>1735</v>
      </c>
      <c r="I598" s="506"/>
      <c r="J598" s="506"/>
      <c r="K598" s="521" t="s">
        <v>1738</v>
      </c>
      <c r="L598" s="474"/>
      <c r="M598" s="527" t="s">
        <v>1422</v>
      </c>
      <c r="N598" s="474"/>
      <c r="O598" s="515" t="s">
        <v>1287</v>
      </c>
      <c r="P598" s="603" t="s">
        <v>1751</v>
      </c>
      <c r="Q598" s="517" t="s">
        <v>41</v>
      </c>
      <c r="R598" s="548">
        <v>10000</v>
      </c>
      <c r="S598" s="474"/>
      <c r="T598" s="524">
        <v>10000</v>
      </c>
      <c r="U598" s="42"/>
    </row>
    <row r="599" spans="2:21" s="360" customFormat="1" ht="12.75">
      <c r="B599" s="517" t="s">
        <v>1727</v>
      </c>
      <c r="C599" s="523">
        <v>41634</v>
      </c>
      <c r="D599" s="517" t="s">
        <v>86</v>
      </c>
      <c r="E599" s="506"/>
      <c r="F599" s="506"/>
      <c r="G599" s="506"/>
      <c r="H599" s="519" t="s">
        <v>1736</v>
      </c>
      <c r="I599" s="506"/>
      <c r="J599" s="506"/>
      <c r="K599" s="521" t="s">
        <v>1739</v>
      </c>
      <c r="L599" s="474"/>
      <c r="M599" s="527" t="s">
        <v>1422</v>
      </c>
      <c r="N599" s="474"/>
      <c r="O599" s="515" t="s">
        <v>1740</v>
      </c>
      <c r="P599" s="520" t="s">
        <v>1106</v>
      </c>
      <c r="Q599" s="517" t="s">
        <v>41</v>
      </c>
      <c r="R599" s="548">
        <v>40000</v>
      </c>
      <c r="S599" s="474"/>
      <c r="T599" s="524">
        <v>40000</v>
      </c>
      <c r="U599" s="42"/>
    </row>
    <row r="600" spans="2:21" s="360" customFormat="1" ht="12.75">
      <c r="B600" s="517" t="s">
        <v>1727</v>
      </c>
      <c r="C600" s="523">
        <v>41634</v>
      </c>
      <c r="D600" s="517" t="s">
        <v>157</v>
      </c>
      <c r="E600" s="506"/>
      <c r="F600" s="506"/>
      <c r="G600" s="506"/>
      <c r="H600" s="519" t="s">
        <v>1736</v>
      </c>
      <c r="I600" s="506"/>
      <c r="J600" s="506"/>
      <c r="K600" s="521" t="s">
        <v>1739</v>
      </c>
      <c r="L600" s="474"/>
      <c r="M600" s="527" t="s">
        <v>1509</v>
      </c>
      <c r="N600" s="474"/>
      <c r="O600" s="515" t="s">
        <v>1740</v>
      </c>
      <c r="P600" s="520" t="s">
        <v>1106</v>
      </c>
      <c r="Q600" s="517" t="s">
        <v>41</v>
      </c>
      <c r="R600" s="548">
        <v>40000</v>
      </c>
      <c r="S600" s="474"/>
      <c r="T600" s="524">
        <v>40000</v>
      </c>
      <c r="U600" s="42"/>
    </row>
    <row r="601" spans="2:21" s="360" customFormat="1" ht="13.5" thickBot="1">
      <c r="B601" s="391"/>
      <c r="C601" s="392"/>
      <c r="D601" s="391"/>
      <c r="E601" s="290"/>
      <c r="F601" s="290"/>
      <c r="G601" s="290"/>
      <c r="H601" s="395"/>
      <c r="I601" s="290"/>
      <c r="J601" s="290"/>
      <c r="K601" s="393"/>
      <c r="L601" s="569"/>
      <c r="M601" s="625"/>
      <c r="N601" s="569"/>
      <c r="O601" s="393"/>
      <c r="P601" s="394"/>
      <c r="Q601" s="391"/>
      <c r="R601" s="626"/>
      <c r="S601" s="569"/>
      <c r="T601" s="627"/>
      <c r="U601" s="42"/>
    </row>
    <row r="602" spans="2:21" s="360" customFormat="1" ht="13.5" thickTop="1">
      <c r="B602" s="396"/>
      <c r="C602" s="359"/>
      <c r="D602" s="389"/>
      <c r="E602" s="557"/>
      <c r="F602" s="557"/>
      <c r="G602" s="557"/>
      <c r="H602" s="401"/>
      <c r="I602" s="557"/>
      <c r="J602" s="557"/>
      <c r="K602" s="628"/>
      <c r="L602" s="268"/>
      <c r="M602" s="629"/>
      <c r="N602" s="268"/>
      <c r="O602" s="398"/>
      <c r="P602" s="399"/>
      <c r="Q602" s="628"/>
      <c r="R602" s="630"/>
      <c r="S602" s="268"/>
      <c r="T602" s="631"/>
      <c r="U602" s="42"/>
    </row>
    <row r="603" spans="2:21" s="360" customFormat="1" ht="18">
      <c r="B603" s="632">
        <v>2014</v>
      </c>
      <c r="C603" s="359"/>
      <c r="D603" s="389"/>
      <c r="E603" s="557"/>
      <c r="F603" s="557"/>
      <c r="G603" s="557"/>
      <c r="H603" s="402"/>
      <c r="I603" s="557"/>
      <c r="J603" s="557"/>
      <c r="K603" s="389"/>
      <c r="L603" s="220"/>
      <c r="M603" s="633"/>
      <c r="N603" s="220"/>
      <c r="O603" s="312"/>
      <c r="P603" s="400"/>
      <c r="Q603" s="389"/>
      <c r="R603" s="634"/>
      <c r="S603" s="220"/>
      <c r="T603" s="635">
        <f>+T606+T613</f>
        <v>1080412.27763826</v>
      </c>
      <c r="U603" s="42"/>
    </row>
    <row r="604" spans="2:21" s="360" customFormat="1" ht="12.75">
      <c r="B604" s="389"/>
      <c r="C604" s="359"/>
      <c r="D604" s="389"/>
      <c r="E604" s="557"/>
      <c r="F604" s="557"/>
      <c r="G604" s="557"/>
      <c r="H604" s="402"/>
      <c r="I604" s="557"/>
      <c r="J604" s="557"/>
      <c r="K604" s="389"/>
      <c r="L604" s="220"/>
      <c r="M604" s="633"/>
      <c r="N604" s="220"/>
      <c r="O604" s="312"/>
      <c r="P604" s="400"/>
      <c r="Q604" s="389"/>
      <c r="R604" s="634"/>
      <c r="S604" s="220"/>
      <c r="T604" s="636"/>
      <c r="U604" s="42"/>
    </row>
    <row r="605" spans="2:21" s="360" customFormat="1" ht="12.75">
      <c r="B605" s="588" t="s">
        <v>803</v>
      </c>
      <c r="C605" s="477"/>
      <c r="D605" s="490"/>
      <c r="E605" s="506"/>
      <c r="F605" s="506"/>
      <c r="G605" s="506"/>
      <c r="H605" s="420"/>
      <c r="I605" s="506"/>
      <c r="J605" s="506"/>
      <c r="K605" s="490"/>
      <c r="L605" s="474"/>
      <c r="M605" s="619"/>
      <c r="N605" s="474"/>
      <c r="O605" s="458"/>
      <c r="P605" s="508"/>
      <c r="Q605" s="490"/>
      <c r="R605" s="637"/>
      <c r="S605" s="474"/>
      <c r="T605" s="638"/>
      <c r="U605" s="42"/>
    </row>
    <row r="606" spans="2:21" s="360" customFormat="1" ht="12.75">
      <c r="B606" s="456"/>
      <c r="C606" s="477"/>
      <c r="D606" s="490"/>
      <c r="E606" s="506"/>
      <c r="F606" s="506"/>
      <c r="G606" s="506"/>
      <c r="H606" s="420"/>
      <c r="I606" s="506"/>
      <c r="J606" s="506"/>
      <c r="K606" s="490"/>
      <c r="L606" s="474"/>
      <c r="M606" s="619"/>
      <c r="N606" s="474"/>
      <c r="O606" s="458"/>
      <c r="P606" s="508"/>
      <c r="Q606" s="490"/>
      <c r="R606" s="637"/>
      <c r="S606" s="474"/>
      <c r="T606" s="563">
        <f>SUM(T607:T610)</f>
        <v>125412.27763825998</v>
      </c>
      <c r="U606" s="42"/>
    </row>
    <row r="607" spans="2:21" s="360" customFormat="1" ht="12.75">
      <c r="B607" s="525" t="s">
        <v>1752</v>
      </c>
      <c r="C607" s="518">
        <v>41948</v>
      </c>
      <c r="D607" s="517" t="s">
        <v>589</v>
      </c>
      <c r="E607" s="506"/>
      <c r="F607" s="506"/>
      <c r="G607" s="506"/>
      <c r="H607" s="519" t="s">
        <v>1754</v>
      </c>
      <c r="I607" s="506"/>
      <c r="J607" s="506"/>
      <c r="K607" s="517" t="s">
        <v>1756</v>
      </c>
      <c r="L607" s="474"/>
      <c r="M607" s="639" t="s">
        <v>1794</v>
      </c>
      <c r="N607" s="474"/>
      <c r="O607" s="515" t="s">
        <v>1108</v>
      </c>
      <c r="P607" s="526" t="s">
        <v>1194</v>
      </c>
      <c r="Q607" s="517" t="s">
        <v>112</v>
      </c>
      <c r="R607" s="640">
        <v>6944000</v>
      </c>
      <c r="S607" s="482"/>
      <c r="T607" s="511">
        <f>64032786.8824/1000</f>
        <v>64032.786882399996</v>
      </c>
      <c r="U607" s="42"/>
    </row>
    <row r="608" spans="2:21" s="360" customFormat="1" ht="12.75">
      <c r="B608" s="525" t="s">
        <v>1753</v>
      </c>
      <c r="C608" s="518">
        <v>41948</v>
      </c>
      <c r="D608" s="517" t="s">
        <v>589</v>
      </c>
      <c r="E608" s="506"/>
      <c r="F608" s="506"/>
      <c r="G608" s="506"/>
      <c r="H608" s="519" t="s">
        <v>1755</v>
      </c>
      <c r="I608" s="506"/>
      <c r="J608" s="506"/>
      <c r="K608" s="517" t="s">
        <v>1757</v>
      </c>
      <c r="L608" s="474"/>
      <c r="M608" s="639" t="s">
        <v>1794</v>
      </c>
      <c r="N608" s="474"/>
      <c r="O608" s="515" t="s">
        <v>1108</v>
      </c>
      <c r="P608" s="526" t="s">
        <v>1194</v>
      </c>
      <c r="Q608" s="517" t="s">
        <v>112</v>
      </c>
      <c r="R608" s="640">
        <v>2480000</v>
      </c>
      <c r="S608" s="482"/>
      <c r="T608" s="511">
        <f>22868852.458/1000</f>
        <v>22868.852458</v>
      </c>
      <c r="U608" s="42"/>
    </row>
    <row r="609" spans="2:21" s="360" customFormat="1" ht="12.75">
      <c r="B609" s="525" t="s">
        <v>1758</v>
      </c>
      <c r="C609" s="518">
        <v>41991</v>
      </c>
      <c r="D609" s="517" t="s">
        <v>386</v>
      </c>
      <c r="E609" s="506"/>
      <c r="F609" s="506"/>
      <c r="G609" s="506"/>
      <c r="H609" s="519" t="s">
        <v>1760</v>
      </c>
      <c r="I609" s="506"/>
      <c r="J609" s="506"/>
      <c r="K609" s="517" t="s">
        <v>1762</v>
      </c>
      <c r="L609" s="474"/>
      <c r="M609" s="641" t="s">
        <v>1432</v>
      </c>
      <c r="N609" s="474"/>
      <c r="O609" s="515" t="s">
        <v>1053</v>
      </c>
      <c r="P609" s="642" t="s">
        <v>1105</v>
      </c>
      <c r="Q609" s="517" t="s">
        <v>908</v>
      </c>
      <c r="R609" s="640">
        <v>15000</v>
      </c>
      <c r="S609" s="640"/>
      <c r="T609" s="511">
        <f>19255319.14893/1000</f>
        <v>19255.319148929997</v>
      </c>
      <c r="U609" s="42"/>
    </row>
    <row r="610" spans="2:21" s="360" customFormat="1" ht="12.75">
      <c r="B610" s="525" t="s">
        <v>1759</v>
      </c>
      <c r="C610" s="518">
        <v>41991</v>
      </c>
      <c r="D610" s="517" t="s">
        <v>386</v>
      </c>
      <c r="E610" s="506"/>
      <c r="F610" s="506"/>
      <c r="G610" s="506"/>
      <c r="H610" s="519" t="s">
        <v>1761</v>
      </c>
      <c r="I610" s="506"/>
      <c r="J610" s="506"/>
      <c r="K610" s="517" t="s">
        <v>1762</v>
      </c>
      <c r="L610" s="474"/>
      <c r="M610" s="641" t="s">
        <v>1432</v>
      </c>
      <c r="N610" s="474"/>
      <c r="O610" s="515" t="s">
        <v>1053</v>
      </c>
      <c r="P610" s="642" t="s">
        <v>1105</v>
      </c>
      <c r="Q610" s="517" t="s">
        <v>908</v>
      </c>
      <c r="R610" s="640">
        <v>15000</v>
      </c>
      <c r="S610" s="640"/>
      <c r="T610" s="511">
        <f>19255319.14893/1000</f>
        <v>19255.319148929997</v>
      </c>
      <c r="U610" s="42"/>
    </row>
    <row r="611" spans="2:21" s="360" customFormat="1" ht="12.75">
      <c r="B611" s="456"/>
      <c r="C611" s="477"/>
      <c r="D611" s="490"/>
      <c r="E611" s="506"/>
      <c r="F611" s="506"/>
      <c r="G611" s="506"/>
      <c r="H611" s="420"/>
      <c r="I611" s="506"/>
      <c r="J611" s="506"/>
      <c r="K611" s="490"/>
      <c r="L611" s="474"/>
      <c r="M611" s="619"/>
      <c r="N611" s="474"/>
      <c r="O611" s="458"/>
      <c r="P611" s="508"/>
      <c r="Q611" s="490"/>
      <c r="R611" s="494"/>
      <c r="S611" s="482"/>
      <c r="T611" s="511"/>
      <c r="U611" s="42"/>
    </row>
    <row r="612" spans="2:21" s="360" customFormat="1" ht="12.75">
      <c r="B612" s="602" t="s">
        <v>634</v>
      </c>
      <c r="C612" s="477"/>
      <c r="D612" s="490"/>
      <c r="E612" s="506"/>
      <c r="F612" s="506"/>
      <c r="G612" s="506"/>
      <c r="H612" s="420"/>
      <c r="I612" s="506"/>
      <c r="J612" s="506"/>
      <c r="K612" s="490"/>
      <c r="L612" s="474"/>
      <c r="M612" s="619"/>
      <c r="N612" s="474"/>
      <c r="O612" s="458"/>
      <c r="P612" s="508"/>
      <c r="Q612" s="490"/>
      <c r="R612" s="494"/>
      <c r="S612" s="482"/>
      <c r="T612" s="511"/>
      <c r="U612" s="42"/>
    </row>
    <row r="613" spans="2:21" s="360" customFormat="1" ht="12.75">
      <c r="B613" s="456"/>
      <c r="C613" s="477"/>
      <c r="D613" s="490"/>
      <c r="E613" s="506"/>
      <c r="F613" s="506"/>
      <c r="G613" s="506"/>
      <c r="H613" s="420"/>
      <c r="I613" s="506"/>
      <c r="J613" s="506"/>
      <c r="K613" s="490"/>
      <c r="L613" s="474"/>
      <c r="M613" s="619"/>
      <c r="N613" s="474"/>
      <c r="O613" s="458"/>
      <c r="P613" s="508"/>
      <c r="Q613" s="490"/>
      <c r="R613" s="494"/>
      <c r="S613" s="482"/>
      <c r="T613" s="563">
        <f>SUM(T614:T625)</f>
        <v>955000</v>
      </c>
      <c r="U613" s="42"/>
    </row>
    <row r="614" spans="2:21" s="360" customFormat="1" ht="12.75">
      <c r="B614" s="525" t="s">
        <v>1763</v>
      </c>
      <c r="C614" s="518">
        <v>41742</v>
      </c>
      <c r="D614" s="517" t="s">
        <v>137</v>
      </c>
      <c r="E614" s="506"/>
      <c r="F614" s="506"/>
      <c r="G614" s="506"/>
      <c r="H614" s="519" t="s">
        <v>1775</v>
      </c>
      <c r="I614" s="506"/>
      <c r="J614" s="506"/>
      <c r="K614" s="517" t="s">
        <v>1786</v>
      </c>
      <c r="L614" s="474"/>
      <c r="M614" s="527" t="s">
        <v>1890</v>
      </c>
      <c r="N614" s="474"/>
      <c r="O614" s="515" t="s">
        <v>1149</v>
      </c>
      <c r="P614" s="520" t="s">
        <v>1281</v>
      </c>
      <c r="Q614" s="517" t="s">
        <v>41</v>
      </c>
      <c r="R614" s="640">
        <v>150000</v>
      </c>
      <c r="S614" s="482"/>
      <c r="T614" s="643">
        <v>150000</v>
      </c>
      <c r="U614" s="42"/>
    </row>
    <row r="615" spans="2:21" s="360" customFormat="1" ht="25.5">
      <c r="B615" s="525" t="s">
        <v>1764</v>
      </c>
      <c r="C615" s="518">
        <v>41843</v>
      </c>
      <c r="D615" s="517" t="s">
        <v>86</v>
      </c>
      <c r="E615" s="506"/>
      <c r="F615" s="506"/>
      <c r="G615" s="506"/>
      <c r="H615" s="519" t="s">
        <v>1776</v>
      </c>
      <c r="I615" s="506"/>
      <c r="J615" s="506"/>
      <c r="K615" s="517" t="s">
        <v>1787</v>
      </c>
      <c r="L615" s="474"/>
      <c r="M615" s="527" t="s">
        <v>1791</v>
      </c>
      <c r="N615" s="474"/>
      <c r="O615" s="515" t="s">
        <v>1108</v>
      </c>
      <c r="P615" s="520" t="s">
        <v>1106</v>
      </c>
      <c r="Q615" s="517" t="s">
        <v>41</v>
      </c>
      <c r="R615" s="640">
        <v>15000</v>
      </c>
      <c r="S615" s="482"/>
      <c r="T615" s="643">
        <v>15000</v>
      </c>
      <c r="U615" s="42"/>
    </row>
    <row r="616" spans="2:21" s="360" customFormat="1" ht="25.5">
      <c r="B616" s="525" t="s">
        <v>1765</v>
      </c>
      <c r="C616" s="518">
        <v>41843</v>
      </c>
      <c r="D616" s="517" t="s">
        <v>157</v>
      </c>
      <c r="E616" s="506"/>
      <c r="F616" s="506"/>
      <c r="G616" s="506"/>
      <c r="H616" s="519" t="s">
        <v>1777</v>
      </c>
      <c r="I616" s="506"/>
      <c r="J616" s="506"/>
      <c r="K616" s="517" t="s">
        <v>1788</v>
      </c>
      <c r="L616" s="474"/>
      <c r="M616" s="527" t="s">
        <v>1792</v>
      </c>
      <c r="N616" s="474"/>
      <c r="O616" s="515" t="s">
        <v>1107</v>
      </c>
      <c r="P616" s="520" t="s">
        <v>1194</v>
      </c>
      <c r="Q616" s="517" t="s">
        <v>41</v>
      </c>
      <c r="R616" s="640">
        <v>120000</v>
      </c>
      <c r="S616" s="482"/>
      <c r="T616" s="643">
        <v>120000</v>
      </c>
      <c r="U616" s="42"/>
    </row>
    <row r="617" spans="2:21" s="360" customFormat="1" ht="25.5">
      <c r="B617" s="525" t="s">
        <v>1766</v>
      </c>
      <c r="C617" s="518">
        <v>41843</v>
      </c>
      <c r="D617" s="517" t="s">
        <v>157</v>
      </c>
      <c r="E617" s="506"/>
      <c r="F617" s="506"/>
      <c r="G617" s="506"/>
      <c r="H617" s="519" t="s">
        <v>1778</v>
      </c>
      <c r="I617" s="506"/>
      <c r="J617" s="506"/>
      <c r="K617" s="517" t="s">
        <v>1788</v>
      </c>
      <c r="L617" s="474"/>
      <c r="M617" s="527" t="s">
        <v>1792</v>
      </c>
      <c r="N617" s="474"/>
      <c r="O617" s="515" t="s">
        <v>1111</v>
      </c>
      <c r="P617" s="520" t="s">
        <v>1106</v>
      </c>
      <c r="Q617" s="517" t="s">
        <v>41</v>
      </c>
      <c r="R617" s="640">
        <v>35000</v>
      </c>
      <c r="S617" s="482"/>
      <c r="T617" s="643">
        <v>35000</v>
      </c>
      <c r="U617" s="42"/>
    </row>
    <row r="618" spans="2:21" s="360" customFormat="1" ht="25.5">
      <c r="B618" s="525" t="s">
        <v>1767</v>
      </c>
      <c r="C618" s="518">
        <v>41937</v>
      </c>
      <c r="D618" s="517" t="s">
        <v>86</v>
      </c>
      <c r="E618" s="506"/>
      <c r="F618" s="506"/>
      <c r="G618" s="506"/>
      <c r="H618" s="519" t="s">
        <v>1779</v>
      </c>
      <c r="I618" s="506"/>
      <c r="J618" s="506"/>
      <c r="K618" s="517" t="s">
        <v>1762</v>
      </c>
      <c r="L618" s="474"/>
      <c r="M618" s="527" t="s">
        <v>1791</v>
      </c>
      <c r="N618" s="474"/>
      <c r="O618" s="515" t="s">
        <v>1108</v>
      </c>
      <c r="P618" s="520" t="s">
        <v>1106</v>
      </c>
      <c r="Q618" s="517" t="s">
        <v>41</v>
      </c>
      <c r="R618" s="640">
        <v>25000</v>
      </c>
      <c r="S618" s="482"/>
      <c r="T618" s="643">
        <v>25000</v>
      </c>
      <c r="U618" s="42"/>
    </row>
    <row r="619" spans="2:21" s="360" customFormat="1" ht="25.5">
      <c r="B619" s="525" t="s">
        <v>1768</v>
      </c>
      <c r="C619" s="518">
        <v>41948</v>
      </c>
      <c r="D619" s="517" t="s">
        <v>86</v>
      </c>
      <c r="E619" s="506"/>
      <c r="F619" s="506"/>
      <c r="G619" s="506"/>
      <c r="H619" s="519" t="s">
        <v>1780</v>
      </c>
      <c r="I619" s="506"/>
      <c r="J619" s="506"/>
      <c r="K619" s="517" t="s">
        <v>1507</v>
      </c>
      <c r="L619" s="474"/>
      <c r="M619" s="527" t="s">
        <v>1791</v>
      </c>
      <c r="N619" s="474"/>
      <c r="O619" s="515" t="s">
        <v>1287</v>
      </c>
      <c r="P619" s="520" t="s">
        <v>1468</v>
      </c>
      <c r="Q619" s="517" t="s">
        <v>41</v>
      </c>
      <c r="R619" s="640">
        <v>15000</v>
      </c>
      <c r="S619" s="482"/>
      <c r="T619" s="643">
        <v>15000</v>
      </c>
      <c r="U619" s="42"/>
    </row>
    <row r="620" spans="2:21" s="360" customFormat="1" ht="25.5">
      <c r="B620" s="525" t="s">
        <v>1769</v>
      </c>
      <c r="C620" s="518">
        <v>41971</v>
      </c>
      <c r="D620" s="517" t="s">
        <v>86</v>
      </c>
      <c r="E620" s="506"/>
      <c r="F620" s="506"/>
      <c r="G620" s="506"/>
      <c r="H620" s="519" t="s">
        <v>1781</v>
      </c>
      <c r="I620" s="506"/>
      <c r="J620" s="506"/>
      <c r="K620" s="517" t="s">
        <v>1762</v>
      </c>
      <c r="L620" s="474"/>
      <c r="M620" s="527" t="s">
        <v>1791</v>
      </c>
      <c r="N620" s="474"/>
      <c r="O620" s="515" t="s">
        <v>1108</v>
      </c>
      <c r="P620" s="520" t="s">
        <v>1106</v>
      </c>
      <c r="Q620" s="517" t="s">
        <v>41</v>
      </c>
      <c r="R620" s="640">
        <v>25000</v>
      </c>
      <c r="S620" s="482"/>
      <c r="T620" s="643">
        <v>25000</v>
      </c>
      <c r="U620" s="42"/>
    </row>
    <row r="621" spans="2:21" s="360" customFormat="1" ht="25.5">
      <c r="B621" s="525" t="s">
        <v>1770</v>
      </c>
      <c r="C621" s="518">
        <v>41971</v>
      </c>
      <c r="D621" s="517" t="s">
        <v>86</v>
      </c>
      <c r="E621" s="506"/>
      <c r="F621" s="506"/>
      <c r="G621" s="506"/>
      <c r="H621" s="519" t="s">
        <v>1782</v>
      </c>
      <c r="I621" s="506"/>
      <c r="J621" s="506"/>
      <c r="K621" s="517" t="s">
        <v>1762</v>
      </c>
      <c r="L621" s="474"/>
      <c r="M621" s="527" t="s">
        <v>1791</v>
      </c>
      <c r="N621" s="474"/>
      <c r="O621" s="515" t="s">
        <v>1108</v>
      </c>
      <c r="P621" s="520" t="s">
        <v>1106</v>
      </c>
      <c r="Q621" s="517" t="s">
        <v>41</v>
      </c>
      <c r="R621" s="640">
        <v>25000</v>
      </c>
      <c r="S621" s="482"/>
      <c r="T621" s="643">
        <v>25000</v>
      </c>
      <c r="U621" s="42"/>
    </row>
    <row r="622" spans="2:21" s="360" customFormat="1" ht="25.5">
      <c r="B622" s="525" t="s">
        <v>1771</v>
      </c>
      <c r="C622" s="518">
        <v>42000</v>
      </c>
      <c r="D622" s="517" t="s">
        <v>86</v>
      </c>
      <c r="E622" s="506"/>
      <c r="F622" s="506"/>
      <c r="G622" s="506"/>
      <c r="H622" s="519" t="s">
        <v>1783</v>
      </c>
      <c r="I622" s="506"/>
      <c r="J622" s="506"/>
      <c r="K622" s="517" t="s">
        <v>1789</v>
      </c>
      <c r="L622" s="474"/>
      <c r="M622" s="527" t="s">
        <v>1791</v>
      </c>
      <c r="N622" s="474"/>
      <c r="O622" s="528" t="s">
        <v>1795</v>
      </c>
      <c r="P622" s="529" t="s">
        <v>1796</v>
      </c>
      <c r="Q622" s="517" t="s">
        <v>41</v>
      </c>
      <c r="R622" s="640">
        <v>300000</v>
      </c>
      <c r="S622" s="482"/>
      <c r="T622" s="643">
        <v>300000</v>
      </c>
      <c r="U622" s="42"/>
    </row>
    <row r="623" spans="2:21" s="360" customFormat="1" ht="25.5">
      <c r="B623" s="525" t="s">
        <v>1772</v>
      </c>
      <c r="C623" s="518">
        <v>42000</v>
      </c>
      <c r="D623" s="517" t="s">
        <v>137</v>
      </c>
      <c r="E623" s="506"/>
      <c r="F623" s="506"/>
      <c r="G623" s="506"/>
      <c r="H623" s="519" t="s">
        <v>1783</v>
      </c>
      <c r="I623" s="506"/>
      <c r="J623" s="506"/>
      <c r="K623" s="517" t="s">
        <v>1789</v>
      </c>
      <c r="L623" s="474"/>
      <c r="M623" s="527" t="s">
        <v>1891</v>
      </c>
      <c r="N623" s="474"/>
      <c r="O623" s="515" t="s">
        <v>1196</v>
      </c>
      <c r="P623" s="520" t="s">
        <v>605</v>
      </c>
      <c r="Q623" s="517" t="s">
        <v>41</v>
      </c>
      <c r="R623" s="640">
        <v>150000</v>
      </c>
      <c r="S623" s="482"/>
      <c r="T623" s="643">
        <v>150000</v>
      </c>
      <c r="U623" s="42"/>
    </row>
    <row r="624" spans="2:21" s="360" customFormat="1" ht="38.25">
      <c r="B624" s="525" t="s">
        <v>1773</v>
      </c>
      <c r="C624" s="518">
        <v>42000</v>
      </c>
      <c r="D624" s="517" t="s">
        <v>157</v>
      </c>
      <c r="E624" s="506"/>
      <c r="F624" s="506"/>
      <c r="G624" s="506"/>
      <c r="H624" s="519" t="s">
        <v>1784</v>
      </c>
      <c r="I624" s="506"/>
      <c r="J624" s="506"/>
      <c r="K624" s="517" t="s">
        <v>128</v>
      </c>
      <c r="L624" s="474"/>
      <c r="M624" s="527" t="s">
        <v>1793</v>
      </c>
      <c r="N624" s="474"/>
      <c r="O624" s="515" t="s">
        <v>1053</v>
      </c>
      <c r="P624" s="520" t="s">
        <v>1283</v>
      </c>
      <c r="Q624" s="517" t="s">
        <v>41</v>
      </c>
      <c r="R624" s="640">
        <v>55000</v>
      </c>
      <c r="S624" s="482"/>
      <c r="T624" s="643">
        <v>55000</v>
      </c>
      <c r="U624" s="42"/>
    </row>
    <row r="625" spans="2:21" s="360" customFormat="1" ht="25.5">
      <c r="B625" s="525" t="s">
        <v>1774</v>
      </c>
      <c r="C625" s="518">
        <v>42000</v>
      </c>
      <c r="D625" s="517" t="s">
        <v>86</v>
      </c>
      <c r="E625" s="506"/>
      <c r="F625" s="506"/>
      <c r="G625" s="506"/>
      <c r="H625" s="519" t="s">
        <v>1785</v>
      </c>
      <c r="I625" s="506"/>
      <c r="J625" s="506"/>
      <c r="K625" s="517" t="s">
        <v>1790</v>
      </c>
      <c r="L625" s="474"/>
      <c r="M625" s="527" t="s">
        <v>1791</v>
      </c>
      <c r="N625" s="474"/>
      <c r="O625" s="528" t="s">
        <v>1797</v>
      </c>
      <c r="P625" s="529" t="s">
        <v>1798</v>
      </c>
      <c r="Q625" s="517" t="s">
        <v>41</v>
      </c>
      <c r="R625" s="640">
        <v>40000</v>
      </c>
      <c r="S625" s="482"/>
      <c r="T625" s="643">
        <v>40000</v>
      </c>
      <c r="U625" s="42"/>
    </row>
    <row r="626" spans="2:21" s="360" customFormat="1" ht="12.75">
      <c r="B626" s="456"/>
      <c r="C626" s="477"/>
      <c r="D626" s="412"/>
      <c r="E626" s="506"/>
      <c r="F626" s="506"/>
      <c r="G626" s="506"/>
      <c r="H626" s="565"/>
      <c r="I626" s="506"/>
      <c r="J626" s="506"/>
      <c r="K626" s="456"/>
      <c r="L626" s="474"/>
      <c r="M626" s="619"/>
      <c r="N626" s="474"/>
      <c r="O626" s="480"/>
      <c r="P626" s="508"/>
      <c r="Q626" s="490"/>
      <c r="R626" s="494"/>
      <c r="S626" s="474"/>
      <c r="T626" s="511"/>
      <c r="U626" s="42"/>
    </row>
    <row r="627" spans="2:21" s="360" customFormat="1" ht="13.5" thickBot="1">
      <c r="B627" s="644"/>
      <c r="C627" s="567"/>
      <c r="D627" s="290"/>
      <c r="E627" s="290"/>
      <c r="F627" s="290"/>
      <c r="G627" s="290"/>
      <c r="H627" s="568"/>
      <c r="I627" s="288"/>
      <c r="J627" s="288"/>
      <c r="K627" s="288"/>
      <c r="L627" s="569"/>
      <c r="M627" s="355"/>
      <c r="N627" s="263"/>
      <c r="O627" s="263"/>
      <c r="P627" s="645"/>
      <c r="Q627" s="355"/>
      <c r="R627" s="570"/>
      <c r="S627" s="570"/>
      <c r="T627" s="571"/>
      <c r="U627" s="42"/>
    </row>
    <row r="628" spans="2:21" s="360" customFormat="1" ht="13.5" thickTop="1">
      <c r="B628" s="396"/>
      <c r="C628" s="408"/>
      <c r="D628" s="628"/>
      <c r="E628" s="551"/>
      <c r="F628" s="551"/>
      <c r="G628" s="551"/>
      <c r="H628" s="401"/>
      <c r="I628" s="551"/>
      <c r="J628" s="551"/>
      <c r="K628" s="396"/>
      <c r="L628" s="268"/>
      <c r="M628" s="629"/>
      <c r="N628" s="268"/>
      <c r="O628" s="398"/>
      <c r="P628" s="399"/>
      <c r="Q628" s="628"/>
      <c r="R628" s="630"/>
      <c r="S628" s="268"/>
      <c r="T628" s="631"/>
      <c r="U628" s="42"/>
    </row>
    <row r="629" spans="2:21" s="360" customFormat="1" ht="18">
      <c r="B629" s="632">
        <v>2015</v>
      </c>
      <c r="C629" s="405"/>
      <c r="D629" s="389"/>
      <c r="E629" s="557"/>
      <c r="F629" s="557"/>
      <c r="G629" s="557"/>
      <c r="H629" s="402"/>
      <c r="I629" s="557"/>
      <c r="J629" s="557"/>
      <c r="K629" s="324"/>
      <c r="L629" s="220"/>
      <c r="M629" s="633"/>
      <c r="N629" s="220"/>
      <c r="O629" s="312"/>
      <c r="P629" s="400"/>
      <c r="Q629" s="389"/>
      <c r="R629" s="634"/>
      <c r="S629" s="220"/>
      <c r="T629" s="635">
        <f>+T632+T637</f>
        <v>468800.472953</v>
      </c>
      <c r="U629" s="42"/>
    </row>
    <row r="630" spans="2:21" s="360" customFormat="1" ht="12.75">
      <c r="B630" s="324"/>
      <c r="C630" s="405"/>
      <c r="D630" s="389"/>
      <c r="E630" s="557"/>
      <c r="F630" s="557"/>
      <c r="G630" s="557"/>
      <c r="H630" s="402"/>
      <c r="I630" s="557"/>
      <c r="J630" s="557"/>
      <c r="K630" s="324"/>
      <c r="L630" s="220"/>
      <c r="M630" s="633"/>
      <c r="N630" s="220"/>
      <c r="O630" s="312"/>
      <c r="P630" s="400"/>
      <c r="Q630" s="389"/>
      <c r="R630" s="634"/>
      <c r="S630" s="220"/>
      <c r="T630" s="636"/>
      <c r="U630" s="42"/>
    </row>
    <row r="631" spans="2:21" s="360" customFormat="1" ht="12.75">
      <c r="B631" s="588" t="s">
        <v>803</v>
      </c>
      <c r="C631" s="530"/>
      <c r="D631" s="490"/>
      <c r="E631" s="506"/>
      <c r="F631" s="506"/>
      <c r="G631" s="506"/>
      <c r="H631" s="420"/>
      <c r="I631" s="506"/>
      <c r="J631" s="506"/>
      <c r="K631" s="456"/>
      <c r="L631" s="474"/>
      <c r="M631" s="619"/>
      <c r="N631" s="474"/>
      <c r="O631" s="458"/>
      <c r="P631" s="508"/>
      <c r="Q631" s="389"/>
      <c r="R631" s="634"/>
      <c r="S631" s="220"/>
      <c r="T631" s="636"/>
      <c r="U631" s="42"/>
    </row>
    <row r="632" spans="2:21" s="360" customFormat="1" ht="12.75">
      <c r="B632" s="456"/>
      <c r="C632" s="530"/>
      <c r="D632" s="490"/>
      <c r="E632" s="506"/>
      <c r="F632" s="506"/>
      <c r="G632" s="506"/>
      <c r="H632" s="420"/>
      <c r="I632" s="506"/>
      <c r="J632" s="506"/>
      <c r="K632" s="456"/>
      <c r="L632" s="474"/>
      <c r="M632" s="619"/>
      <c r="N632" s="474"/>
      <c r="O632" s="458"/>
      <c r="P632" s="508"/>
      <c r="Q632" s="389"/>
      <c r="R632" s="634"/>
      <c r="S632" s="220"/>
      <c r="T632" s="563">
        <f>SUM(T633:T634)</f>
        <v>68800.472953</v>
      </c>
      <c r="U632" s="42"/>
    </row>
    <row r="633" spans="2:21" s="360" customFormat="1" ht="15.75" customHeight="1">
      <c r="B633" s="531" t="s">
        <v>1799</v>
      </c>
      <c r="C633" s="532">
        <v>42360</v>
      </c>
      <c r="D633" s="517" t="s">
        <v>386</v>
      </c>
      <c r="E633" s="506"/>
      <c r="F633" s="506"/>
      <c r="G633" s="506"/>
      <c r="H633" s="533" t="s">
        <v>1801</v>
      </c>
      <c r="I633" s="506"/>
      <c r="J633" s="506"/>
      <c r="K633" s="534" t="s">
        <v>104</v>
      </c>
      <c r="L633" s="474"/>
      <c r="M633" s="641" t="s">
        <v>1432</v>
      </c>
      <c r="N633" s="474"/>
      <c r="O633" s="535" t="s">
        <v>1149</v>
      </c>
      <c r="P633" s="646" t="s">
        <v>1281</v>
      </c>
      <c r="Q633" s="517" t="s">
        <v>41</v>
      </c>
      <c r="R633" s="647">
        <f>44800472.953/1000</f>
        <v>44800.472953000004</v>
      </c>
      <c r="S633" s="648" t="s">
        <v>1821</v>
      </c>
      <c r="T633" s="583">
        <f>44800472.953/1000</f>
        <v>44800.472953000004</v>
      </c>
      <c r="U633" s="42"/>
    </row>
    <row r="634" spans="2:21" s="360" customFormat="1" ht="38.25">
      <c r="B634" s="531" t="s">
        <v>1800</v>
      </c>
      <c r="C634" s="532">
        <v>42368</v>
      </c>
      <c r="D634" s="517" t="s">
        <v>386</v>
      </c>
      <c r="E634" s="506"/>
      <c r="F634" s="506"/>
      <c r="G634" s="506"/>
      <c r="H634" s="533" t="s">
        <v>1802</v>
      </c>
      <c r="I634" s="506"/>
      <c r="J634" s="506"/>
      <c r="K634" s="534" t="s">
        <v>128</v>
      </c>
      <c r="L634" s="474"/>
      <c r="M634" s="641" t="s">
        <v>1432</v>
      </c>
      <c r="N634" s="474"/>
      <c r="O634" s="535" t="s">
        <v>1803</v>
      </c>
      <c r="P634" s="646" t="s">
        <v>1046</v>
      </c>
      <c r="Q634" s="517" t="s">
        <v>41</v>
      </c>
      <c r="R634" s="647">
        <f>24000000/1000</f>
        <v>24000</v>
      </c>
      <c r="S634" s="558"/>
      <c r="T634" s="583">
        <f>24000000/1000</f>
        <v>24000</v>
      </c>
      <c r="U634" s="42"/>
    </row>
    <row r="635" spans="2:21" s="360" customFormat="1" ht="12.75">
      <c r="B635" s="456"/>
      <c r="C635" s="530"/>
      <c r="D635" s="490"/>
      <c r="E635" s="506"/>
      <c r="F635" s="506"/>
      <c r="G635" s="506"/>
      <c r="H635" s="420"/>
      <c r="I635" s="506"/>
      <c r="J635" s="506"/>
      <c r="K635" s="456"/>
      <c r="L635" s="474"/>
      <c r="M635" s="619"/>
      <c r="N635" s="474"/>
      <c r="O635" s="458"/>
      <c r="P635" s="508"/>
      <c r="Q635" s="389"/>
      <c r="R635" s="358"/>
      <c r="S635" s="558"/>
      <c r="T635" s="583"/>
      <c r="U635" s="42"/>
    </row>
    <row r="636" spans="2:21" s="360" customFormat="1" ht="12.75">
      <c r="B636" s="602" t="s">
        <v>634</v>
      </c>
      <c r="C636" s="530"/>
      <c r="D636" s="490"/>
      <c r="E636" s="506"/>
      <c r="F636" s="506"/>
      <c r="G636" s="506"/>
      <c r="H636" s="420"/>
      <c r="I636" s="506"/>
      <c r="J636" s="506"/>
      <c r="K636" s="456"/>
      <c r="L636" s="474"/>
      <c r="M636" s="619"/>
      <c r="N636" s="474"/>
      <c r="O636" s="458"/>
      <c r="P636" s="508"/>
      <c r="Q636" s="389"/>
      <c r="R636" s="358"/>
      <c r="S636" s="558"/>
      <c r="T636" s="583"/>
      <c r="U636" s="42"/>
    </row>
    <row r="637" spans="2:21" s="360" customFormat="1" ht="12.75">
      <c r="B637" s="456"/>
      <c r="C637" s="530"/>
      <c r="D637" s="490"/>
      <c r="E637" s="506"/>
      <c r="F637" s="506"/>
      <c r="G637" s="506"/>
      <c r="H637" s="420"/>
      <c r="I637" s="506"/>
      <c r="J637" s="506"/>
      <c r="K637" s="456"/>
      <c r="L637" s="474"/>
      <c r="M637" s="619"/>
      <c r="N637" s="474"/>
      <c r="O637" s="458"/>
      <c r="P637" s="508"/>
      <c r="Q637" s="389"/>
      <c r="R637" s="358"/>
      <c r="S637" s="558"/>
      <c r="T637" s="563">
        <f>SUM(T638:T640)</f>
        <v>400000</v>
      </c>
      <c r="U637" s="42"/>
    </row>
    <row r="638" spans="2:21" s="360" customFormat="1" ht="25.5">
      <c r="B638" s="531" t="s">
        <v>1804</v>
      </c>
      <c r="C638" s="532">
        <v>42356</v>
      </c>
      <c r="D638" s="517" t="s">
        <v>157</v>
      </c>
      <c r="E638" s="506"/>
      <c r="F638" s="506"/>
      <c r="G638" s="506"/>
      <c r="H638" s="533" t="s">
        <v>1806</v>
      </c>
      <c r="I638" s="506"/>
      <c r="J638" s="506"/>
      <c r="K638" s="534" t="s">
        <v>1808</v>
      </c>
      <c r="L638" s="474"/>
      <c r="M638" s="649" t="s">
        <v>1810</v>
      </c>
      <c r="N638" s="474"/>
      <c r="O638" s="535" t="s">
        <v>1053</v>
      </c>
      <c r="P638" s="646" t="s">
        <v>1284</v>
      </c>
      <c r="Q638" s="517" t="s">
        <v>41</v>
      </c>
      <c r="R638" s="650">
        <f>300000000/1000</f>
        <v>300000</v>
      </c>
      <c r="S638" s="558"/>
      <c r="T638" s="651">
        <v>300000</v>
      </c>
      <c r="U638" s="42"/>
    </row>
    <row r="639" spans="2:21" s="360" customFormat="1" ht="25.5">
      <c r="B639" s="531" t="s">
        <v>1805</v>
      </c>
      <c r="C639" s="532">
        <v>42368</v>
      </c>
      <c r="D639" s="517" t="s">
        <v>86</v>
      </c>
      <c r="E639" s="506"/>
      <c r="F639" s="506"/>
      <c r="G639" s="506"/>
      <c r="H639" s="533" t="s">
        <v>1807</v>
      </c>
      <c r="I639" s="506"/>
      <c r="J639" s="506"/>
      <c r="K639" s="534" t="s">
        <v>1809</v>
      </c>
      <c r="L639" s="474"/>
      <c r="M639" s="649" t="s">
        <v>1811</v>
      </c>
      <c r="N639" s="474"/>
      <c r="O639" s="535" t="s">
        <v>1425</v>
      </c>
      <c r="P639" s="646" t="s">
        <v>1813</v>
      </c>
      <c r="Q639" s="517" t="s">
        <v>41</v>
      </c>
      <c r="R639" s="650">
        <f>50000000/1000</f>
        <v>50000</v>
      </c>
      <c r="S639" s="558"/>
      <c r="T639" s="651">
        <v>50000</v>
      </c>
      <c r="U639" s="42"/>
    </row>
    <row r="640" spans="2:21" s="360" customFormat="1" ht="25.5">
      <c r="B640" s="531" t="s">
        <v>1805</v>
      </c>
      <c r="C640" s="532">
        <v>42368</v>
      </c>
      <c r="D640" s="517" t="s">
        <v>157</v>
      </c>
      <c r="E640" s="506"/>
      <c r="F640" s="506"/>
      <c r="G640" s="506"/>
      <c r="H640" s="533" t="s">
        <v>1807</v>
      </c>
      <c r="I640" s="506"/>
      <c r="J640" s="506"/>
      <c r="K640" s="534" t="s">
        <v>1809</v>
      </c>
      <c r="L640" s="474"/>
      <c r="M640" s="649" t="s">
        <v>1812</v>
      </c>
      <c r="N640" s="474"/>
      <c r="O640" s="535" t="s">
        <v>1425</v>
      </c>
      <c r="P640" s="646" t="s">
        <v>1813</v>
      </c>
      <c r="Q640" s="517" t="s">
        <v>41</v>
      </c>
      <c r="R640" s="650">
        <f>50000000/1000</f>
        <v>50000</v>
      </c>
      <c r="S640" s="558"/>
      <c r="T640" s="651">
        <v>50000</v>
      </c>
      <c r="U640" s="42"/>
    </row>
    <row r="641" spans="2:21" s="360" customFormat="1" ht="12.75">
      <c r="B641" s="397"/>
      <c r="C641" s="406"/>
      <c r="D641" s="652"/>
      <c r="E641" s="557"/>
      <c r="F641" s="557"/>
      <c r="G641" s="557"/>
      <c r="H641" s="390"/>
      <c r="I641" s="557"/>
      <c r="J641" s="557"/>
      <c r="K641" s="397"/>
      <c r="L641" s="220"/>
      <c r="M641" s="625"/>
      <c r="N641" s="220"/>
      <c r="O641" s="356"/>
      <c r="P641" s="388"/>
      <c r="Q641" s="517"/>
      <c r="R641" s="647"/>
      <c r="S641" s="558"/>
      <c r="T641" s="651"/>
      <c r="U641" s="42"/>
    </row>
    <row r="642" spans="2:21" s="360" customFormat="1" ht="13.5" thickBot="1">
      <c r="B642" s="407"/>
      <c r="C642" s="409"/>
      <c r="D642" s="653"/>
      <c r="E642" s="290"/>
      <c r="F642" s="290"/>
      <c r="G642" s="290"/>
      <c r="H642" s="395"/>
      <c r="I642" s="290"/>
      <c r="J642" s="290"/>
      <c r="K642" s="407"/>
      <c r="L642" s="569"/>
      <c r="M642" s="654"/>
      <c r="N642" s="569"/>
      <c r="O642" s="410"/>
      <c r="P642" s="655"/>
      <c r="Q642" s="656"/>
      <c r="R642" s="657"/>
      <c r="S642" s="570"/>
      <c r="T642" s="658"/>
      <c r="U642" s="42"/>
    </row>
    <row r="643" spans="2:21" s="360" customFormat="1" ht="13.5" thickTop="1">
      <c r="B643" s="396"/>
      <c r="C643" s="408"/>
      <c r="D643" s="628"/>
      <c r="E643" s="551"/>
      <c r="F643" s="551"/>
      <c r="G643" s="551"/>
      <c r="H643" s="401"/>
      <c r="I643" s="551"/>
      <c r="J643" s="551"/>
      <c r="K643" s="396"/>
      <c r="L643" s="268"/>
      <c r="M643" s="629"/>
      <c r="N643" s="268"/>
      <c r="O643" s="398"/>
      <c r="P643" s="399"/>
      <c r="Q643" s="628"/>
      <c r="R643" s="630"/>
      <c r="S643" s="268"/>
      <c r="T643" s="631"/>
      <c r="U643" s="42"/>
    </row>
    <row r="644" spans="2:21" s="360" customFormat="1" ht="18">
      <c r="B644" s="632">
        <v>2016</v>
      </c>
      <c r="C644" s="405"/>
      <c r="D644" s="389"/>
      <c r="E644" s="557"/>
      <c r="F644" s="557"/>
      <c r="G644" s="557"/>
      <c r="H644" s="402"/>
      <c r="I644" s="557"/>
      <c r="J644" s="557"/>
      <c r="K644" s="324"/>
      <c r="L644" s="220"/>
      <c r="M644" s="633"/>
      <c r="N644" s="220"/>
      <c r="O644" s="312"/>
      <c r="P644" s="400"/>
      <c r="Q644" s="389"/>
      <c r="R644" s="634"/>
      <c r="S644" s="220"/>
      <c r="T644" s="635">
        <f>+T650+T655+T646</f>
        <v>2090194.1010401659</v>
      </c>
      <c r="U644" s="42"/>
    </row>
    <row r="645" spans="2:21" s="360" customFormat="1" ht="12.75">
      <c r="B645" s="324"/>
      <c r="C645" s="405"/>
      <c r="D645" s="389"/>
      <c r="E645" s="557"/>
      <c r="F645" s="557"/>
      <c r="G645" s="557"/>
      <c r="H645" s="402"/>
      <c r="I645" s="557"/>
      <c r="J645" s="557"/>
      <c r="K645" s="324"/>
      <c r="L645" s="220"/>
      <c r="M645" s="633"/>
      <c r="N645" s="220"/>
      <c r="O645" s="312"/>
      <c r="P645" s="400"/>
      <c r="Q645" s="389"/>
      <c r="R645" s="634"/>
      <c r="S645" s="220"/>
      <c r="T645" s="636"/>
      <c r="U645" s="42"/>
    </row>
    <row r="646" spans="2:21" s="360" customFormat="1" ht="12.75">
      <c r="B646" s="588" t="s">
        <v>904</v>
      </c>
      <c r="C646" s="530"/>
      <c r="D646" s="490"/>
      <c r="E646" s="506"/>
      <c r="F646" s="506"/>
      <c r="G646" s="506"/>
      <c r="H646" s="420"/>
      <c r="I646" s="506"/>
      <c r="J646" s="506"/>
      <c r="K646" s="456"/>
      <c r="L646" s="474"/>
      <c r="M646" s="619"/>
      <c r="N646" s="474"/>
      <c r="O646" s="458"/>
      <c r="P646" s="508"/>
      <c r="Q646" s="490"/>
      <c r="R646" s="637"/>
      <c r="S646" s="474"/>
      <c r="T646" s="563">
        <f>+T647</f>
        <v>1285000</v>
      </c>
      <c r="U646" s="42"/>
    </row>
    <row r="647" spans="2:21" s="360" customFormat="1" ht="12.75">
      <c r="B647" s="536" t="s">
        <v>1854</v>
      </c>
      <c r="C647" s="537">
        <v>42344</v>
      </c>
      <c r="D647" s="517" t="s">
        <v>1855</v>
      </c>
      <c r="E647" s="506"/>
      <c r="F647" s="506"/>
      <c r="G647" s="506"/>
      <c r="H647" s="519" t="s">
        <v>1856</v>
      </c>
      <c r="I647" s="506"/>
      <c r="J647" s="506"/>
      <c r="K647" s="521" t="s">
        <v>36</v>
      </c>
      <c r="L647" s="474"/>
      <c r="M647" s="659" t="s">
        <v>1862</v>
      </c>
      <c r="N647" s="474"/>
      <c r="O647" s="660" t="s">
        <v>955</v>
      </c>
      <c r="P647" s="661" t="s">
        <v>1864</v>
      </c>
      <c r="Q647" s="517" t="s">
        <v>41</v>
      </c>
      <c r="R647" s="640">
        <v>1285000</v>
      </c>
      <c r="S647" s="474"/>
      <c r="T647" s="511">
        <f>R647</f>
        <v>1285000</v>
      </c>
      <c r="U647" s="42"/>
    </row>
    <row r="648" spans="2:21" s="360" customFormat="1" ht="12.75">
      <c r="B648" s="456"/>
      <c r="C648" s="530"/>
      <c r="D648" s="490"/>
      <c r="E648" s="506"/>
      <c r="F648" s="506"/>
      <c r="G648" s="506"/>
      <c r="H648" s="420"/>
      <c r="I648" s="506"/>
      <c r="J648" s="506"/>
      <c r="K648" s="456"/>
      <c r="L648" s="474"/>
      <c r="M648" s="619"/>
      <c r="N648" s="474"/>
      <c r="O648" s="458"/>
      <c r="P648" s="508"/>
      <c r="Q648" s="490"/>
      <c r="R648" s="494"/>
      <c r="S648" s="474"/>
      <c r="T648" s="638"/>
      <c r="U648" s="42"/>
    </row>
    <row r="649" spans="2:21" s="360" customFormat="1" ht="12.75">
      <c r="B649" s="588" t="s">
        <v>803</v>
      </c>
      <c r="C649" s="530"/>
      <c r="D649" s="490"/>
      <c r="E649" s="506"/>
      <c r="F649" s="506"/>
      <c r="G649" s="506"/>
      <c r="H649" s="420"/>
      <c r="I649" s="506"/>
      <c r="J649" s="506"/>
      <c r="K649" s="456"/>
      <c r="L649" s="474"/>
      <c r="M649" s="619"/>
      <c r="N649" s="474"/>
      <c r="O649" s="458"/>
      <c r="P649" s="508"/>
      <c r="Q649" s="490"/>
      <c r="R649" s="494"/>
      <c r="S649" s="474"/>
      <c r="T649" s="638"/>
      <c r="U649" s="42"/>
    </row>
    <row r="650" spans="2:21" s="360" customFormat="1" ht="12.75">
      <c r="B650" s="456"/>
      <c r="C650" s="530"/>
      <c r="D650" s="490"/>
      <c r="E650" s="506"/>
      <c r="F650" s="506"/>
      <c r="G650" s="506"/>
      <c r="H650" s="420"/>
      <c r="I650" s="506"/>
      <c r="J650" s="506"/>
      <c r="K650" s="456"/>
      <c r="L650" s="474"/>
      <c r="M650" s="619"/>
      <c r="N650" s="474"/>
      <c r="O650" s="458"/>
      <c r="P650" s="508"/>
      <c r="Q650" s="490"/>
      <c r="R650" s="494"/>
      <c r="S650" s="474"/>
      <c r="T650" s="563">
        <f>SUM(T651:T652)</f>
        <v>326596.529080166</v>
      </c>
      <c r="U650" s="42"/>
    </row>
    <row r="651" spans="2:22" s="360" customFormat="1" ht="27" customHeight="1">
      <c r="B651" s="536" t="s">
        <v>1823</v>
      </c>
      <c r="C651" s="537">
        <v>42621</v>
      </c>
      <c r="D651" s="517" t="s">
        <v>386</v>
      </c>
      <c r="E651" s="506"/>
      <c r="F651" s="506"/>
      <c r="G651" s="506"/>
      <c r="H651" s="519" t="s">
        <v>1826</v>
      </c>
      <c r="I651" s="506"/>
      <c r="J651" s="506"/>
      <c r="K651" s="521" t="s">
        <v>1808</v>
      </c>
      <c r="L651" s="474"/>
      <c r="M651" s="662">
        <v>0.0147</v>
      </c>
      <c r="N651" s="474"/>
      <c r="O651" s="535" t="s">
        <v>1149</v>
      </c>
      <c r="P651" s="538" t="s">
        <v>1425</v>
      </c>
      <c r="Q651" s="517" t="s">
        <v>908</v>
      </c>
      <c r="R651" s="640">
        <f>192270000/1000</f>
        <v>192270</v>
      </c>
      <c r="S651" s="663"/>
      <c r="T651" s="643">
        <f>200000000/1000</f>
        <v>200000</v>
      </c>
      <c r="U651" s="416"/>
      <c r="V651" s="416">
        <v>200000000</v>
      </c>
    </row>
    <row r="652" spans="2:22" s="360" customFormat="1" ht="25.5">
      <c r="B652" s="536" t="s">
        <v>1824</v>
      </c>
      <c r="C652" s="537">
        <v>42732</v>
      </c>
      <c r="D652" s="517" t="s">
        <v>1825</v>
      </c>
      <c r="E652" s="506"/>
      <c r="F652" s="506"/>
      <c r="G652" s="506"/>
      <c r="H652" s="519" t="s">
        <v>1826</v>
      </c>
      <c r="I652" s="506"/>
      <c r="J652" s="506"/>
      <c r="K652" s="521" t="s">
        <v>1808</v>
      </c>
      <c r="L652" s="474"/>
      <c r="M652" s="619" t="s">
        <v>1892</v>
      </c>
      <c r="N652" s="474"/>
      <c r="O652" s="535" t="s">
        <v>1111</v>
      </c>
      <c r="P652" s="538" t="s">
        <v>1281</v>
      </c>
      <c r="Q652" s="517" t="s">
        <v>908</v>
      </c>
      <c r="R652" s="640">
        <f>120483000/1000</f>
        <v>120483</v>
      </c>
      <c r="S652" s="548"/>
      <c r="T652" s="643">
        <f>126596529.080166/1000</f>
        <v>126596.529080166</v>
      </c>
      <c r="U652" s="416"/>
      <c r="V652" s="416">
        <f>+R652*T652</f>
        <v>15252729613.16564</v>
      </c>
    </row>
    <row r="653" spans="2:21" s="360" customFormat="1" ht="12.75">
      <c r="B653" s="456"/>
      <c r="C653" s="530"/>
      <c r="D653" s="490"/>
      <c r="E653" s="506"/>
      <c r="F653" s="506"/>
      <c r="G653" s="506"/>
      <c r="H653" s="420"/>
      <c r="I653" s="506"/>
      <c r="J653" s="506"/>
      <c r="K653" s="456"/>
      <c r="L653" s="474"/>
      <c r="M653" s="619"/>
      <c r="N653" s="474"/>
      <c r="O653" s="458"/>
      <c r="P653" s="508"/>
      <c r="Q653" s="490"/>
      <c r="R653" s="494"/>
      <c r="S653" s="482"/>
      <c r="T653" s="511"/>
      <c r="U653" s="42"/>
    </row>
    <row r="654" spans="2:21" s="360" customFormat="1" ht="12.75">
      <c r="B654" s="602" t="s">
        <v>634</v>
      </c>
      <c r="C654" s="530"/>
      <c r="D654" s="490"/>
      <c r="E654" s="506"/>
      <c r="F654" s="506"/>
      <c r="G654" s="506"/>
      <c r="H654" s="420"/>
      <c r="I654" s="506"/>
      <c r="J654" s="506"/>
      <c r="K654" s="456"/>
      <c r="L654" s="474"/>
      <c r="M654" s="619"/>
      <c r="N654" s="474"/>
      <c r="O654" s="458"/>
      <c r="P654" s="508"/>
      <c r="Q654" s="490"/>
      <c r="R654" s="494"/>
      <c r="S654" s="482"/>
      <c r="T654" s="511"/>
      <c r="U654" s="42"/>
    </row>
    <row r="655" spans="2:21" s="360" customFormat="1" ht="12.75">
      <c r="B655" s="456"/>
      <c r="C655" s="530"/>
      <c r="D655" s="490"/>
      <c r="E655" s="506"/>
      <c r="F655" s="506"/>
      <c r="G655" s="506"/>
      <c r="H655" s="420"/>
      <c r="I655" s="506"/>
      <c r="J655" s="506"/>
      <c r="K655" s="456"/>
      <c r="L655" s="474"/>
      <c r="M655" s="619"/>
      <c r="N655" s="474"/>
      <c r="O655" s="458"/>
      <c r="P655" s="508"/>
      <c r="Q655" s="490"/>
      <c r="R655" s="494"/>
      <c r="S655" s="482"/>
      <c r="T655" s="563">
        <f>SUM(T656:T664)</f>
        <v>478597.57196</v>
      </c>
      <c r="U655" s="42"/>
    </row>
    <row r="656" spans="2:21" s="360" customFormat="1" ht="25.5">
      <c r="B656" s="536" t="s">
        <v>1832</v>
      </c>
      <c r="C656" s="537">
        <v>42488</v>
      </c>
      <c r="D656" s="517" t="s">
        <v>86</v>
      </c>
      <c r="E656" s="506"/>
      <c r="F656" s="506"/>
      <c r="G656" s="506"/>
      <c r="H656" s="519" t="s">
        <v>1836</v>
      </c>
      <c r="I656" s="506"/>
      <c r="J656" s="506"/>
      <c r="K656" s="521" t="s">
        <v>937</v>
      </c>
      <c r="L656" s="474"/>
      <c r="M656" s="664" t="s">
        <v>1811</v>
      </c>
      <c r="N656" s="474"/>
      <c r="O656" s="535" t="s">
        <v>1853</v>
      </c>
      <c r="P656" s="665" t="s">
        <v>1866</v>
      </c>
      <c r="Q656" s="517" t="s">
        <v>41</v>
      </c>
      <c r="R656" s="640">
        <f>20000000/1000</f>
        <v>20000</v>
      </c>
      <c r="S656" s="482"/>
      <c r="T656" s="643">
        <f>20000000/1000</f>
        <v>20000</v>
      </c>
      <c r="U656" s="42"/>
    </row>
    <row r="657" spans="2:21" s="360" customFormat="1" ht="38.25">
      <c r="B657" s="536" t="s">
        <v>1833</v>
      </c>
      <c r="C657" s="537">
        <v>42544</v>
      </c>
      <c r="D657" s="517" t="s">
        <v>86</v>
      </c>
      <c r="E657" s="506"/>
      <c r="F657" s="506"/>
      <c r="G657" s="506"/>
      <c r="H657" s="519" t="s">
        <v>1837</v>
      </c>
      <c r="I657" s="506"/>
      <c r="J657" s="506"/>
      <c r="K657" s="521" t="s">
        <v>1845</v>
      </c>
      <c r="L657" s="474"/>
      <c r="M657" s="664" t="s">
        <v>1811</v>
      </c>
      <c r="N657" s="474"/>
      <c r="O657" s="535" t="s">
        <v>1281</v>
      </c>
      <c r="P657" s="665" t="s">
        <v>1868</v>
      </c>
      <c r="Q657" s="517" t="s">
        <v>41</v>
      </c>
      <c r="R657" s="640">
        <f>30000000/1000</f>
        <v>30000</v>
      </c>
      <c r="S657" s="482"/>
      <c r="T657" s="643">
        <f>30000000/1000</f>
        <v>30000</v>
      </c>
      <c r="U657" s="42"/>
    </row>
    <row r="658" spans="2:21" s="360" customFormat="1" ht="22.5" customHeight="1">
      <c r="B658" s="536" t="s">
        <v>1834</v>
      </c>
      <c r="C658" s="537">
        <v>42560</v>
      </c>
      <c r="D658" s="517" t="s">
        <v>137</v>
      </c>
      <c r="E658" s="506"/>
      <c r="F658" s="506"/>
      <c r="G658" s="506"/>
      <c r="H658" s="519" t="s">
        <v>1838</v>
      </c>
      <c r="I658" s="506"/>
      <c r="J658" s="506"/>
      <c r="K658" s="521" t="s">
        <v>1846</v>
      </c>
      <c r="L658" s="474"/>
      <c r="M658" s="664" t="s">
        <v>1893</v>
      </c>
      <c r="N658" s="474"/>
      <c r="O658" s="535" t="s">
        <v>1149</v>
      </c>
      <c r="P658" s="538" t="s">
        <v>1281</v>
      </c>
      <c r="Q658" s="517" t="s">
        <v>41</v>
      </c>
      <c r="R658" s="640">
        <f>153813112/1000</f>
        <v>153813.112</v>
      </c>
      <c r="S658" s="482"/>
      <c r="T658" s="643">
        <f>153813112/1000</f>
        <v>153813.112</v>
      </c>
      <c r="U658" s="42"/>
    </row>
    <row r="659" spans="2:21" s="360" customFormat="1" ht="25.5">
      <c r="B659" s="536" t="s">
        <v>1835</v>
      </c>
      <c r="C659" s="537">
        <v>42600</v>
      </c>
      <c r="D659" s="517" t="s">
        <v>86</v>
      </c>
      <c r="E659" s="506"/>
      <c r="F659" s="506"/>
      <c r="G659" s="506"/>
      <c r="H659" s="519" t="s">
        <v>1839</v>
      </c>
      <c r="I659" s="506"/>
      <c r="J659" s="506"/>
      <c r="K659" s="521" t="s">
        <v>1847</v>
      </c>
      <c r="L659" s="474"/>
      <c r="M659" s="664" t="s">
        <v>1811</v>
      </c>
      <c r="N659" s="474"/>
      <c r="O659" s="535" t="s">
        <v>1281</v>
      </c>
      <c r="P659" s="665" t="s">
        <v>1871</v>
      </c>
      <c r="Q659" s="517" t="s">
        <v>41</v>
      </c>
      <c r="R659" s="640">
        <f>40000000/1000</f>
        <v>40000</v>
      </c>
      <c r="S659" s="482"/>
      <c r="T659" s="643">
        <f>40000000/1000</f>
        <v>40000</v>
      </c>
      <c r="U659" s="42"/>
    </row>
    <row r="660" spans="2:21" s="360" customFormat="1" ht="25.5">
      <c r="B660" s="536" t="s">
        <v>1827</v>
      </c>
      <c r="C660" s="537">
        <v>42621</v>
      </c>
      <c r="D660" s="517" t="s">
        <v>339</v>
      </c>
      <c r="E660" s="506"/>
      <c r="F660" s="506"/>
      <c r="G660" s="506"/>
      <c r="H660" s="519" t="s">
        <v>1840</v>
      </c>
      <c r="I660" s="506"/>
      <c r="J660" s="506"/>
      <c r="K660" s="521" t="s">
        <v>1507</v>
      </c>
      <c r="L660" s="474"/>
      <c r="M660" s="664" t="s">
        <v>1849</v>
      </c>
      <c r="N660" s="474"/>
      <c r="O660" s="535" t="s">
        <v>1108</v>
      </c>
      <c r="P660" s="538" t="s">
        <v>1425</v>
      </c>
      <c r="Q660" s="517" t="s">
        <v>177</v>
      </c>
      <c r="R660" s="640">
        <f>20650000/1000</f>
        <v>20650</v>
      </c>
      <c r="S660" s="482"/>
      <c r="T660" s="484">
        <f>28980210/1000</f>
        <v>28980.21</v>
      </c>
      <c r="U660" s="42"/>
    </row>
    <row r="661" spans="2:21" s="360" customFormat="1" ht="25.5">
      <c r="B661" s="536" t="s">
        <v>1828</v>
      </c>
      <c r="C661" s="537">
        <v>42719</v>
      </c>
      <c r="D661" s="517" t="s">
        <v>137</v>
      </c>
      <c r="E661" s="506"/>
      <c r="F661" s="506"/>
      <c r="G661" s="506"/>
      <c r="H661" s="519" t="s">
        <v>1841</v>
      </c>
      <c r="I661" s="506"/>
      <c r="J661" s="506"/>
      <c r="K661" s="521" t="s">
        <v>1848</v>
      </c>
      <c r="L661" s="474"/>
      <c r="M661" s="666" t="s">
        <v>1850</v>
      </c>
      <c r="N661" s="474"/>
      <c r="O661" s="535" t="s">
        <v>1053</v>
      </c>
      <c r="P661" s="459" t="s">
        <v>1284</v>
      </c>
      <c r="Q661" s="517" t="s">
        <v>41</v>
      </c>
      <c r="R661" s="640">
        <f>80804249.96/1000</f>
        <v>80804.24995999999</v>
      </c>
      <c r="S661" s="482"/>
      <c r="T661" s="643">
        <f>80804249.96/1000</f>
        <v>80804.24995999999</v>
      </c>
      <c r="U661" s="42"/>
    </row>
    <row r="662" spans="2:21" s="360" customFormat="1" ht="29.25" customHeight="1">
      <c r="B662" s="536" t="s">
        <v>1829</v>
      </c>
      <c r="C662" s="537">
        <v>42735</v>
      </c>
      <c r="D662" s="517" t="s">
        <v>157</v>
      </c>
      <c r="E662" s="506"/>
      <c r="F662" s="506"/>
      <c r="G662" s="506"/>
      <c r="H662" s="519" t="s">
        <v>1842</v>
      </c>
      <c r="I662" s="506"/>
      <c r="J662" s="506"/>
      <c r="K662" s="521" t="s">
        <v>1847</v>
      </c>
      <c r="L662" s="474"/>
      <c r="M662" s="667" t="s">
        <v>1851</v>
      </c>
      <c r="N662" s="474"/>
      <c r="O662" s="535" t="s">
        <v>1288</v>
      </c>
      <c r="P662" s="538" t="s">
        <v>1111</v>
      </c>
      <c r="Q662" s="517" t="s">
        <v>41</v>
      </c>
      <c r="R662" s="640">
        <f>40000000/1000</f>
        <v>40000</v>
      </c>
      <c r="S662" s="482"/>
      <c r="T662" s="643">
        <f>40000000/1000</f>
        <v>40000</v>
      </c>
      <c r="U662" s="42"/>
    </row>
    <row r="663" spans="2:21" s="360" customFormat="1" ht="25.5">
      <c r="B663" s="536" t="s">
        <v>1830</v>
      </c>
      <c r="C663" s="537">
        <v>42735</v>
      </c>
      <c r="D663" s="517" t="s">
        <v>157</v>
      </c>
      <c r="E663" s="506"/>
      <c r="F663" s="506"/>
      <c r="G663" s="506"/>
      <c r="H663" s="519" t="s">
        <v>1843</v>
      </c>
      <c r="I663" s="506"/>
      <c r="J663" s="506"/>
      <c r="K663" s="539" t="s">
        <v>1872</v>
      </c>
      <c r="L663" s="474"/>
      <c r="M663" s="667" t="s">
        <v>1851</v>
      </c>
      <c r="N663" s="474"/>
      <c r="O663" s="535" t="s">
        <v>1053</v>
      </c>
      <c r="P663" s="538" t="s">
        <v>1468</v>
      </c>
      <c r="Q663" s="517" t="s">
        <v>41</v>
      </c>
      <c r="R663" s="640">
        <f>45000000/1000</f>
        <v>45000</v>
      </c>
      <c r="S663" s="482"/>
      <c r="T663" s="643">
        <f>45000000/1000</f>
        <v>45000</v>
      </c>
      <c r="U663" s="42"/>
    </row>
    <row r="664" spans="2:21" s="360" customFormat="1" ht="21.75" customHeight="1">
      <c r="B664" s="536" t="s">
        <v>1831</v>
      </c>
      <c r="C664" s="537">
        <v>42735</v>
      </c>
      <c r="D664" s="517" t="s">
        <v>157</v>
      </c>
      <c r="E664" s="506"/>
      <c r="F664" s="506"/>
      <c r="G664" s="506"/>
      <c r="H664" s="519" t="s">
        <v>1844</v>
      </c>
      <c r="I664" s="506"/>
      <c r="J664" s="506"/>
      <c r="K664" s="521" t="s">
        <v>1873</v>
      </c>
      <c r="L664" s="474"/>
      <c r="M664" s="667" t="s">
        <v>1852</v>
      </c>
      <c r="N664" s="474"/>
      <c r="O664" s="535" t="s">
        <v>1053</v>
      </c>
      <c r="P664" s="538" t="s">
        <v>1468</v>
      </c>
      <c r="Q664" s="517" t="s">
        <v>41</v>
      </c>
      <c r="R664" s="640">
        <f>40000000/1000</f>
        <v>40000</v>
      </c>
      <c r="S664" s="482"/>
      <c r="T664" s="643">
        <f>40000000/1000</f>
        <v>40000</v>
      </c>
      <c r="U664" s="42"/>
    </row>
    <row r="665" spans="2:21" s="360" customFormat="1" ht="21.75" customHeight="1" thickBot="1">
      <c r="B665" s="606"/>
      <c r="C665" s="715"/>
      <c r="D665" s="656"/>
      <c r="E665" s="608"/>
      <c r="F665" s="608"/>
      <c r="G665" s="608"/>
      <c r="H665" s="716"/>
      <c r="I665" s="608"/>
      <c r="J665" s="608"/>
      <c r="K665" s="717"/>
      <c r="L665" s="610"/>
      <c r="M665" s="718"/>
      <c r="N665" s="610"/>
      <c r="O665" s="719"/>
      <c r="P665" s="720"/>
      <c r="Q665" s="656"/>
      <c r="R665" s="721"/>
      <c r="S665" s="722"/>
      <c r="T665" s="723"/>
      <c r="U665" s="42"/>
    </row>
    <row r="666" spans="2:21" s="360" customFormat="1" ht="21.75" customHeight="1" thickTop="1">
      <c r="B666" s="572">
        <v>2017</v>
      </c>
      <c r="C666" s="405"/>
      <c r="D666" s="389"/>
      <c r="E666" s="557"/>
      <c r="F666" s="557"/>
      <c r="G666" s="557"/>
      <c r="H666" s="402"/>
      <c r="I666" s="557"/>
      <c r="J666" s="557"/>
      <c r="K666" s="324"/>
      <c r="L666" s="220"/>
      <c r="M666" s="633"/>
      <c r="N666" s="220"/>
      <c r="O666" s="312"/>
      <c r="P666" s="400"/>
      <c r="Q666" s="389"/>
      <c r="R666" s="634"/>
      <c r="S666" s="220"/>
      <c r="T666" s="635">
        <f>+T669</f>
        <v>120000</v>
      </c>
      <c r="U666" s="42"/>
    </row>
    <row r="667" spans="2:21" s="360" customFormat="1" ht="15.75" customHeight="1">
      <c r="B667" s="477"/>
      <c r="C667" s="532"/>
      <c r="D667" s="710"/>
      <c r="E667" s="506"/>
      <c r="F667" s="506"/>
      <c r="G667" s="506"/>
      <c r="H667" s="533"/>
      <c r="I667" s="506"/>
      <c r="J667" s="506"/>
      <c r="K667" s="711"/>
      <c r="L667" s="474"/>
      <c r="M667" s="712"/>
      <c r="N667" s="474"/>
      <c r="O667" s="535"/>
      <c r="P667" s="538"/>
      <c r="Q667" s="710"/>
      <c r="R667" s="713"/>
      <c r="S667" s="482"/>
      <c r="T667" s="714"/>
      <c r="U667" s="42"/>
    </row>
    <row r="668" spans="2:21" s="360" customFormat="1" ht="21.75" customHeight="1">
      <c r="B668" s="602" t="s">
        <v>634</v>
      </c>
      <c r="C668" s="530"/>
      <c r="D668" s="490"/>
      <c r="E668" s="506"/>
      <c r="F668" s="506"/>
      <c r="G668" s="506"/>
      <c r="H668" s="420"/>
      <c r="I668" s="506"/>
      <c r="J668" s="506"/>
      <c r="K668" s="456"/>
      <c r="L668" s="474"/>
      <c r="M668" s="619"/>
      <c r="N668" s="474"/>
      <c r="O668" s="458"/>
      <c r="P668" s="508"/>
      <c r="Q668" s="490"/>
      <c r="R668" s="494"/>
      <c r="S668" s="482"/>
      <c r="T668" s="511"/>
      <c r="U668" s="42"/>
    </row>
    <row r="669" spans="2:21" s="360" customFormat="1" ht="21.75" customHeight="1">
      <c r="B669" s="456"/>
      <c r="C669" s="530"/>
      <c r="D669" s="490"/>
      <c r="E669" s="506"/>
      <c r="F669" s="506"/>
      <c r="G669" s="506"/>
      <c r="H669" s="420"/>
      <c r="I669" s="506"/>
      <c r="J669" s="506"/>
      <c r="K669" s="456"/>
      <c r="L669" s="474"/>
      <c r="M669" s="619"/>
      <c r="N669" s="474"/>
      <c r="O669" s="458"/>
      <c r="P669" s="508"/>
      <c r="Q669" s="490"/>
      <c r="R669" s="494"/>
      <c r="S669" s="482"/>
      <c r="T669" s="563">
        <f>SUM(T670:T676)</f>
        <v>120000</v>
      </c>
      <c r="U669" s="42"/>
    </row>
    <row r="670" spans="2:21" s="360" customFormat="1" ht="21" customHeight="1">
      <c r="B670" s="784" t="s">
        <v>1903</v>
      </c>
      <c r="C670" s="779">
        <v>42962</v>
      </c>
      <c r="D670" s="517" t="s">
        <v>157</v>
      </c>
      <c r="E670" s="506"/>
      <c r="F670" s="506"/>
      <c r="G670" s="506"/>
      <c r="H670" s="390" t="s">
        <v>1905</v>
      </c>
      <c r="I670" s="506"/>
      <c r="J670" s="506"/>
      <c r="K670" s="397" t="s">
        <v>1907</v>
      </c>
      <c r="L670" s="474"/>
      <c r="M670" s="780" t="s">
        <v>1909</v>
      </c>
      <c r="N670" s="474"/>
      <c r="O670" s="781" t="s">
        <v>1053</v>
      </c>
      <c r="P670" s="782" t="s">
        <v>1912</v>
      </c>
      <c r="Q670" s="517" t="s">
        <v>41</v>
      </c>
      <c r="R670" s="640">
        <v>40000</v>
      </c>
      <c r="S670" s="482"/>
      <c r="T670" s="643">
        <v>40000</v>
      </c>
      <c r="U670" s="42"/>
    </row>
    <row r="671" spans="2:21" s="360" customFormat="1" ht="31.5" customHeight="1">
      <c r="B671" s="784" t="s">
        <v>1904</v>
      </c>
      <c r="C671" s="779">
        <v>42963</v>
      </c>
      <c r="D671" s="517" t="s">
        <v>86</v>
      </c>
      <c r="E671" s="506"/>
      <c r="F671" s="506"/>
      <c r="G671" s="506"/>
      <c r="H671" s="390" t="s">
        <v>1906</v>
      </c>
      <c r="I671" s="506"/>
      <c r="J671" s="506"/>
      <c r="K671" s="785" t="s">
        <v>1908</v>
      </c>
      <c r="L671" s="474"/>
      <c r="M671" s="780" t="s">
        <v>1422</v>
      </c>
      <c r="N671" s="474"/>
      <c r="O671" s="781" t="s">
        <v>1046</v>
      </c>
      <c r="P671" s="783" t="s">
        <v>1913</v>
      </c>
      <c r="Q671" s="517" t="s">
        <v>41</v>
      </c>
      <c r="R671" s="640">
        <v>80000</v>
      </c>
      <c r="S671" s="482"/>
      <c r="T671" s="643">
        <v>80000</v>
      </c>
      <c r="U671" s="42"/>
    </row>
    <row r="672" spans="2:21" s="360" customFormat="1" ht="13.5" thickBot="1">
      <c r="B672" s="407"/>
      <c r="C672" s="409"/>
      <c r="D672" s="653"/>
      <c r="E672" s="290"/>
      <c r="F672" s="290"/>
      <c r="G672" s="290"/>
      <c r="H672" s="395"/>
      <c r="I672" s="290"/>
      <c r="J672" s="290"/>
      <c r="K672" s="407"/>
      <c r="L672" s="569"/>
      <c r="M672" s="654"/>
      <c r="N672" s="569"/>
      <c r="O672" s="410"/>
      <c r="P672" s="668"/>
      <c r="Q672" s="656"/>
      <c r="R672" s="657"/>
      <c r="S672" s="570"/>
      <c r="T672" s="658"/>
      <c r="U672" s="42"/>
    </row>
    <row r="673" spans="2:21" s="360" customFormat="1" ht="13.5" thickTop="1">
      <c r="B673" s="312"/>
      <c r="C673" s="414"/>
      <c r="D673" s="312"/>
      <c r="E673" s="220"/>
      <c r="F673" s="220"/>
      <c r="G673" s="220"/>
      <c r="H673" s="415"/>
      <c r="I673" s="220"/>
      <c r="J673" s="220"/>
      <c r="K673" s="312"/>
      <c r="L673" s="220"/>
      <c r="M673" s="617"/>
      <c r="N673" s="220"/>
      <c r="O673" s="312"/>
      <c r="P673" s="618"/>
      <c r="Q673" s="458"/>
      <c r="R673" s="358"/>
      <c r="S673" s="558"/>
      <c r="T673" s="358"/>
      <c r="U673" s="42"/>
    </row>
    <row r="674" spans="2:20" s="360" customFormat="1" ht="12.75">
      <c r="B674" s="669" t="s">
        <v>806</v>
      </c>
      <c r="C674" s="670"/>
      <c r="D674" s="671"/>
      <c r="E674" s="671"/>
      <c r="F674" s="671"/>
      <c r="G674" s="672"/>
      <c r="H674" s="671"/>
      <c r="I674" s="671"/>
      <c r="J674" s="671"/>
      <c r="K674" s="673"/>
      <c r="L674" s="671"/>
      <c r="M674" s="671"/>
      <c r="N674" s="672"/>
      <c r="O674" s="671"/>
      <c r="P674" s="671"/>
      <c r="Q674" s="671"/>
      <c r="R674" s="674"/>
      <c r="S674" s="674"/>
      <c r="T674" s="674"/>
    </row>
    <row r="675" spans="2:20" s="360" customFormat="1" ht="12.75">
      <c r="B675" s="669" t="s">
        <v>1874</v>
      </c>
      <c r="C675" s="670"/>
      <c r="D675" s="671"/>
      <c r="E675" s="671"/>
      <c r="F675" s="671"/>
      <c r="G675" s="672"/>
      <c r="H675" s="671"/>
      <c r="I675" s="671"/>
      <c r="J675" s="671"/>
      <c r="K675" s="673"/>
      <c r="L675" s="671"/>
      <c r="M675" s="671"/>
      <c r="N675" s="672"/>
      <c r="O675" s="671"/>
      <c r="P675" s="671"/>
      <c r="Q675" s="671"/>
      <c r="R675" s="674"/>
      <c r="S675" s="674"/>
      <c r="T675" s="674"/>
    </row>
    <row r="676" spans="2:20" s="360" customFormat="1" ht="12.75">
      <c r="B676" s="675" t="s">
        <v>939</v>
      </c>
      <c r="C676" s="670"/>
      <c r="D676" s="671"/>
      <c r="E676" s="671"/>
      <c r="F676" s="671"/>
      <c r="G676" s="672"/>
      <c r="H676" s="671"/>
      <c r="I676" s="671"/>
      <c r="J676" s="671"/>
      <c r="K676" s="673"/>
      <c r="L676" s="671"/>
      <c r="M676" s="671"/>
      <c r="N676" s="672"/>
      <c r="O676" s="671"/>
      <c r="P676" s="671"/>
      <c r="Q676" s="671"/>
      <c r="R676" s="674"/>
      <c r="S676" s="674"/>
      <c r="T676" s="674"/>
    </row>
    <row r="677" spans="2:20" s="360" customFormat="1" ht="12.75">
      <c r="B677" s="676" t="s">
        <v>940</v>
      </c>
      <c r="C677" s="670"/>
      <c r="D677" s="671"/>
      <c r="E677" s="671"/>
      <c r="F677" s="671"/>
      <c r="G677" s="672"/>
      <c r="H677" s="671"/>
      <c r="I677" s="671"/>
      <c r="J677" s="671"/>
      <c r="K677" s="673"/>
      <c r="L677" s="671"/>
      <c r="M677" s="671"/>
      <c r="N677" s="672"/>
      <c r="O677" s="671"/>
      <c r="P677" s="671"/>
      <c r="Q677" s="671"/>
      <c r="R677" s="674"/>
      <c r="S677" s="674"/>
      <c r="T677" s="674"/>
    </row>
    <row r="678" spans="2:20" s="360" customFormat="1" ht="12.75">
      <c r="B678" s="677" t="s">
        <v>969</v>
      </c>
      <c r="C678" s="678"/>
      <c r="D678" s="220"/>
      <c r="E678" s="220"/>
      <c r="F678" s="679"/>
      <c r="G678" s="220"/>
      <c r="H678" s="220"/>
      <c r="I678" s="42"/>
      <c r="J678" s="673"/>
      <c r="K678" s="673"/>
      <c r="L678" s="671"/>
      <c r="M678" s="671"/>
      <c r="N678" s="672"/>
      <c r="O678" s="671"/>
      <c r="P678" s="671"/>
      <c r="Q678" s="671"/>
      <c r="R678" s="674"/>
      <c r="S678" s="674"/>
      <c r="T678" s="674"/>
    </row>
    <row r="679" spans="2:20" s="360" customFormat="1" ht="12.75">
      <c r="B679" s="680" t="s">
        <v>991</v>
      </c>
      <c r="C679" s="670"/>
      <c r="D679" s="671"/>
      <c r="E679" s="671"/>
      <c r="F679" s="671"/>
      <c r="G679" s="672"/>
      <c r="H679" s="671"/>
      <c r="I679" s="671"/>
      <c r="J679" s="671"/>
      <c r="K679" s="673"/>
      <c r="L679" s="671"/>
      <c r="M679" s="671"/>
      <c r="N679" s="672"/>
      <c r="O679" s="671"/>
      <c r="P679" s="671"/>
      <c r="Q679" s="671"/>
      <c r="R679" s="674"/>
      <c r="S679" s="674"/>
      <c r="T679" s="674"/>
    </row>
    <row r="680" spans="2:20" s="360" customFormat="1" ht="12.75">
      <c r="B680" s="676" t="s">
        <v>970</v>
      </c>
      <c r="C680" s="670"/>
      <c r="D680" s="671"/>
      <c r="E680" s="671"/>
      <c r="F680" s="671"/>
      <c r="G680" s="672"/>
      <c r="H680" s="671"/>
      <c r="I680" s="671"/>
      <c r="J680" s="671"/>
      <c r="K680" s="673"/>
      <c r="L680" s="671"/>
      <c r="M680" s="671"/>
      <c r="N680" s="672"/>
      <c r="O680" s="671"/>
      <c r="P680" s="671"/>
      <c r="Q680" s="671"/>
      <c r="R680" s="674"/>
      <c r="S680" s="674"/>
      <c r="T680" s="674"/>
    </row>
    <row r="681" spans="2:20" s="360" customFormat="1" ht="12.75">
      <c r="B681" s="675" t="s">
        <v>971</v>
      </c>
      <c r="C681" s="670"/>
      <c r="D681" s="671"/>
      <c r="E681" s="671"/>
      <c r="F681" s="671"/>
      <c r="G681" s="672"/>
      <c r="H681" s="671"/>
      <c r="I681" s="671"/>
      <c r="J681" s="671"/>
      <c r="K681" s="673"/>
      <c r="L681" s="671"/>
      <c r="M681" s="671"/>
      <c r="N681" s="672"/>
      <c r="O681" s="671"/>
      <c r="P681" s="671"/>
      <c r="Q681" s="671"/>
      <c r="R681" s="674"/>
      <c r="S681" s="674"/>
      <c r="T681" s="674"/>
    </row>
    <row r="682" spans="2:20" s="360" customFormat="1" ht="12.75">
      <c r="B682" s="676" t="s">
        <v>972</v>
      </c>
      <c r="C682" s="670"/>
      <c r="D682" s="671"/>
      <c r="E682" s="671"/>
      <c r="F682" s="671"/>
      <c r="G682" s="672"/>
      <c r="H682" s="671"/>
      <c r="I682" s="671"/>
      <c r="J682" s="671"/>
      <c r="K682" s="673"/>
      <c r="L682" s="671"/>
      <c r="M682" s="671"/>
      <c r="N682" s="672"/>
      <c r="O682" s="671"/>
      <c r="P682" s="671"/>
      <c r="Q682" s="671"/>
      <c r="R682" s="674"/>
      <c r="S682" s="674"/>
      <c r="T682" s="674"/>
    </row>
    <row r="683" spans="2:20" s="360" customFormat="1" ht="12.75">
      <c r="B683" s="676" t="s">
        <v>973</v>
      </c>
      <c r="C683" s="670"/>
      <c r="D683" s="671"/>
      <c r="E683" s="671"/>
      <c r="F683" s="671"/>
      <c r="G683" s="672"/>
      <c r="H683" s="671"/>
      <c r="I683" s="671"/>
      <c r="J683" s="671"/>
      <c r="K683" s="673"/>
      <c r="L683" s="671"/>
      <c r="M683" s="671"/>
      <c r="N683" s="672"/>
      <c r="O683" s="671"/>
      <c r="P683" s="671"/>
      <c r="Q683" s="671"/>
      <c r="R683" s="674"/>
      <c r="S683" s="674"/>
      <c r="T683" s="674"/>
    </row>
    <row r="684" spans="2:20" s="360" customFormat="1" ht="12.75">
      <c r="B684" s="675" t="s">
        <v>974</v>
      </c>
      <c r="C684" s="670"/>
      <c r="D684" s="671"/>
      <c r="E684" s="671"/>
      <c r="F684" s="671"/>
      <c r="G684" s="672"/>
      <c r="H684" s="671"/>
      <c r="I684" s="671"/>
      <c r="J684" s="671"/>
      <c r="K684" s="673"/>
      <c r="L684" s="671"/>
      <c r="M684" s="671"/>
      <c r="N684" s="672"/>
      <c r="O684" s="671"/>
      <c r="P684" s="671"/>
      <c r="Q684" s="671"/>
      <c r="R684" s="674"/>
      <c r="S684" s="674"/>
      <c r="T684" s="674"/>
    </row>
    <row r="685" spans="2:20" s="360" customFormat="1" ht="12.75">
      <c r="B685" s="681" t="s">
        <v>1024</v>
      </c>
      <c r="C685" s="670"/>
      <c r="D685" s="671"/>
      <c r="E685" s="671"/>
      <c r="F685" s="671"/>
      <c r="G685" s="672"/>
      <c r="H685" s="671"/>
      <c r="I685" s="671"/>
      <c r="J685" s="671"/>
      <c r="K685" s="673"/>
      <c r="L685" s="671"/>
      <c r="M685" s="671"/>
      <c r="N685" s="672"/>
      <c r="O685" s="671"/>
      <c r="P685" s="671"/>
      <c r="Q685" s="671"/>
      <c r="R685" s="674"/>
      <c r="S685" s="674"/>
      <c r="T685" s="674"/>
    </row>
    <row r="686" spans="2:20" s="360" customFormat="1" ht="12.75">
      <c r="B686" s="677" t="s">
        <v>983</v>
      </c>
      <c r="C686" s="678"/>
      <c r="D686" s="220"/>
      <c r="E686" s="220"/>
      <c r="F686" s="679"/>
      <c r="G686" s="220"/>
      <c r="H686" s="220"/>
      <c r="I686" s="220"/>
      <c r="J686" s="220"/>
      <c r="K686" s="221"/>
      <c r="L686" s="220"/>
      <c r="M686" s="682"/>
      <c r="N686" s="220"/>
      <c r="O686" s="221"/>
      <c r="P686" s="221"/>
      <c r="Q686" s="220"/>
      <c r="R686" s="683"/>
      <c r="S686" s="683"/>
      <c r="T686" s="684"/>
    </row>
    <row r="687" spans="2:20" s="360" customFormat="1" ht="12.75">
      <c r="B687" s="42" t="s">
        <v>914</v>
      </c>
      <c r="C687" s="678"/>
      <c r="D687" s="220"/>
      <c r="E687" s="220"/>
      <c r="F687" s="679"/>
      <c r="G687" s="220"/>
      <c r="H687" s="220"/>
      <c r="I687" s="220"/>
      <c r="J687" s="220"/>
      <c r="K687" s="221"/>
      <c r="L687" s="220"/>
      <c r="M687" s="682"/>
      <c r="N687" s="220"/>
      <c r="O687" s="221"/>
      <c r="P687" s="221"/>
      <c r="Q687" s="220"/>
      <c r="R687" s="683"/>
      <c r="S687" s="683"/>
      <c r="T687" s="684"/>
    </row>
    <row r="688" spans="2:20" s="360" customFormat="1" ht="12.75">
      <c r="B688" s="677" t="s">
        <v>984</v>
      </c>
      <c r="C688" s="678"/>
      <c r="D688" s="220"/>
      <c r="E688" s="220"/>
      <c r="F688" s="679"/>
      <c r="G688" s="220"/>
      <c r="H688" s="220"/>
      <c r="I688" s="220"/>
      <c r="J688" s="220"/>
      <c r="K688" s="221"/>
      <c r="L688" s="220"/>
      <c r="M688" s="258"/>
      <c r="N688" s="220"/>
      <c r="O688" s="221"/>
      <c r="P688" s="221"/>
      <c r="Q688" s="220"/>
      <c r="R688" s="685"/>
      <c r="S688" s="685"/>
      <c r="T688" s="686"/>
    </row>
    <row r="689" spans="2:20" s="360" customFormat="1" ht="12.75">
      <c r="B689" s="42" t="s">
        <v>915</v>
      </c>
      <c r="C689" s="221"/>
      <c r="D689" s="220"/>
      <c r="E689" s="220"/>
      <c r="F689" s="220"/>
      <c r="G689" s="220"/>
      <c r="H689" s="220"/>
      <c r="I689" s="258"/>
      <c r="J689" s="221"/>
      <c r="K689" s="221"/>
      <c r="L689" s="220"/>
      <c r="M689" s="683"/>
      <c r="N689" s="683"/>
      <c r="O689" s="220"/>
      <c r="P689" s="684"/>
      <c r="Q689" s="687"/>
      <c r="R689" s="558"/>
      <c r="S689" s="220"/>
      <c r="T689" s="220"/>
    </row>
    <row r="690" spans="2:20" s="360" customFormat="1" ht="12.75">
      <c r="B690" s="42" t="s">
        <v>916</v>
      </c>
      <c r="C690" s="673"/>
      <c r="D690" s="42"/>
      <c r="E690" s="42"/>
      <c r="F690" s="42"/>
      <c r="G690" s="42"/>
      <c r="H690" s="42"/>
      <c r="I690" s="42"/>
      <c r="J690" s="42"/>
      <c r="K690" s="673"/>
      <c r="L690" s="42"/>
      <c r="M690" s="42"/>
      <c r="N690" s="42"/>
      <c r="O690" s="42"/>
      <c r="P690" s="42"/>
      <c r="Q690" s="687"/>
      <c r="R690" s="558"/>
      <c r="S690" s="220"/>
      <c r="T690" s="220"/>
    </row>
    <row r="691" spans="2:20" s="360" customFormat="1" ht="12.75">
      <c r="B691" s="42" t="s">
        <v>917</v>
      </c>
      <c r="C691" s="673"/>
      <c r="D691" s="42"/>
      <c r="E691" s="42"/>
      <c r="F691" s="42"/>
      <c r="G691" s="42"/>
      <c r="H691" s="42"/>
      <c r="I691" s="42"/>
      <c r="J691" s="42"/>
      <c r="K691" s="673"/>
      <c r="L691" s="42"/>
      <c r="M691" s="42"/>
      <c r="N691" s="42"/>
      <c r="O691" s="42"/>
      <c r="P691" s="42"/>
      <c r="Q691" s="687"/>
      <c r="R691" s="558"/>
      <c r="S691" s="220"/>
      <c r="T691" s="220"/>
    </row>
    <row r="692" spans="2:20" s="360" customFormat="1" ht="12.75">
      <c r="B692" s="42" t="s">
        <v>918</v>
      </c>
      <c r="C692" s="673"/>
      <c r="D692" s="42"/>
      <c r="E692" s="42"/>
      <c r="F692" s="42"/>
      <c r="G692" s="42"/>
      <c r="H692" s="42"/>
      <c r="I692" s="42"/>
      <c r="J692" s="42"/>
      <c r="K692" s="673"/>
      <c r="L692" s="42"/>
      <c r="M692" s="42"/>
      <c r="N692" s="42"/>
      <c r="O692" s="42"/>
      <c r="P692" s="42"/>
      <c r="Q692" s="687"/>
      <c r="R692" s="558"/>
      <c r="S692" s="220"/>
      <c r="T692" s="220"/>
    </row>
    <row r="693" spans="2:20" s="360" customFormat="1" ht="12.75">
      <c r="B693" s="677" t="s">
        <v>985</v>
      </c>
      <c r="C693" s="42"/>
      <c r="D693" s="42"/>
      <c r="E693" s="42"/>
      <c r="F693" s="42"/>
      <c r="G693" s="42"/>
      <c r="H693" s="42"/>
      <c r="I693" s="42"/>
      <c r="J693" s="42"/>
      <c r="K693" s="673"/>
      <c r="L693" s="42"/>
      <c r="M693" s="42"/>
      <c r="N693" s="42"/>
      <c r="O693" s="42"/>
      <c r="P693" s="42"/>
      <c r="Q693" s="687"/>
      <c r="R693" s="558"/>
      <c r="S693" s="220"/>
      <c r="T693" s="220"/>
    </row>
    <row r="694" spans="2:20" s="360" customFormat="1" ht="12.75">
      <c r="B694" s="677" t="s">
        <v>986</v>
      </c>
      <c r="C694" s="42"/>
      <c r="D694" s="42"/>
      <c r="E694" s="42"/>
      <c r="F694" s="42"/>
      <c r="G694" s="42"/>
      <c r="H694" s="42"/>
      <c r="I694" s="42"/>
      <c r="J694" s="42"/>
      <c r="K694" s="673"/>
      <c r="L694" s="42"/>
      <c r="M694" s="42"/>
      <c r="N694" s="42"/>
      <c r="O694" s="42"/>
      <c r="P694" s="42"/>
      <c r="Q694" s="687"/>
      <c r="R694" s="558"/>
      <c r="S694" s="220"/>
      <c r="T694" s="220"/>
    </row>
    <row r="695" spans="2:20" s="360" customFormat="1" ht="12.75">
      <c r="B695" s="677" t="s">
        <v>1894</v>
      </c>
      <c r="C695" s="688"/>
      <c r="D695" s="220"/>
      <c r="E695" s="220"/>
      <c r="F695" s="220"/>
      <c r="G695" s="220"/>
      <c r="H695" s="689"/>
      <c r="I695" s="258"/>
      <c r="J695" s="221"/>
      <c r="K695" s="221"/>
      <c r="L695" s="220"/>
      <c r="M695" s="683"/>
      <c r="N695" s="683"/>
      <c r="O695" s="220"/>
      <c r="P695" s="684"/>
      <c r="Q695" s="687"/>
      <c r="R695" s="558"/>
      <c r="S695" s="220"/>
      <c r="T695" s="220"/>
    </row>
    <row r="696" spans="2:20" s="360" customFormat="1" ht="12.75">
      <c r="B696" s="677" t="s">
        <v>1895</v>
      </c>
      <c r="C696" s="688"/>
      <c r="D696" s="220"/>
      <c r="E696" s="220"/>
      <c r="F696" s="220"/>
      <c r="G696" s="220"/>
      <c r="H696" s="689"/>
      <c r="I696" s="258"/>
      <c r="J696" s="221"/>
      <c r="K696" s="221"/>
      <c r="L696" s="220"/>
      <c r="M696" s="683"/>
      <c r="N696" s="683"/>
      <c r="O696" s="220"/>
      <c r="P696" s="684"/>
      <c r="Q696" s="687"/>
      <c r="R696" s="558"/>
      <c r="S696" s="220"/>
      <c r="T696" s="220"/>
    </row>
    <row r="697" spans="2:20" s="360" customFormat="1" ht="12.75">
      <c r="B697" s="677" t="s">
        <v>1896</v>
      </c>
      <c r="C697" s="688"/>
      <c r="D697" s="220"/>
      <c r="E697" s="220"/>
      <c r="F697" s="220"/>
      <c r="G697" s="220"/>
      <c r="H697" s="689"/>
      <c r="I697" s="258"/>
      <c r="J697" s="221"/>
      <c r="K697" s="221"/>
      <c r="L697" s="220"/>
      <c r="M697" s="683"/>
      <c r="N697" s="683"/>
      <c r="O697" s="220"/>
      <c r="P697" s="684"/>
      <c r="Q697" s="687"/>
      <c r="R697" s="558"/>
      <c r="S697" s="220"/>
      <c r="T697" s="220"/>
    </row>
    <row r="698" spans="2:20" s="360" customFormat="1" ht="12.75">
      <c r="B698" s="677" t="s">
        <v>1897</v>
      </c>
      <c r="C698" s="688"/>
      <c r="D698" s="220"/>
      <c r="E698" s="220"/>
      <c r="F698" s="220"/>
      <c r="G698" s="220"/>
      <c r="H698" s="689"/>
      <c r="I698" s="258"/>
      <c r="J698" s="221"/>
      <c r="K698" s="221"/>
      <c r="L698" s="220"/>
      <c r="M698" s="683"/>
      <c r="N698" s="683"/>
      <c r="O698" s="220"/>
      <c r="P698" s="684"/>
      <c r="Q698" s="687"/>
      <c r="R698" s="558"/>
      <c r="S698" s="220"/>
      <c r="T698" s="220"/>
    </row>
    <row r="699" spans="2:20" s="360" customFormat="1" ht="12.75">
      <c r="B699" s="677" t="s">
        <v>1898</v>
      </c>
      <c r="C699" s="688"/>
      <c r="D699" s="220"/>
      <c r="E699" s="220"/>
      <c r="F699" s="220"/>
      <c r="G699" s="220"/>
      <c r="H699" s="689"/>
      <c r="I699" s="258"/>
      <c r="J699" s="221"/>
      <c r="K699" s="221"/>
      <c r="L699" s="220"/>
      <c r="M699" s="683"/>
      <c r="N699" s="683"/>
      <c r="O699" s="220"/>
      <c r="P699" s="684"/>
      <c r="Q699" s="687"/>
      <c r="R699" s="558"/>
      <c r="S699" s="220"/>
      <c r="T699" s="220"/>
    </row>
    <row r="700" spans="2:20" s="360" customFormat="1" ht="12.75">
      <c r="B700" s="690" t="s">
        <v>1858</v>
      </c>
      <c r="C700" s="688"/>
      <c r="D700" s="220"/>
      <c r="E700" s="220"/>
      <c r="F700" s="220"/>
      <c r="G700" s="220"/>
      <c r="H700" s="689"/>
      <c r="I700" s="258"/>
      <c r="J700" s="221"/>
      <c r="K700" s="221"/>
      <c r="L700" s="220"/>
      <c r="M700" s="683"/>
      <c r="N700" s="683"/>
      <c r="O700" s="220"/>
      <c r="P700" s="684"/>
      <c r="Q700" s="687"/>
      <c r="R700" s="558"/>
      <c r="S700" s="220"/>
      <c r="T700" s="220"/>
    </row>
    <row r="701" spans="2:20" s="360" customFormat="1" ht="12.75">
      <c r="B701" s="690" t="s">
        <v>976</v>
      </c>
      <c r="C701" s="688"/>
      <c r="D701" s="220"/>
      <c r="E701" s="220"/>
      <c r="F701" s="220"/>
      <c r="G701" s="220"/>
      <c r="H701" s="689"/>
      <c r="I701" s="258"/>
      <c r="J701" s="221"/>
      <c r="K701" s="221"/>
      <c r="L701" s="220"/>
      <c r="M701" s="683"/>
      <c r="N701" s="683"/>
      <c r="O701" s="220"/>
      <c r="P701" s="684"/>
      <c r="Q701" s="687"/>
      <c r="R701" s="558"/>
      <c r="S701" s="220"/>
      <c r="T701" s="220"/>
    </row>
    <row r="702" spans="2:16" s="360" customFormat="1" ht="12.75">
      <c r="B702" s="691" t="s">
        <v>1290</v>
      </c>
      <c r="C702" s="692"/>
      <c r="K702" s="693"/>
      <c r="M702" s="693"/>
      <c r="O702" s="693"/>
      <c r="P702" s="693"/>
    </row>
    <row r="703" spans="2:16" s="360" customFormat="1" ht="12.75">
      <c r="B703" s="691" t="s">
        <v>1291</v>
      </c>
      <c r="C703" s="692"/>
      <c r="K703" s="693"/>
      <c r="M703" s="693"/>
      <c r="O703" s="693"/>
      <c r="P703" s="693"/>
    </row>
    <row r="704" spans="2:16" s="360" customFormat="1" ht="12.75">
      <c r="B704" s="691" t="s">
        <v>1292</v>
      </c>
      <c r="C704" s="692"/>
      <c r="K704" s="693"/>
      <c r="M704" s="693"/>
      <c r="O704" s="693"/>
      <c r="P704" s="693"/>
    </row>
    <row r="705" spans="2:16" s="360" customFormat="1" ht="12.75">
      <c r="B705" s="691" t="s">
        <v>1293</v>
      </c>
      <c r="C705" s="692"/>
      <c r="K705" s="693"/>
      <c r="M705" s="693"/>
      <c r="O705" s="693"/>
      <c r="P705" s="693"/>
    </row>
    <row r="706" spans="2:16" s="360" customFormat="1" ht="12.75">
      <c r="B706" s="694" t="s">
        <v>978</v>
      </c>
      <c r="C706" s="692"/>
      <c r="K706" s="693"/>
      <c r="M706" s="693"/>
      <c r="O706" s="693"/>
      <c r="P706" s="693"/>
    </row>
    <row r="707" spans="2:16" s="360" customFormat="1" ht="12.75">
      <c r="B707" s="691" t="s">
        <v>1296</v>
      </c>
      <c r="C707" s="692"/>
      <c r="K707" s="693"/>
      <c r="M707" s="693"/>
      <c r="O707" s="693"/>
      <c r="P707" s="693"/>
    </row>
    <row r="708" spans="2:20" s="360" customFormat="1" ht="27.75" customHeight="1">
      <c r="B708" s="797" t="s">
        <v>1710</v>
      </c>
      <c r="C708" s="798"/>
      <c r="D708" s="798"/>
      <c r="E708" s="798"/>
      <c r="F708" s="798"/>
      <c r="G708" s="798"/>
      <c r="H708" s="798"/>
      <c r="I708" s="798"/>
      <c r="J708" s="798"/>
      <c r="K708" s="798"/>
      <c r="L708" s="798"/>
      <c r="M708" s="798"/>
      <c r="N708" s="798"/>
      <c r="O708" s="798"/>
      <c r="P708" s="798"/>
      <c r="Q708" s="798"/>
      <c r="R708" s="798"/>
      <c r="S708" s="798"/>
      <c r="T708" s="798"/>
    </row>
    <row r="709" spans="2:16" s="360" customFormat="1" ht="12.75">
      <c r="B709" s="695" t="s">
        <v>0</v>
      </c>
      <c r="C709" s="692"/>
      <c r="K709" s="693"/>
      <c r="M709" s="693"/>
      <c r="O709" s="693"/>
      <c r="P709" s="693"/>
    </row>
    <row r="710" spans="2:16" s="360" customFormat="1" ht="12.75">
      <c r="B710" s="695" t="s">
        <v>1</v>
      </c>
      <c r="C710" s="692"/>
      <c r="K710" s="693"/>
      <c r="M710" s="693"/>
      <c r="O710" s="693"/>
      <c r="P710" s="693"/>
    </row>
    <row r="711" spans="2:16" s="360" customFormat="1" ht="12.75">
      <c r="B711" s="690" t="s">
        <v>1899</v>
      </c>
      <c r="C711" s="692"/>
      <c r="K711" s="693"/>
      <c r="M711" s="693"/>
      <c r="O711" s="693"/>
      <c r="P711" s="693"/>
    </row>
    <row r="712" spans="2:16" s="360" customFormat="1" ht="12.75">
      <c r="B712" s="690" t="s">
        <v>979</v>
      </c>
      <c r="C712" s="692"/>
      <c r="K712" s="693"/>
      <c r="M712" s="693"/>
      <c r="O712" s="693"/>
      <c r="P712" s="693"/>
    </row>
    <row r="713" spans="2:16" s="360" customFormat="1" ht="12.75">
      <c r="B713" s="696" t="s">
        <v>980</v>
      </c>
      <c r="C713" s="692"/>
      <c r="K713" s="693"/>
      <c r="M713" s="693"/>
      <c r="O713" s="693"/>
      <c r="P713" s="693"/>
    </row>
    <row r="714" spans="2:16" s="360" customFormat="1" ht="12.75">
      <c r="B714" s="691" t="s">
        <v>4</v>
      </c>
      <c r="C714" s="692"/>
      <c r="K714" s="693"/>
      <c r="M714" s="693"/>
      <c r="O714" s="693"/>
      <c r="P714" s="693"/>
    </row>
    <row r="715" spans="2:16" s="360" customFormat="1" ht="12.75">
      <c r="B715" s="690" t="s">
        <v>1900</v>
      </c>
      <c r="C715" s="692"/>
      <c r="K715" s="693"/>
      <c r="M715" s="693"/>
      <c r="O715" s="693"/>
      <c r="P715" s="693"/>
    </row>
    <row r="716" spans="2:20" s="360" customFormat="1" ht="12.75">
      <c r="B716" s="690" t="s">
        <v>1901</v>
      </c>
      <c r="C716" s="220"/>
      <c r="D716" s="220"/>
      <c r="E716" s="220"/>
      <c r="F716" s="220"/>
      <c r="G716" s="220"/>
      <c r="H716" s="220"/>
      <c r="I716" s="258"/>
      <c r="J716" s="221"/>
      <c r="K716" s="221"/>
      <c r="L716" s="220"/>
      <c r="M716" s="683"/>
      <c r="N716" s="683"/>
      <c r="O716" s="220"/>
      <c r="P716" s="684"/>
      <c r="Q716" s="687"/>
      <c r="R716" s="558"/>
      <c r="S716" s="220"/>
      <c r="T716" s="220"/>
    </row>
    <row r="717" spans="2:16" s="360" customFormat="1" ht="12.75">
      <c r="B717" s="690" t="s">
        <v>981</v>
      </c>
      <c r="C717" s="692"/>
      <c r="K717" s="693"/>
      <c r="M717" s="693"/>
      <c r="O717" s="693"/>
      <c r="P717" s="693"/>
    </row>
    <row r="718" spans="2:20" s="360" customFormat="1" ht="15" customHeight="1">
      <c r="B718" s="799" t="s">
        <v>982</v>
      </c>
      <c r="C718" s="798"/>
      <c r="D718" s="798"/>
      <c r="E718" s="798"/>
      <c r="F718" s="798"/>
      <c r="G718" s="798"/>
      <c r="H718" s="798"/>
      <c r="I718" s="798"/>
      <c r="J718" s="798"/>
      <c r="K718" s="798"/>
      <c r="L718" s="798"/>
      <c r="M718" s="798"/>
      <c r="N718" s="798"/>
      <c r="O718" s="798"/>
      <c r="P718" s="798"/>
      <c r="Q718" s="798"/>
      <c r="R718" s="798"/>
      <c r="S718" s="798"/>
      <c r="T718" s="798"/>
    </row>
    <row r="719" spans="2:16" s="360" customFormat="1" ht="12.75">
      <c r="B719" s="690" t="s">
        <v>1860</v>
      </c>
      <c r="C719" s="692"/>
      <c r="K719" s="693"/>
      <c r="M719" s="693"/>
      <c r="O719" s="693"/>
      <c r="P719" s="693"/>
    </row>
    <row r="720" spans="2:16" s="360" customFormat="1" ht="12.75">
      <c r="B720" s="690" t="s">
        <v>619</v>
      </c>
      <c r="C720" s="692"/>
      <c r="K720" s="693"/>
      <c r="M720" s="693"/>
      <c r="O720" s="693"/>
      <c r="P720" s="693"/>
    </row>
    <row r="721" spans="2:16" s="360" customFormat="1" ht="12.75">
      <c r="B721" s="690" t="s">
        <v>617</v>
      </c>
      <c r="C721" s="692"/>
      <c r="K721" s="693"/>
      <c r="M721" s="693"/>
      <c r="O721" s="693"/>
      <c r="P721" s="693"/>
    </row>
    <row r="722" spans="2:20" s="360" customFormat="1" ht="12.75">
      <c r="B722" s="690" t="s">
        <v>618</v>
      </c>
      <c r="C722" s="691"/>
      <c r="D722" s="691"/>
      <c r="E722" s="691"/>
      <c r="F722" s="691"/>
      <c r="G722" s="691"/>
      <c r="H722" s="691"/>
      <c r="I722" s="691"/>
      <c r="J722" s="691"/>
      <c r="K722" s="697"/>
      <c r="L722" s="691"/>
      <c r="M722" s="691"/>
      <c r="N722" s="691"/>
      <c r="O722" s="691"/>
      <c r="P722" s="691"/>
      <c r="R722" s="685"/>
      <c r="S722" s="685"/>
      <c r="T722" s="684"/>
    </row>
    <row r="723" spans="2:20" s="360" customFormat="1" ht="12.75">
      <c r="B723" s="691" t="s">
        <v>608</v>
      </c>
      <c r="C723" s="698"/>
      <c r="F723" s="679"/>
      <c r="K723" s="693"/>
      <c r="M723" s="258"/>
      <c r="O723" s="693"/>
      <c r="P723" s="693"/>
      <c r="R723" s="685"/>
      <c r="S723" s="685"/>
      <c r="T723" s="684"/>
    </row>
    <row r="724" spans="2:20" s="360" customFormat="1" ht="12.75">
      <c r="B724" s="691" t="s">
        <v>609</v>
      </c>
      <c r="C724" s="698"/>
      <c r="F724" s="679"/>
      <c r="K724" s="693"/>
      <c r="M724" s="258"/>
      <c r="O724" s="693"/>
      <c r="P724" s="693"/>
      <c r="R724" s="312"/>
      <c r="S724" s="312"/>
      <c r="T724" s="684"/>
    </row>
    <row r="725" spans="2:20" s="360" customFormat="1" ht="12.75">
      <c r="B725" s="690" t="s">
        <v>1673</v>
      </c>
      <c r="C725" s="699"/>
      <c r="D725" s="492"/>
      <c r="E725" s="492"/>
      <c r="F725" s="492"/>
      <c r="G725" s="492"/>
      <c r="H725" s="492"/>
      <c r="I725" s="492"/>
      <c r="J725" s="492"/>
      <c r="K725" s="700"/>
      <c r="L725" s="492"/>
      <c r="M725" s="700"/>
      <c r="N725" s="492"/>
      <c r="O725" s="700"/>
      <c r="P725" s="700"/>
      <c r="Q725" s="492"/>
      <c r="R725" s="701"/>
      <c r="S725" s="701"/>
      <c r="T725" s="701"/>
    </row>
    <row r="726" spans="2:20" s="360" customFormat="1" ht="12.75">
      <c r="B726" s="677" t="s">
        <v>1674</v>
      </c>
      <c r="C726" s="699"/>
      <c r="D726" s="492"/>
      <c r="E726" s="492"/>
      <c r="F726" s="492"/>
      <c r="G726" s="492"/>
      <c r="H726" s="492"/>
      <c r="I726" s="492"/>
      <c r="J726" s="492"/>
      <c r="K726" s="700"/>
      <c r="L726" s="492"/>
      <c r="M726" s="700"/>
      <c r="N726" s="492"/>
      <c r="O726" s="700"/>
      <c r="P726" s="700"/>
      <c r="Q726" s="492"/>
      <c r="R726" s="701"/>
      <c r="S726" s="701"/>
      <c r="T726" s="701"/>
    </row>
    <row r="727" spans="2:20" s="360" customFormat="1" ht="12.75">
      <c r="B727" s="690" t="s">
        <v>1675</v>
      </c>
      <c r="C727" s="699"/>
      <c r="D727" s="492"/>
      <c r="E727" s="492"/>
      <c r="F727" s="492"/>
      <c r="G727" s="492"/>
      <c r="H727" s="492"/>
      <c r="I727" s="492"/>
      <c r="J727" s="492"/>
      <c r="K727" s="700"/>
      <c r="L727" s="492"/>
      <c r="M727" s="700"/>
      <c r="N727" s="492"/>
      <c r="O727" s="700"/>
      <c r="P727" s="700"/>
      <c r="Q727" s="492"/>
      <c r="R727" s="701"/>
      <c r="S727" s="701"/>
      <c r="T727" s="701"/>
    </row>
    <row r="728" spans="2:20" s="360" customFormat="1" ht="12.75">
      <c r="B728" s="690" t="s">
        <v>1676</v>
      </c>
      <c r="C728" s="699"/>
      <c r="D728" s="492"/>
      <c r="E728" s="492"/>
      <c r="F728" s="492"/>
      <c r="G728" s="492"/>
      <c r="H728" s="492"/>
      <c r="I728" s="492"/>
      <c r="J728" s="492"/>
      <c r="K728" s="700"/>
      <c r="L728" s="492"/>
      <c r="M728" s="700"/>
      <c r="N728" s="492"/>
      <c r="O728" s="700"/>
      <c r="P728" s="700"/>
      <c r="Q728" s="492"/>
      <c r="R728" s="701"/>
      <c r="S728" s="701"/>
      <c r="T728" s="701"/>
    </row>
    <row r="729" spans="2:20" s="360" customFormat="1" ht="12.75">
      <c r="B729" s="702" t="s">
        <v>1677</v>
      </c>
      <c r="C729" s="699"/>
      <c r="D729" s="492"/>
      <c r="E729" s="492"/>
      <c r="F729" s="492"/>
      <c r="G729" s="492"/>
      <c r="H729" s="492"/>
      <c r="I729" s="492"/>
      <c r="J729" s="492"/>
      <c r="K729" s="700"/>
      <c r="L729" s="492"/>
      <c r="M729" s="700"/>
      <c r="N729" s="492"/>
      <c r="O729" s="700"/>
      <c r="P729" s="700"/>
      <c r="Q729" s="492"/>
      <c r="R729" s="701"/>
      <c r="S729" s="701"/>
      <c r="T729" s="701"/>
    </row>
    <row r="730" spans="2:20" s="360" customFormat="1" ht="12.75">
      <c r="B730" s="492" t="s">
        <v>1344</v>
      </c>
      <c r="C730" s="699"/>
      <c r="D730" s="492"/>
      <c r="E730" s="492"/>
      <c r="F730" s="492"/>
      <c r="G730" s="492"/>
      <c r="H730" s="492"/>
      <c r="I730" s="492"/>
      <c r="J730" s="492"/>
      <c r="K730" s="700"/>
      <c r="L730" s="492"/>
      <c r="M730" s="700"/>
      <c r="N730" s="492"/>
      <c r="O730" s="700"/>
      <c r="P730" s="700"/>
      <c r="Q730" s="492"/>
      <c r="R730" s="701"/>
      <c r="S730" s="701"/>
      <c r="T730" s="701"/>
    </row>
    <row r="731" spans="2:20" s="360" customFormat="1" ht="12.75">
      <c r="B731" s="492" t="s">
        <v>609</v>
      </c>
      <c r="C731" s="699"/>
      <c r="D731" s="492"/>
      <c r="E731" s="492"/>
      <c r="F731" s="492"/>
      <c r="G731" s="492"/>
      <c r="H731" s="492"/>
      <c r="I731" s="492"/>
      <c r="J731" s="492"/>
      <c r="K731" s="700"/>
      <c r="L731" s="492"/>
      <c r="M731" s="700"/>
      <c r="N731" s="492"/>
      <c r="O731" s="700"/>
      <c r="P731" s="700"/>
      <c r="Q731" s="492"/>
      <c r="R731" s="701"/>
      <c r="S731" s="701"/>
      <c r="T731" s="701"/>
    </row>
    <row r="732" spans="2:20" s="360" customFormat="1" ht="12.75">
      <c r="B732" s="702" t="s">
        <v>1678</v>
      </c>
      <c r="C732" s="699"/>
      <c r="D732" s="492"/>
      <c r="E732" s="492"/>
      <c r="F732" s="492"/>
      <c r="G732" s="492"/>
      <c r="H732" s="492"/>
      <c r="I732" s="492"/>
      <c r="J732" s="492"/>
      <c r="K732" s="700"/>
      <c r="L732" s="492"/>
      <c r="M732" s="700"/>
      <c r="N732" s="492"/>
      <c r="O732" s="700"/>
      <c r="P732" s="700"/>
      <c r="Q732" s="492"/>
      <c r="R732" s="701"/>
      <c r="S732" s="701"/>
      <c r="T732" s="701"/>
    </row>
    <row r="733" spans="2:20" s="360" customFormat="1" ht="12.75">
      <c r="B733" s="492" t="s">
        <v>1345</v>
      </c>
      <c r="C733" s="699"/>
      <c r="D733" s="492"/>
      <c r="E733" s="492"/>
      <c r="F733" s="492"/>
      <c r="G733" s="492"/>
      <c r="H733" s="492"/>
      <c r="I733" s="492"/>
      <c r="J733" s="492"/>
      <c r="K733" s="700"/>
      <c r="L733" s="492"/>
      <c r="M733" s="700"/>
      <c r="N733" s="492"/>
      <c r="O733" s="700"/>
      <c r="P733" s="700"/>
      <c r="Q733" s="492"/>
      <c r="R733" s="701"/>
      <c r="S733" s="701"/>
      <c r="T733" s="701"/>
    </row>
    <row r="734" spans="2:20" s="360" customFormat="1" ht="12.75">
      <c r="B734" s="492" t="s">
        <v>1346</v>
      </c>
      <c r="C734" s="699"/>
      <c r="D734" s="492"/>
      <c r="E734" s="492"/>
      <c r="F734" s="492"/>
      <c r="G734" s="492"/>
      <c r="H734" s="492"/>
      <c r="I734" s="492"/>
      <c r="J734" s="492"/>
      <c r="K734" s="700"/>
      <c r="L734" s="492"/>
      <c r="M734" s="700"/>
      <c r="N734" s="492"/>
      <c r="O734" s="700"/>
      <c r="P734" s="700"/>
      <c r="Q734" s="492"/>
      <c r="R734" s="701"/>
      <c r="S734" s="701"/>
      <c r="T734" s="701"/>
    </row>
    <row r="735" spans="2:20" s="360" customFormat="1" ht="12.75">
      <c r="B735" s="492" t="s">
        <v>609</v>
      </c>
      <c r="C735" s="699"/>
      <c r="D735" s="492"/>
      <c r="E735" s="492"/>
      <c r="F735" s="492"/>
      <c r="G735" s="492"/>
      <c r="H735" s="492"/>
      <c r="I735" s="492"/>
      <c r="J735" s="492"/>
      <c r="K735" s="700"/>
      <c r="L735" s="492"/>
      <c r="M735" s="700"/>
      <c r="N735" s="492"/>
      <c r="O735" s="700"/>
      <c r="P735" s="700"/>
      <c r="Q735" s="492"/>
      <c r="R735" s="701"/>
      <c r="S735" s="701"/>
      <c r="T735" s="701"/>
    </row>
    <row r="736" spans="2:20" s="360" customFormat="1" ht="12.75">
      <c r="B736" s="702" t="s">
        <v>1679</v>
      </c>
      <c r="C736" s="699"/>
      <c r="D736" s="492"/>
      <c r="E736" s="492"/>
      <c r="F736" s="492"/>
      <c r="G736" s="492"/>
      <c r="H736" s="492"/>
      <c r="I736" s="492"/>
      <c r="J736" s="492"/>
      <c r="K736" s="700"/>
      <c r="L736" s="492"/>
      <c r="M736" s="700"/>
      <c r="N736" s="492"/>
      <c r="O736" s="700"/>
      <c r="P736" s="700"/>
      <c r="Q736" s="492"/>
      <c r="R736" s="701"/>
      <c r="S736" s="701"/>
      <c r="T736" s="701"/>
    </row>
    <row r="737" spans="2:20" s="360" customFormat="1" ht="12.75">
      <c r="B737" s="702" t="s">
        <v>1680</v>
      </c>
      <c r="C737" s="699"/>
      <c r="D737" s="492"/>
      <c r="E737" s="492"/>
      <c r="F737" s="492"/>
      <c r="G737" s="492"/>
      <c r="H737" s="492"/>
      <c r="I737" s="492"/>
      <c r="J737" s="492"/>
      <c r="K737" s="700"/>
      <c r="L737" s="492"/>
      <c r="M737" s="700"/>
      <c r="N737" s="492"/>
      <c r="O737" s="700"/>
      <c r="P737" s="700"/>
      <c r="Q737" s="492"/>
      <c r="R737" s="701"/>
      <c r="S737" s="701"/>
      <c r="T737" s="701"/>
    </row>
    <row r="738" spans="2:20" s="360" customFormat="1" ht="12.75">
      <c r="B738" s="702" t="s">
        <v>1681</v>
      </c>
      <c r="C738" s="699"/>
      <c r="D738" s="492"/>
      <c r="E738" s="492"/>
      <c r="F738" s="492"/>
      <c r="G738" s="492"/>
      <c r="H738" s="492"/>
      <c r="I738" s="492"/>
      <c r="J738" s="492"/>
      <c r="K738" s="700"/>
      <c r="L738" s="492"/>
      <c r="M738" s="700"/>
      <c r="N738" s="492"/>
      <c r="O738" s="700"/>
      <c r="P738" s="700"/>
      <c r="Q738" s="492"/>
      <c r="R738" s="701"/>
      <c r="S738" s="701"/>
      <c r="T738" s="701"/>
    </row>
    <row r="739" spans="2:20" s="360" customFormat="1" ht="12.75">
      <c r="B739" s="492" t="s">
        <v>1347</v>
      </c>
      <c r="C739" s="699"/>
      <c r="D739" s="492"/>
      <c r="E739" s="492"/>
      <c r="F739" s="492"/>
      <c r="G739" s="492"/>
      <c r="H739" s="492"/>
      <c r="I739" s="492"/>
      <c r="J739" s="492"/>
      <c r="K739" s="700"/>
      <c r="L739" s="492"/>
      <c r="M739" s="700"/>
      <c r="N739" s="492"/>
      <c r="O739" s="700"/>
      <c r="P739" s="700"/>
      <c r="Q739" s="492"/>
      <c r="R739" s="701"/>
      <c r="S739" s="701"/>
      <c r="T739" s="701"/>
    </row>
    <row r="740" spans="2:20" s="360" customFormat="1" ht="12.75">
      <c r="B740" s="492" t="s">
        <v>609</v>
      </c>
      <c r="C740" s="699"/>
      <c r="D740" s="492"/>
      <c r="E740" s="492"/>
      <c r="F740" s="492"/>
      <c r="G740" s="492"/>
      <c r="H740" s="492"/>
      <c r="I740" s="492"/>
      <c r="J740" s="492"/>
      <c r="K740" s="700"/>
      <c r="L740" s="492"/>
      <c r="M740" s="700"/>
      <c r="N740" s="492"/>
      <c r="O740" s="700"/>
      <c r="P740" s="700"/>
      <c r="Q740" s="492"/>
      <c r="R740" s="701"/>
      <c r="S740" s="701"/>
      <c r="T740" s="701"/>
    </row>
    <row r="741" spans="2:20" s="360" customFormat="1" ht="12.75">
      <c r="B741" s="702" t="s">
        <v>1682</v>
      </c>
      <c r="C741" s="699"/>
      <c r="D741" s="492"/>
      <c r="E741" s="492"/>
      <c r="F741" s="492"/>
      <c r="G741" s="492"/>
      <c r="H741" s="492"/>
      <c r="I741" s="492"/>
      <c r="J741" s="492"/>
      <c r="K741" s="700"/>
      <c r="L741" s="492"/>
      <c r="M741" s="700"/>
      <c r="N741" s="492"/>
      <c r="O741" s="700"/>
      <c r="P741" s="700"/>
      <c r="Q741" s="492"/>
      <c r="R741" s="701"/>
      <c r="S741" s="701"/>
      <c r="T741" s="701"/>
    </row>
    <row r="742" spans="2:20" s="360" customFormat="1" ht="12.75">
      <c r="B742" s="492" t="s">
        <v>1348</v>
      </c>
      <c r="C742" s="699"/>
      <c r="D742" s="492"/>
      <c r="E742" s="492"/>
      <c r="F742" s="492"/>
      <c r="G742" s="492"/>
      <c r="H742" s="492"/>
      <c r="I742" s="492"/>
      <c r="J742" s="492"/>
      <c r="K742" s="700"/>
      <c r="L742" s="492"/>
      <c r="M742" s="700"/>
      <c r="N742" s="492"/>
      <c r="O742" s="700"/>
      <c r="P742" s="700"/>
      <c r="Q742" s="492"/>
      <c r="R742" s="701"/>
      <c r="S742" s="701"/>
      <c r="T742" s="701"/>
    </row>
    <row r="743" spans="2:20" s="360" customFormat="1" ht="12.75">
      <c r="B743" s="492" t="s">
        <v>1349</v>
      </c>
      <c r="C743" s="699"/>
      <c r="D743" s="492"/>
      <c r="E743" s="492"/>
      <c r="F743" s="492"/>
      <c r="G743" s="492"/>
      <c r="H743" s="492"/>
      <c r="I743" s="492"/>
      <c r="J743" s="492"/>
      <c r="K743" s="700"/>
      <c r="L743" s="492"/>
      <c r="M743" s="700"/>
      <c r="N743" s="492"/>
      <c r="O743" s="700"/>
      <c r="P743" s="700"/>
      <c r="Q743" s="492"/>
      <c r="R743" s="701"/>
      <c r="S743" s="701"/>
      <c r="T743" s="701"/>
    </row>
    <row r="744" spans="2:20" s="360" customFormat="1" ht="12.75">
      <c r="B744" s="492" t="s">
        <v>1350</v>
      </c>
      <c r="C744" s="699"/>
      <c r="D744" s="492"/>
      <c r="E744" s="492"/>
      <c r="F744" s="492"/>
      <c r="G744" s="492"/>
      <c r="H744" s="492"/>
      <c r="I744" s="492"/>
      <c r="J744" s="492"/>
      <c r="K744" s="700"/>
      <c r="L744" s="492"/>
      <c r="M744" s="700"/>
      <c r="N744" s="492"/>
      <c r="O744" s="700"/>
      <c r="P744" s="700"/>
      <c r="Q744" s="492"/>
      <c r="R744" s="701"/>
      <c r="S744" s="701"/>
      <c r="T744" s="701"/>
    </row>
    <row r="745" spans="2:20" s="360" customFormat="1" ht="12.75">
      <c r="B745" s="703" t="s">
        <v>1683</v>
      </c>
      <c r="C745" s="699"/>
      <c r="D745" s="492"/>
      <c r="E745" s="492"/>
      <c r="F745" s="492"/>
      <c r="G745" s="492"/>
      <c r="H745" s="492"/>
      <c r="I745" s="492"/>
      <c r="J745" s="492"/>
      <c r="K745" s="700"/>
      <c r="L745" s="492"/>
      <c r="M745" s="700"/>
      <c r="N745" s="492"/>
      <c r="O745" s="700"/>
      <c r="P745" s="700"/>
      <c r="Q745" s="492"/>
      <c r="R745" s="701"/>
      <c r="S745" s="701"/>
      <c r="T745" s="701"/>
    </row>
    <row r="746" spans="2:20" s="360" customFormat="1" ht="12.75">
      <c r="B746" s="702" t="s">
        <v>1684</v>
      </c>
      <c r="C746" s="699"/>
      <c r="D746" s="492"/>
      <c r="E746" s="492"/>
      <c r="F746" s="492"/>
      <c r="G746" s="492"/>
      <c r="H746" s="492"/>
      <c r="I746" s="492"/>
      <c r="J746" s="492"/>
      <c r="K746" s="700"/>
      <c r="L746" s="492"/>
      <c r="M746" s="700"/>
      <c r="N746" s="492"/>
      <c r="O746" s="700"/>
      <c r="P746" s="700"/>
      <c r="Q746" s="492"/>
      <c r="R746" s="701"/>
      <c r="S746" s="701"/>
      <c r="T746" s="701"/>
    </row>
    <row r="747" spans="2:20" s="360" customFormat="1" ht="12.75">
      <c r="B747" s="492" t="s">
        <v>1351</v>
      </c>
      <c r="C747" s="699"/>
      <c r="D747" s="492"/>
      <c r="E747" s="492"/>
      <c r="F747" s="492"/>
      <c r="G747" s="492"/>
      <c r="H747" s="492"/>
      <c r="I747" s="492"/>
      <c r="J747" s="492"/>
      <c r="K747" s="700"/>
      <c r="L747" s="492"/>
      <c r="M747" s="700"/>
      <c r="N747" s="492"/>
      <c r="O747" s="700"/>
      <c r="P747" s="700"/>
      <c r="Q747" s="492"/>
      <c r="R747" s="701"/>
      <c r="S747" s="701"/>
      <c r="T747" s="701"/>
    </row>
    <row r="748" spans="2:20" s="360" customFormat="1" ht="12.75">
      <c r="B748" s="492" t="s">
        <v>1352</v>
      </c>
      <c r="C748" s="699"/>
      <c r="D748" s="492"/>
      <c r="E748" s="492"/>
      <c r="F748" s="492"/>
      <c r="G748" s="492"/>
      <c r="H748" s="492"/>
      <c r="I748" s="492"/>
      <c r="J748" s="492"/>
      <c r="K748" s="700"/>
      <c r="L748" s="492"/>
      <c r="M748" s="700"/>
      <c r="N748" s="492"/>
      <c r="O748" s="700"/>
      <c r="P748" s="700"/>
      <c r="Q748" s="492"/>
      <c r="R748" s="701"/>
      <c r="S748" s="701"/>
      <c r="T748" s="701"/>
    </row>
    <row r="749" spans="2:20" s="360" customFormat="1" ht="12.75">
      <c r="B749" s="492" t="s">
        <v>1353</v>
      </c>
      <c r="C749" s="699"/>
      <c r="D749" s="492"/>
      <c r="E749" s="492"/>
      <c r="F749" s="492"/>
      <c r="G749" s="492"/>
      <c r="H749" s="492"/>
      <c r="I749" s="492"/>
      <c r="J749" s="492"/>
      <c r="K749" s="700"/>
      <c r="L749" s="492"/>
      <c r="M749" s="700"/>
      <c r="N749" s="492"/>
      <c r="O749" s="700"/>
      <c r="P749" s="700"/>
      <c r="Q749" s="492"/>
      <c r="R749" s="701"/>
      <c r="S749" s="701"/>
      <c r="T749" s="701"/>
    </row>
    <row r="750" spans="2:20" s="360" customFormat="1" ht="12.75">
      <c r="B750" s="492" t="s">
        <v>1349</v>
      </c>
      <c r="C750" s="699"/>
      <c r="D750" s="492"/>
      <c r="E750" s="492"/>
      <c r="F750" s="492"/>
      <c r="G750" s="492"/>
      <c r="H750" s="492"/>
      <c r="I750" s="492"/>
      <c r="J750" s="492"/>
      <c r="K750" s="700"/>
      <c r="L750" s="492"/>
      <c r="M750" s="700"/>
      <c r="N750" s="492"/>
      <c r="O750" s="700"/>
      <c r="P750" s="700"/>
      <c r="Q750" s="492"/>
      <c r="R750" s="701"/>
      <c r="S750" s="701"/>
      <c r="T750" s="701"/>
    </row>
    <row r="751" spans="2:20" s="360" customFormat="1" ht="12.75">
      <c r="B751" s="492" t="s">
        <v>1350</v>
      </c>
      <c r="C751" s="699"/>
      <c r="D751" s="492"/>
      <c r="E751" s="492"/>
      <c r="F751" s="492"/>
      <c r="G751" s="492"/>
      <c r="H751" s="492"/>
      <c r="I751" s="492"/>
      <c r="J751" s="492"/>
      <c r="K751" s="700"/>
      <c r="L751" s="492"/>
      <c r="M751" s="700"/>
      <c r="N751" s="492"/>
      <c r="O751" s="700"/>
      <c r="P751" s="700"/>
      <c r="Q751" s="492"/>
      <c r="R751" s="701"/>
      <c r="S751" s="701"/>
      <c r="T751" s="701"/>
    </row>
    <row r="752" spans="2:20" s="360" customFormat="1" ht="12.75">
      <c r="B752" s="702" t="s">
        <v>1685</v>
      </c>
      <c r="C752" s="699"/>
      <c r="D752" s="492"/>
      <c r="E752" s="492"/>
      <c r="F752" s="492"/>
      <c r="G752" s="492"/>
      <c r="H752" s="492"/>
      <c r="I752" s="492"/>
      <c r="J752" s="492"/>
      <c r="K752" s="700"/>
      <c r="L752" s="492"/>
      <c r="M752" s="700"/>
      <c r="N752" s="492"/>
      <c r="O752" s="700"/>
      <c r="P752" s="700"/>
      <c r="Q752" s="492"/>
      <c r="R752" s="701"/>
      <c r="S752" s="701"/>
      <c r="T752" s="701"/>
    </row>
    <row r="753" spans="2:20" s="360" customFormat="1" ht="12.75">
      <c r="B753" s="492" t="s">
        <v>1354</v>
      </c>
      <c r="C753" s="699"/>
      <c r="D753" s="492"/>
      <c r="E753" s="492"/>
      <c r="F753" s="492"/>
      <c r="G753" s="492"/>
      <c r="H753" s="492"/>
      <c r="I753" s="492"/>
      <c r="J753" s="492"/>
      <c r="K753" s="700"/>
      <c r="L753" s="492"/>
      <c r="M753" s="700"/>
      <c r="N753" s="492"/>
      <c r="O753" s="700"/>
      <c r="P753" s="700"/>
      <c r="Q753" s="492"/>
      <c r="R753" s="701"/>
      <c r="S753" s="701"/>
      <c r="T753" s="701"/>
    </row>
    <row r="754" spans="2:20" s="360" customFormat="1" ht="12.75">
      <c r="B754" s="702" t="s">
        <v>1686</v>
      </c>
      <c r="C754" s="699"/>
      <c r="D754" s="492"/>
      <c r="E754" s="492"/>
      <c r="F754" s="492"/>
      <c r="G754" s="492"/>
      <c r="H754" s="492"/>
      <c r="I754" s="492"/>
      <c r="J754" s="492"/>
      <c r="K754" s="700"/>
      <c r="L754" s="492"/>
      <c r="M754" s="700"/>
      <c r="N754" s="492"/>
      <c r="O754" s="700"/>
      <c r="P754" s="700"/>
      <c r="Q754" s="492"/>
      <c r="R754" s="701"/>
      <c r="S754" s="701"/>
      <c r="T754" s="701"/>
    </row>
    <row r="755" spans="2:20" s="360" customFormat="1" ht="12.75">
      <c r="B755" s="492" t="s">
        <v>1429</v>
      </c>
      <c r="C755" s="699"/>
      <c r="D755" s="492"/>
      <c r="E755" s="492"/>
      <c r="F755" s="492"/>
      <c r="G755" s="492"/>
      <c r="H755" s="492"/>
      <c r="I755" s="492"/>
      <c r="J755" s="492"/>
      <c r="K755" s="700"/>
      <c r="L755" s="492"/>
      <c r="M755" s="700"/>
      <c r="N755" s="492"/>
      <c r="O755" s="700"/>
      <c r="P755" s="700"/>
      <c r="Q755" s="492"/>
      <c r="R755" s="701"/>
      <c r="S755" s="701"/>
      <c r="T755" s="701"/>
    </row>
    <row r="756" spans="2:20" s="360" customFormat="1" ht="12.75">
      <c r="B756" s="492" t="s">
        <v>609</v>
      </c>
      <c r="C756" s="699"/>
      <c r="D756" s="492"/>
      <c r="E756" s="492"/>
      <c r="F756" s="492"/>
      <c r="G756" s="492"/>
      <c r="H756" s="492"/>
      <c r="I756" s="492"/>
      <c r="J756" s="492"/>
      <c r="K756" s="700"/>
      <c r="L756" s="492"/>
      <c r="M756" s="700"/>
      <c r="N756" s="492"/>
      <c r="O756" s="700"/>
      <c r="P756" s="700"/>
      <c r="Q756" s="492"/>
      <c r="R756" s="701"/>
      <c r="S756" s="701"/>
      <c r="T756" s="701"/>
    </row>
    <row r="757" spans="2:20" s="360" customFormat="1" ht="12.75">
      <c r="B757" s="702" t="s">
        <v>1687</v>
      </c>
      <c r="C757" s="699"/>
      <c r="D757" s="492"/>
      <c r="E757" s="492"/>
      <c r="F757" s="492"/>
      <c r="G757" s="492"/>
      <c r="H757" s="492"/>
      <c r="I757" s="492"/>
      <c r="J757" s="492"/>
      <c r="K757" s="700"/>
      <c r="L757" s="492"/>
      <c r="M757" s="700"/>
      <c r="N757" s="492"/>
      <c r="O757" s="700"/>
      <c r="P757" s="700"/>
      <c r="Q757" s="492"/>
      <c r="R757" s="701"/>
      <c r="S757" s="701"/>
      <c r="T757" s="701"/>
    </row>
    <row r="758" spans="2:20" s="360" customFormat="1" ht="12.75">
      <c r="B758" s="704" t="s">
        <v>1688</v>
      </c>
      <c r="C758" s="699"/>
      <c r="D758" s="492"/>
      <c r="E758" s="492"/>
      <c r="F758" s="492"/>
      <c r="G758" s="492"/>
      <c r="H758" s="492"/>
      <c r="I758" s="492"/>
      <c r="J758" s="492"/>
      <c r="K758" s="700"/>
      <c r="L758" s="492"/>
      <c r="M758" s="700"/>
      <c r="N758" s="492"/>
      <c r="O758" s="700"/>
      <c r="P758" s="700"/>
      <c r="Q758" s="492"/>
      <c r="R758" s="701"/>
      <c r="S758" s="701"/>
      <c r="T758" s="701"/>
    </row>
    <row r="759" spans="2:20" s="360" customFormat="1" ht="12.75">
      <c r="B759" s="702" t="s">
        <v>1689</v>
      </c>
      <c r="C759" s="699"/>
      <c r="D759" s="492"/>
      <c r="E759" s="492"/>
      <c r="F759" s="492"/>
      <c r="G759" s="492"/>
      <c r="H759" s="492"/>
      <c r="I759" s="492"/>
      <c r="J759" s="492"/>
      <c r="K759" s="700"/>
      <c r="L759" s="492"/>
      <c r="M759" s="700"/>
      <c r="N759" s="492"/>
      <c r="O759" s="700"/>
      <c r="P759" s="700"/>
      <c r="Q759" s="492"/>
      <c r="R759" s="701"/>
      <c r="S759" s="701"/>
      <c r="T759" s="701"/>
    </row>
    <row r="760" spans="2:20" s="360" customFormat="1" ht="12.75">
      <c r="B760" s="702" t="s">
        <v>1690</v>
      </c>
      <c r="C760" s="699"/>
      <c r="D760" s="492"/>
      <c r="E760" s="492"/>
      <c r="F760" s="492"/>
      <c r="G760" s="492"/>
      <c r="H760" s="492"/>
      <c r="I760" s="492"/>
      <c r="J760" s="492"/>
      <c r="K760" s="700"/>
      <c r="L760" s="492"/>
      <c r="M760" s="700"/>
      <c r="N760" s="492"/>
      <c r="O760" s="700"/>
      <c r="P760" s="700"/>
      <c r="Q760" s="492"/>
      <c r="R760" s="701"/>
      <c r="S760" s="701"/>
      <c r="T760" s="701"/>
    </row>
    <row r="761" spans="2:20" s="360" customFormat="1" ht="12.75">
      <c r="B761" s="702" t="s">
        <v>1691</v>
      </c>
      <c r="C761" s="699"/>
      <c r="D761" s="492"/>
      <c r="E761" s="492"/>
      <c r="F761" s="492"/>
      <c r="G761" s="492"/>
      <c r="H761" s="492"/>
      <c r="I761" s="492"/>
      <c r="J761" s="492"/>
      <c r="K761" s="700"/>
      <c r="L761" s="492"/>
      <c r="M761" s="700"/>
      <c r="N761" s="492"/>
      <c r="O761" s="700"/>
      <c r="P761" s="700"/>
      <c r="Q761" s="492"/>
      <c r="R761" s="701"/>
      <c r="S761" s="701"/>
      <c r="T761" s="701"/>
    </row>
    <row r="762" spans="2:20" s="360" customFormat="1" ht="12.75">
      <c r="B762" s="702" t="s">
        <v>1692</v>
      </c>
      <c r="C762" s="699"/>
      <c r="D762" s="492"/>
      <c r="E762" s="492"/>
      <c r="F762" s="492"/>
      <c r="G762" s="492"/>
      <c r="H762" s="492"/>
      <c r="I762" s="492"/>
      <c r="J762" s="492"/>
      <c r="K762" s="700"/>
      <c r="L762" s="492"/>
      <c r="M762" s="700"/>
      <c r="N762" s="492"/>
      <c r="O762" s="700"/>
      <c r="P762" s="700"/>
      <c r="Q762" s="492"/>
      <c r="R762" s="701"/>
      <c r="S762" s="701"/>
      <c r="T762" s="701"/>
    </row>
    <row r="763" spans="2:20" s="360" customFormat="1" ht="12.75">
      <c r="B763" s="702" t="s">
        <v>1693</v>
      </c>
      <c r="C763" s="699"/>
      <c r="D763" s="492"/>
      <c r="E763" s="492"/>
      <c r="F763" s="492"/>
      <c r="G763" s="492"/>
      <c r="H763" s="492"/>
      <c r="I763" s="492"/>
      <c r="J763" s="492"/>
      <c r="K763" s="700"/>
      <c r="L763" s="492"/>
      <c r="M763" s="700"/>
      <c r="N763" s="492"/>
      <c r="O763" s="700"/>
      <c r="P763" s="700"/>
      <c r="Q763" s="492"/>
      <c r="R763" s="701"/>
      <c r="S763" s="701"/>
      <c r="T763" s="701"/>
    </row>
    <row r="764" spans="2:20" s="360" customFormat="1" ht="12.75">
      <c r="B764" s="702" t="s">
        <v>1694</v>
      </c>
      <c r="C764" s="699"/>
      <c r="D764" s="492"/>
      <c r="E764" s="492"/>
      <c r="F764" s="492"/>
      <c r="G764" s="492"/>
      <c r="H764" s="492"/>
      <c r="I764" s="492"/>
      <c r="J764" s="492"/>
      <c r="K764" s="700"/>
      <c r="L764" s="492"/>
      <c r="M764" s="700"/>
      <c r="N764" s="492"/>
      <c r="O764" s="700"/>
      <c r="P764" s="700"/>
      <c r="Q764" s="492"/>
      <c r="R764" s="701"/>
      <c r="S764" s="701"/>
      <c r="T764" s="701"/>
    </row>
    <row r="765" spans="2:20" s="360" customFormat="1" ht="12.75">
      <c r="B765" s="702" t="s">
        <v>1695</v>
      </c>
      <c r="C765" s="699"/>
      <c r="D765" s="492"/>
      <c r="E765" s="492"/>
      <c r="F765" s="492"/>
      <c r="G765" s="492"/>
      <c r="H765" s="492"/>
      <c r="I765" s="492"/>
      <c r="J765" s="492"/>
      <c r="K765" s="700"/>
      <c r="L765" s="492"/>
      <c r="M765" s="700"/>
      <c r="N765" s="492"/>
      <c r="O765" s="700"/>
      <c r="P765" s="700"/>
      <c r="Q765" s="492"/>
      <c r="R765" s="701"/>
      <c r="S765" s="701"/>
      <c r="T765" s="701"/>
    </row>
    <row r="766" spans="2:20" s="360" customFormat="1" ht="12.75">
      <c r="B766" s="702" t="s">
        <v>1696</v>
      </c>
      <c r="C766" s="699"/>
      <c r="D766" s="492"/>
      <c r="E766" s="492"/>
      <c r="F766" s="492"/>
      <c r="G766" s="492"/>
      <c r="H766" s="492"/>
      <c r="I766" s="492"/>
      <c r="J766" s="492"/>
      <c r="K766" s="700"/>
      <c r="L766" s="492"/>
      <c r="M766" s="700"/>
      <c r="N766" s="492"/>
      <c r="O766" s="700"/>
      <c r="P766" s="700"/>
      <c r="Q766" s="492"/>
      <c r="R766" s="701"/>
      <c r="S766" s="701"/>
      <c r="T766" s="701"/>
    </row>
    <row r="767" spans="2:20" s="360" customFormat="1" ht="12.75">
      <c r="B767" s="702" t="s">
        <v>1697</v>
      </c>
      <c r="C767" s="699"/>
      <c r="D767" s="492"/>
      <c r="E767" s="492"/>
      <c r="F767" s="492"/>
      <c r="G767" s="492"/>
      <c r="H767" s="492"/>
      <c r="I767" s="492"/>
      <c r="J767" s="492"/>
      <c r="K767" s="700"/>
      <c r="L767" s="492"/>
      <c r="M767" s="700"/>
      <c r="N767" s="492"/>
      <c r="O767" s="700"/>
      <c r="P767" s="700"/>
      <c r="Q767" s="492"/>
      <c r="R767" s="701"/>
      <c r="S767" s="701"/>
      <c r="T767" s="701"/>
    </row>
    <row r="768" spans="2:20" s="360" customFormat="1" ht="12.75">
      <c r="B768" s="702" t="s">
        <v>1698</v>
      </c>
      <c r="C768" s="699"/>
      <c r="D768" s="492"/>
      <c r="E768" s="492"/>
      <c r="F768" s="492"/>
      <c r="G768" s="492"/>
      <c r="H768" s="492"/>
      <c r="I768" s="492"/>
      <c r="J768" s="492"/>
      <c r="K768" s="700"/>
      <c r="L768" s="492"/>
      <c r="M768" s="700"/>
      <c r="N768" s="492"/>
      <c r="O768" s="700"/>
      <c r="P768" s="700"/>
      <c r="Q768" s="492"/>
      <c r="R768" s="701"/>
      <c r="S768" s="701"/>
      <c r="T768" s="701"/>
    </row>
    <row r="769" spans="2:20" s="360" customFormat="1" ht="37.5" customHeight="1">
      <c r="B769" s="816" t="s">
        <v>1699</v>
      </c>
      <c r="C769" s="817"/>
      <c r="D769" s="817"/>
      <c r="E769" s="817"/>
      <c r="F769" s="817"/>
      <c r="G769" s="817"/>
      <c r="H769" s="817"/>
      <c r="I769" s="817"/>
      <c r="J769" s="817"/>
      <c r="K769" s="817"/>
      <c r="L769" s="817"/>
      <c r="M769" s="817"/>
      <c r="N769" s="817"/>
      <c r="O769" s="817"/>
      <c r="P769" s="817"/>
      <c r="Q769" s="817"/>
      <c r="R769" s="817"/>
      <c r="S769" s="817"/>
      <c r="T769" s="817"/>
    </row>
    <row r="770" spans="2:20" s="360" customFormat="1" ht="12.75">
      <c r="B770" s="810" t="s">
        <v>1700</v>
      </c>
      <c r="C770" s="811"/>
      <c r="D770" s="811"/>
      <c r="E770" s="811"/>
      <c r="F770" s="811"/>
      <c r="G770" s="811"/>
      <c r="H770" s="811"/>
      <c r="I770" s="811"/>
      <c r="J770" s="811"/>
      <c r="K770" s="811"/>
      <c r="L770" s="811"/>
      <c r="M770" s="811"/>
      <c r="N770" s="811"/>
      <c r="O770" s="811"/>
      <c r="P770" s="811"/>
      <c r="Q770" s="811"/>
      <c r="R770" s="701"/>
      <c r="S770" s="701"/>
      <c r="T770" s="701"/>
    </row>
    <row r="771" spans="2:20" ht="12.75">
      <c r="B771" s="818" t="s">
        <v>1701</v>
      </c>
      <c r="C771" s="801"/>
      <c r="D771" s="801"/>
      <c r="E771" s="801"/>
      <c r="F771" s="801"/>
      <c r="G771" s="801"/>
      <c r="H771" s="801"/>
      <c r="I771" s="801"/>
      <c r="J771" s="801"/>
      <c r="K771" s="801"/>
      <c r="L771" s="801"/>
      <c r="M771" s="801"/>
      <c r="N771" s="801"/>
      <c r="O771" s="801"/>
      <c r="P771" s="801"/>
      <c r="Q771" s="801"/>
      <c r="R771" s="310"/>
      <c r="S771" s="310"/>
      <c r="T771" s="310"/>
    </row>
    <row r="772" spans="2:20" ht="12.75">
      <c r="B772" s="818" t="s">
        <v>1702</v>
      </c>
      <c r="C772" s="801"/>
      <c r="D772" s="801"/>
      <c r="E772" s="801"/>
      <c r="F772" s="801"/>
      <c r="G772" s="801"/>
      <c r="H772" s="801"/>
      <c r="I772" s="801"/>
      <c r="J772" s="801"/>
      <c r="K772" s="801"/>
      <c r="L772" s="801"/>
      <c r="M772" s="801"/>
      <c r="N772" s="801"/>
      <c r="O772" s="801"/>
      <c r="P772" s="801"/>
      <c r="Q772" s="801"/>
      <c r="R772" s="310"/>
      <c r="S772" s="310"/>
      <c r="T772" s="310"/>
    </row>
    <row r="773" spans="2:20" ht="12.75">
      <c r="B773" s="818" t="s">
        <v>1703</v>
      </c>
      <c r="C773" s="801"/>
      <c r="D773" s="801"/>
      <c r="E773" s="801"/>
      <c r="F773" s="801"/>
      <c r="G773" s="801"/>
      <c r="H773" s="801"/>
      <c r="I773" s="801"/>
      <c r="J773" s="801"/>
      <c r="K773" s="801"/>
      <c r="L773" s="801"/>
      <c r="M773" s="801"/>
      <c r="N773" s="801"/>
      <c r="O773" s="801"/>
      <c r="P773" s="801"/>
      <c r="Q773" s="801"/>
      <c r="R773" s="310"/>
      <c r="S773" s="310"/>
      <c r="T773" s="310"/>
    </row>
    <row r="774" spans="2:20" ht="12.75">
      <c r="B774" s="801" t="s">
        <v>1704</v>
      </c>
      <c r="C774" s="801"/>
      <c r="D774" s="801"/>
      <c r="E774" s="801"/>
      <c r="F774" s="384"/>
      <c r="G774" s="384"/>
      <c r="H774" s="384"/>
      <c r="I774" s="384"/>
      <c r="J774" s="384"/>
      <c r="K774" s="385"/>
      <c r="L774" s="384"/>
      <c r="M774" s="385"/>
      <c r="N774" s="384"/>
      <c r="O774" s="385"/>
      <c r="P774" s="385"/>
      <c r="Q774" s="384"/>
      <c r="R774" s="310"/>
      <c r="S774" s="310"/>
      <c r="T774" s="310"/>
    </row>
    <row r="775" spans="2:20" ht="12.75">
      <c r="B775" s="384" t="s">
        <v>1541</v>
      </c>
      <c r="C775" s="384"/>
      <c r="D775" s="384"/>
      <c r="E775" s="384"/>
      <c r="F775" s="384"/>
      <c r="G775" s="384"/>
      <c r="H775" s="384"/>
      <c r="I775" s="384"/>
      <c r="J775" s="384"/>
      <c r="K775" s="385"/>
      <c r="L775" s="384"/>
      <c r="M775" s="385"/>
      <c r="N775" s="384"/>
      <c r="O775" s="385"/>
      <c r="P775" s="385"/>
      <c r="Q775" s="384"/>
      <c r="R775" s="310"/>
      <c r="S775" s="310"/>
      <c r="T775" s="310"/>
    </row>
    <row r="776" spans="2:20" ht="12.75">
      <c r="B776" s="384" t="s">
        <v>1542</v>
      </c>
      <c r="C776" s="384"/>
      <c r="D776" s="384"/>
      <c r="E776" s="384"/>
      <c r="F776" s="384"/>
      <c r="G776" s="384"/>
      <c r="H776" s="384"/>
      <c r="I776" s="384"/>
      <c r="J776" s="384"/>
      <c r="K776" s="385"/>
      <c r="L776" s="384"/>
      <c r="M776" s="385"/>
      <c r="N776" s="384"/>
      <c r="O776" s="385"/>
      <c r="P776" s="385"/>
      <c r="Q776" s="384"/>
      <c r="R776" s="384"/>
      <c r="S776" s="384"/>
      <c r="T776" s="384"/>
    </row>
    <row r="777" spans="2:20" ht="12.75">
      <c r="B777" s="818" t="s">
        <v>1705</v>
      </c>
      <c r="C777" s="818"/>
      <c r="D777" s="818"/>
      <c r="E777" s="384"/>
      <c r="F777" s="384"/>
      <c r="G777" s="384"/>
      <c r="H777" s="384"/>
      <c r="I777" s="384"/>
      <c r="J777" s="384"/>
      <c r="K777" s="385"/>
      <c r="L777" s="384"/>
      <c r="M777" s="385"/>
      <c r="N777" s="384"/>
      <c r="O777" s="385"/>
      <c r="P777" s="385"/>
      <c r="Q777" s="384"/>
      <c r="R777" s="384"/>
      <c r="S777" s="384"/>
      <c r="T777" s="384"/>
    </row>
    <row r="778" spans="2:20" ht="12.75">
      <c r="B778" s="384" t="s">
        <v>1544</v>
      </c>
      <c r="C778" s="384"/>
      <c r="D778" s="384"/>
      <c r="E778" s="384"/>
      <c r="F778" s="384"/>
      <c r="G778" s="384"/>
      <c r="H778" s="384"/>
      <c r="I778" s="384"/>
      <c r="J778" s="384"/>
      <c r="K778" s="385"/>
      <c r="L778" s="384"/>
      <c r="M778" s="385"/>
      <c r="N778" s="384"/>
      <c r="O778" s="385"/>
      <c r="P778" s="385"/>
      <c r="Q778" s="384"/>
      <c r="R778" s="384"/>
      <c r="S778" s="384"/>
      <c r="T778" s="384"/>
    </row>
    <row r="779" spans="2:20" ht="12.75">
      <c r="B779" s="818" t="s">
        <v>1706</v>
      </c>
      <c r="C779" s="801"/>
      <c r="D779" s="801"/>
      <c r="E779" s="801"/>
      <c r="F779" s="801"/>
      <c r="G779" s="801"/>
      <c r="H779" s="801"/>
      <c r="I779" s="801"/>
      <c r="J779" s="801"/>
      <c r="K779" s="801"/>
      <c r="L779" s="801"/>
      <c r="M779" s="801"/>
      <c r="N779" s="801"/>
      <c r="O779" s="801"/>
      <c r="P779" s="801"/>
      <c r="Q779" s="801"/>
      <c r="R779" s="384"/>
      <c r="S779" s="384"/>
      <c r="T779" s="384"/>
    </row>
    <row r="780" spans="2:20" ht="12.75">
      <c r="B780" s="810" t="s">
        <v>1707</v>
      </c>
      <c r="C780" s="811"/>
      <c r="D780" s="811"/>
      <c r="E780" s="811"/>
      <c r="F780" s="811"/>
      <c r="G780" s="811"/>
      <c r="H780" s="811"/>
      <c r="I780" s="811"/>
      <c r="J780" s="811"/>
      <c r="K780" s="811"/>
      <c r="L780" s="811"/>
      <c r="M780" s="811"/>
      <c r="N780" s="811"/>
      <c r="O780" s="811"/>
      <c r="P780" s="811"/>
      <c r="Q780" s="811"/>
      <c r="R780" s="384"/>
      <c r="S780" s="384"/>
      <c r="T780" s="384"/>
    </row>
    <row r="781" spans="2:20" ht="12.75">
      <c r="B781" s="810" t="s">
        <v>1708</v>
      </c>
      <c r="C781" s="811"/>
      <c r="D781" s="811"/>
      <c r="E781" s="811"/>
      <c r="F781" s="811"/>
      <c r="G781" s="811"/>
      <c r="H781" s="811"/>
      <c r="I781" s="811"/>
      <c r="J781" s="811"/>
      <c r="K781" s="811"/>
      <c r="L781" s="811"/>
      <c r="M781" s="811"/>
      <c r="N781" s="811"/>
      <c r="O781" s="811"/>
      <c r="P781" s="811"/>
      <c r="Q781" s="811"/>
      <c r="R781" s="384"/>
      <c r="S781" s="384"/>
      <c r="T781" s="384"/>
    </row>
    <row r="782" spans="2:20" ht="12.75">
      <c r="B782" s="387" t="s">
        <v>1709</v>
      </c>
      <c r="C782" s="383"/>
      <c r="D782" s="384"/>
      <c r="E782" s="384"/>
      <c r="F782" s="384"/>
      <c r="G782" s="384"/>
      <c r="H782" s="384"/>
      <c r="I782" s="384"/>
      <c r="J782" s="384"/>
      <c r="K782" s="385"/>
      <c r="L782" s="384"/>
      <c r="M782" s="385"/>
      <c r="N782" s="384"/>
      <c r="O782" s="385"/>
      <c r="P782" s="385"/>
      <c r="Q782" s="384"/>
      <c r="R782" s="384"/>
      <c r="S782" s="384"/>
      <c r="T782" s="384"/>
    </row>
    <row r="783" spans="2:8" ht="12.75">
      <c r="B783" s="387" t="s">
        <v>1741</v>
      </c>
      <c r="C783" s="383"/>
      <c r="D783" s="384"/>
      <c r="E783" s="384"/>
      <c r="F783" s="384"/>
      <c r="G783" s="384"/>
      <c r="H783" s="384"/>
    </row>
    <row r="784" spans="2:16" s="384" customFormat="1" ht="12.75">
      <c r="B784" s="387" t="s">
        <v>1743</v>
      </c>
      <c r="C784" s="383"/>
      <c r="K784" s="385"/>
      <c r="M784" s="385"/>
      <c r="O784" s="385"/>
      <c r="P784" s="385"/>
    </row>
    <row r="785" spans="2:8" ht="12.75">
      <c r="B785" s="387" t="s">
        <v>1745</v>
      </c>
      <c r="C785" s="383"/>
      <c r="D785" s="384"/>
      <c r="E785" s="384"/>
      <c r="F785" s="384"/>
      <c r="G785" s="384"/>
      <c r="H785" s="384"/>
    </row>
    <row r="786" ht="12.75">
      <c r="B786" s="387" t="s">
        <v>1746</v>
      </c>
    </row>
    <row r="787" ht="12.75">
      <c r="B787" s="387" t="s">
        <v>1747</v>
      </c>
    </row>
    <row r="788" ht="12.75">
      <c r="B788" s="387" t="s">
        <v>1750</v>
      </c>
    </row>
    <row r="789" ht="12.75">
      <c r="B789" s="411" t="s">
        <v>1814</v>
      </c>
    </row>
    <row r="790" ht="12.75">
      <c r="B790" s="386" t="s">
        <v>1857</v>
      </c>
    </row>
    <row r="791" spans="2:27" ht="12.75">
      <c r="B791" s="387" t="s">
        <v>1815</v>
      </c>
      <c r="C791" s="384"/>
      <c r="D791" s="384"/>
      <c r="E791" s="384"/>
      <c r="F791" s="384"/>
      <c r="G791" s="384"/>
      <c r="H791" s="384"/>
      <c r="I791" s="384"/>
      <c r="J791" s="384"/>
      <c r="K791" s="384"/>
      <c r="L791" s="384"/>
      <c r="M791" s="384"/>
      <c r="N791" s="384"/>
      <c r="O791" s="384"/>
      <c r="P791" s="384"/>
      <c r="Q791" s="384"/>
      <c r="R791" s="384"/>
      <c r="S791" s="384"/>
      <c r="T791" s="384"/>
      <c r="U791" s="384"/>
      <c r="V791" s="384"/>
      <c r="W791" s="384"/>
      <c r="X791" s="403"/>
      <c r="Y791" s="403"/>
      <c r="Z791" s="403"/>
      <c r="AA791" s="403"/>
    </row>
    <row r="792" spans="2:27" ht="24.75" customHeight="1">
      <c r="B792" s="814" t="s">
        <v>1816</v>
      </c>
      <c r="C792" s="814"/>
      <c r="D792" s="814"/>
      <c r="E792" s="814"/>
      <c r="F792" s="814"/>
      <c r="G792" s="814"/>
      <c r="H792" s="814"/>
      <c r="I792" s="814"/>
      <c r="J792" s="814"/>
      <c r="K792" s="814"/>
      <c r="L792" s="814"/>
      <c r="M792" s="814"/>
      <c r="N792" s="814"/>
      <c r="O792" s="814"/>
      <c r="P792" s="814"/>
      <c r="Q792" s="814"/>
      <c r="R792" s="814"/>
      <c r="S792" s="814"/>
      <c r="T792" s="814"/>
      <c r="U792" s="168"/>
      <c r="V792" s="168"/>
      <c r="W792" s="168"/>
      <c r="X792" s="168"/>
      <c r="Y792" s="168"/>
      <c r="Z792" s="168"/>
      <c r="AA792" s="168"/>
    </row>
    <row r="793" spans="2:27" ht="16.5" customHeight="1">
      <c r="B793" s="387" t="s">
        <v>1817</v>
      </c>
      <c r="C793" s="404"/>
      <c r="D793" s="404"/>
      <c r="E793" s="404"/>
      <c r="F793" s="404"/>
      <c r="G793" s="404"/>
      <c r="H793" s="404"/>
      <c r="I793" s="404"/>
      <c r="J793" s="404"/>
      <c r="K793" s="404"/>
      <c r="L793" s="404"/>
      <c r="M793" s="404"/>
      <c r="N793" s="404"/>
      <c r="O793" s="404"/>
      <c r="P793" s="404"/>
      <c r="Q793" s="404"/>
      <c r="R793" s="404"/>
      <c r="S793" s="404"/>
      <c r="T793" s="404"/>
      <c r="U793" s="168"/>
      <c r="V793" s="168"/>
      <c r="W793" s="168"/>
      <c r="X793" s="168"/>
      <c r="Y793" s="168"/>
      <c r="Z793" s="168"/>
      <c r="AA793" s="168"/>
    </row>
    <row r="794" spans="2:27" ht="12.75">
      <c r="B794" s="387" t="s">
        <v>1818</v>
      </c>
      <c r="C794" s="384"/>
      <c r="D794" s="384"/>
      <c r="E794" s="384"/>
      <c r="F794" s="384"/>
      <c r="G794" s="384"/>
      <c r="H794" s="384"/>
      <c r="I794" s="384"/>
      <c r="J794" s="384"/>
      <c r="K794" s="384"/>
      <c r="L794" s="384"/>
      <c r="M794" s="384"/>
      <c r="N794" s="384"/>
      <c r="O794" s="384"/>
      <c r="P794" s="384"/>
      <c r="Q794" s="384"/>
      <c r="R794" s="384"/>
      <c r="S794" s="384"/>
      <c r="T794" s="384"/>
      <c r="U794" s="384"/>
      <c r="V794" s="384"/>
      <c r="W794" s="384"/>
      <c r="X794" s="403"/>
      <c r="Y794" s="403"/>
      <c r="Z794" s="403"/>
      <c r="AA794" s="403"/>
    </row>
    <row r="795" spans="2:27" ht="30" customHeight="1">
      <c r="B795" s="814" t="s">
        <v>1819</v>
      </c>
      <c r="C795" s="814"/>
      <c r="D795" s="814"/>
      <c r="E795" s="814"/>
      <c r="F795" s="814"/>
      <c r="G795" s="814"/>
      <c r="H795" s="814"/>
      <c r="I795" s="814"/>
      <c r="J795" s="814"/>
      <c r="K795" s="814"/>
      <c r="L795" s="814"/>
      <c r="M795" s="814"/>
      <c r="N795" s="814"/>
      <c r="O795" s="814"/>
      <c r="P795" s="814"/>
      <c r="Q795" s="814"/>
      <c r="R795" s="814"/>
      <c r="S795" s="814"/>
      <c r="T795" s="814"/>
      <c r="U795" s="814"/>
      <c r="V795" s="815"/>
      <c r="W795" s="815"/>
      <c r="X795" s="815"/>
      <c r="Y795" s="815"/>
      <c r="Z795" s="815"/>
      <c r="AA795" s="815"/>
    </row>
    <row r="796" ht="12.75">
      <c r="B796" s="387" t="s">
        <v>1820</v>
      </c>
    </row>
    <row r="797" ht="12.75">
      <c r="B797" s="417" t="s">
        <v>1859</v>
      </c>
    </row>
    <row r="798" ht="12.75">
      <c r="B798" s="418" t="s">
        <v>1861</v>
      </c>
    </row>
    <row r="799" spans="2:16" ht="12.75">
      <c r="B799" s="796" t="s">
        <v>1863</v>
      </c>
      <c r="C799" s="819"/>
      <c r="D799" s="819"/>
      <c r="E799" s="819"/>
      <c r="F799" s="819"/>
      <c r="G799" s="819"/>
      <c r="H799" s="819"/>
      <c r="I799" s="819"/>
      <c r="J799" s="819"/>
      <c r="K799" s="819"/>
      <c r="L799" s="819"/>
      <c r="M799" s="819"/>
      <c r="N799" s="819"/>
      <c r="O799" s="815"/>
      <c r="P799" s="815"/>
    </row>
    <row r="800" spans="2:16" ht="12.75">
      <c r="B800" s="796" t="s">
        <v>1865</v>
      </c>
      <c r="C800" s="819"/>
      <c r="D800" s="819"/>
      <c r="E800" s="819"/>
      <c r="F800" s="819"/>
      <c r="G800" s="819"/>
      <c r="H800" s="819"/>
      <c r="I800" s="819"/>
      <c r="J800" s="819"/>
      <c r="K800" s="819"/>
      <c r="L800" s="819"/>
      <c r="M800" s="819"/>
      <c r="N800" s="819"/>
      <c r="O800" s="815"/>
      <c r="P800" s="815"/>
    </row>
    <row r="801" spans="2:16" ht="12.75">
      <c r="B801" s="796" t="s">
        <v>1867</v>
      </c>
      <c r="C801" s="819"/>
      <c r="D801" s="819"/>
      <c r="E801" s="819"/>
      <c r="F801" s="819"/>
      <c r="G801" s="819"/>
      <c r="H801" s="819"/>
      <c r="I801" s="819"/>
      <c r="J801" s="819"/>
      <c r="K801" s="819"/>
      <c r="L801" s="819"/>
      <c r="M801" s="819"/>
      <c r="N801" s="819"/>
      <c r="O801" s="815"/>
      <c r="P801" s="815"/>
    </row>
    <row r="802" spans="2:16" ht="12.75">
      <c r="B802" s="796" t="s">
        <v>1869</v>
      </c>
      <c r="C802" s="819"/>
      <c r="D802" s="819"/>
      <c r="E802" s="819"/>
      <c r="F802" s="819"/>
      <c r="G802" s="819"/>
      <c r="H802" s="819"/>
      <c r="I802" s="819"/>
      <c r="J802" s="819"/>
      <c r="K802" s="819"/>
      <c r="L802" s="819"/>
      <c r="M802" s="819"/>
      <c r="N802" s="819"/>
      <c r="O802" s="815"/>
      <c r="P802" s="815"/>
    </row>
    <row r="803" spans="2:16" ht="12.75">
      <c r="B803" s="796" t="s">
        <v>1870</v>
      </c>
      <c r="C803" s="819"/>
      <c r="D803" s="819"/>
      <c r="E803" s="819"/>
      <c r="F803" s="819"/>
      <c r="G803" s="819"/>
      <c r="H803" s="819"/>
      <c r="I803" s="819"/>
      <c r="J803" s="819"/>
      <c r="K803" s="819"/>
      <c r="L803" s="819"/>
      <c r="M803" s="819"/>
      <c r="N803" s="819"/>
      <c r="O803" s="815"/>
      <c r="P803" s="815"/>
    </row>
    <row r="804" spans="2:18" ht="12.75">
      <c r="B804" s="794" t="s">
        <v>1910</v>
      </c>
      <c r="C804" s="795"/>
      <c r="D804" s="795"/>
      <c r="E804" s="795"/>
      <c r="F804" s="795"/>
      <c r="G804" s="795"/>
      <c r="H804" s="795"/>
      <c r="I804" s="795"/>
      <c r="J804" s="795"/>
      <c r="K804" s="795"/>
      <c r="L804" s="795"/>
      <c r="M804" s="795"/>
      <c r="N804" s="795"/>
      <c r="O804" s="795"/>
      <c r="P804" s="795"/>
      <c r="Q804" s="795"/>
      <c r="R804" s="795"/>
    </row>
    <row r="805" spans="2:16" ht="12.75">
      <c r="B805" s="796" t="s">
        <v>1911</v>
      </c>
      <c r="C805" s="796"/>
      <c r="D805" s="796"/>
      <c r="E805" s="796"/>
      <c r="F805" s="796"/>
      <c r="G805" s="796"/>
      <c r="H805" s="796"/>
      <c r="I805" s="796"/>
      <c r="J805" s="796"/>
      <c r="K805" s="796"/>
      <c r="L805" s="796"/>
      <c r="M805" s="796"/>
      <c r="N805" s="796"/>
      <c r="O805" s="796"/>
      <c r="P805" s="796"/>
    </row>
  </sheetData>
  <sheetProtection/>
  <mergeCells count="49">
    <mergeCell ref="B803:P803"/>
    <mergeCell ref="B792:T792"/>
    <mergeCell ref="B795:T795"/>
    <mergeCell ref="B777:D777"/>
    <mergeCell ref="B779:Q779"/>
    <mergeCell ref="B799:P799"/>
    <mergeCell ref="B800:P800"/>
    <mergeCell ref="B801:P801"/>
    <mergeCell ref="B802:P802"/>
    <mergeCell ref="C477:C478"/>
    <mergeCell ref="M477:M478"/>
    <mergeCell ref="M480:M481"/>
    <mergeCell ref="U795:AA795"/>
    <mergeCell ref="B781:Q781"/>
    <mergeCell ref="B769:T769"/>
    <mergeCell ref="B770:Q770"/>
    <mergeCell ref="B771:Q771"/>
    <mergeCell ref="B772:Q772"/>
    <mergeCell ref="B773:Q773"/>
    <mergeCell ref="H477:H478"/>
    <mergeCell ref="H480:H481"/>
    <mergeCell ref="O477:O478"/>
    <mergeCell ref="P477:P478"/>
    <mergeCell ref="B780:Q780"/>
    <mergeCell ref="K477:K478"/>
    <mergeCell ref="J480:J481"/>
    <mergeCell ref="K480:K481"/>
    <mergeCell ref="Q477:Q478"/>
    <mergeCell ref="B477:B478"/>
    <mergeCell ref="B4:T4"/>
    <mergeCell ref="B5:T5"/>
    <mergeCell ref="B6:T6"/>
    <mergeCell ref="B7:T7"/>
    <mergeCell ref="F480:F481"/>
    <mergeCell ref="R477:R478"/>
    <mergeCell ref="J477:J478"/>
    <mergeCell ref="C480:C481"/>
    <mergeCell ref="D477:D478"/>
    <mergeCell ref="D480:D481"/>
    <mergeCell ref="Q480:Q481"/>
    <mergeCell ref="R480:R481"/>
    <mergeCell ref="O480:O481"/>
    <mergeCell ref="P480:P481"/>
    <mergeCell ref="B804:R804"/>
    <mergeCell ref="B805:P805"/>
    <mergeCell ref="B708:T708"/>
    <mergeCell ref="B718:T718"/>
    <mergeCell ref="B480:B481"/>
    <mergeCell ref="B774:E774"/>
  </mergeCells>
  <printOptions horizontalCentered="1" verticalCentered="1"/>
  <pageMargins left="0.7480314960629921" right="0.7480314960629921" top="0.31496062992125984" bottom="0.3937007874015748" header="0.31496062992125984" footer="0"/>
  <pageSetup fitToHeight="6" fitToWidth="1" horizontalDpi="600" verticalDpi="600" orientation="landscape" paperSize="9" scale="54" r:id="rId1"/>
  <ignoredErrors>
    <ignoredError sqref="R663 T66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INFORMATICA</dc:creator>
  <cp:keywords/>
  <dc:description/>
  <cp:lastModifiedBy>La Torre Molina, Miguel Renan</cp:lastModifiedBy>
  <cp:lastPrinted>2018-01-30T21:38:05Z</cp:lastPrinted>
  <dcterms:created xsi:type="dcterms:W3CDTF">1999-10-15T00:05:50Z</dcterms:created>
  <dcterms:modified xsi:type="dcterms:W3CDTF">2018-09-28T19:16:19Z</dcterms:modified>
  <cp:category/>
  <cp:version/>
  <cp:contentType/>
  <cp:contentStatus/>
</cp:coreProperties>
</file>