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MEF-Economia y Finanzas\PMD PAD PAC Excel\Estadistica WEB\ACTUALIZADO 2020\2022\"/>
    </mc:Choice>
  </mc:AlternateContent>
  <bookViews>
    <workbookView xWindow="390" yWindow="390" windowWidth="13785" windowHeight="15345" tabRatio="283"/>
  </bookViews>
  <sheets>
    <sheet name="Por Sectores" sheetId="3" r:id="rId1"/>
  </sheets>
  <definedNames>
    <definedName name="_xlnm._FilterDatabase" localSheetId="0" hidden="1">'Por Sectores'!$D$1:$D$1223</definedName>
    <definedName name="_xlnm.Print_Titles" localSheetId="0">'Por Sectores'!$1:$10</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1016" i="3" l="1"/>
  <c r="N1011" i="3"/>
  <c r="N1009" i="3"/>
  <c r="N1007" i="3"/>
  <c r="N1004" i="3"/>
  <c r="N992" i="3"/>
  <c r="N990" i="3"/>
  <c r="N988" i="3"/>
  <c r="N986" i="3"/>
  <c r="N984" i="3"/>
  <c r="N979" i="3" l="1"/>
  <c r="N978" i="3"/>
  <c r="N977" i="3"/>
  <c r="N976" i="3"/>
  <c r="N975" i="3"/>
  <c r="N973" i="3"/>
  <c r="N972" i="3"/>
  <c r="N970" i="3"/>
  <c r="N969" i="3" s="1"/>
  <c r="N959" i="3"/>
  <c r="N952" i="3"/>
  <c r="N948" i="3"/>
  <c r="N947" i="3" s="1"/>
  <c r="N962" i="3"/>
  <c r="N961" i="3" s="1"/>
  <c r="N958" i="3"/>
  <c r="N957" i="3" s="1"/>
  <c r="N950" i="3"/>
  <c r="N949" i="3" s="1"/>
  <c r="N955" i="3"/>
  <c r="N954" i="3" s="1"/>
  <c r="N965" i="3"/>
  <c r="N963" i="3" s="1"/>
  <c r="N974" i="3" l="1"/>
  <c r="N971" i="3"/>
  <c r="N946" i="3"/>
  <c r="N968" i="3" l="1"/>
  <c r="N940" i="3"/>
  <c r="N935" i="3"/>
  <c r="N931" i="3"/>
  <c r="N928" i="3"/>
  <c r="N925" i="3"/>
  <c r="N919" i="3"/>
  <c r="N916" i="3"/>
  <c r="N912" i="3"/>
  <c r="N906" i="3"/>
  <c r="N903" i="3"/>
  <c r="N190" i="3"/>
  <c r="N592" i="3"/>
  <c r="N582" i="3"/>
  <c r="N569" i="3"/>
  <c r="N564" i="3"/>
  <c r="N870" i="3"/>
  <c r="N898" i="3"/>
  <c r="N897" i="3"/>
  <c r="M898" i="3"/>
  <c r="M897" i="3"/>
  <c r="N892" i="3"/>
  <c r="N889" i="3"/>
  <c r="N886" i="3"/>
  <c r="N883" i="3"/>
  <c r="N874" i="3"/>
  <c r="N873" i="3" s="1"/>
  <c r="M874" i="3"/>
  <c r="N881" i="3"/>
  <c r="N880" i="3"/>
  <c r="M881" i="3"/>
  <c r="M880" i="3"/>
  <c r="N876" i="3"/>
  <c r="N862" i="3"/>
  <c r="M865" i="3"/>
  <c r="M864" i="3"/>
  <c r="M863" i="3"/>
  <c r="N860" i="3"/>
  <c r="N859" i="3" s="1"/>
  <c r="M860" i="3"/>
  <c r="N855" i="3"/>
  <c r="N854" i="3" s="1"/>
  <c r="M855" i="3"/>
  <c r="N838" i="3"/>
  <c r="N837" i="3" s="1"/>
  <c r="N834" i="3"/>
  <c r="N833" i="3"/>
  <c r="N826" i="3"/>
  <c r="N824" i="3" s="1"/>
  <c r="N840" i="3"/>
  <c r="N843" i="3"/>
  <c r="N847" i="3"/>
  <c r="N820" i="3"/>
  <c r="N819" i="3" s="1"/>
  <c r="N811" i="3"/>
  <c r="N805" i="3" s="1"/>
  <c r="N816" i="3"/>
  <c r="N813" i="3"/>
  <c r="N802" i="3"/>
  <c r="N799" i="3"/>
  <c r="N794" i="3"/>
  <c r="N756" i="3"/>
  <c r="N755" i="3" s="1"/>
  <c r="N788" i="3"/>
  <c r="N786" i="3"/>
  <c r="N785" i="3" s="1"/>
  <c r="N782" i="3"/>
  <c r="N781" i="3"/>
  <c r="N780" i="3"/>
  <c r="N776" i="3"/>
  <c r="N769" i="3"/>
  <c r="N768" i="3"/>
  <c r="N767" i="3"/>
  <c r="N765" i="3"/>
  <c r="N766" i="3"/>
  <c r="N760" i="3"/>
  <c r="N759" i="3" s="1"/>
  <c r="N753" i="3"/>
  <c r="N751" i="3"/>
  <c r="N745" i="3"/>
  <c r="N744" i="3" s="1"/>
  <c r="N742" i="3"/>
  <c r="N741" i="3" s="1"/>
  <c r="N739" i="3"/>
  <c r="N738" i="3" s="1"/>
  <c r="N735" i="3"/>
  <c r="N730" i="3"/>
  <c r="N731" i="3"/>
  <c r="N732" i="3"/>
  <c r="N733" i="3"/>
  <c r="N729" i="3"/>
  <c r="N728" i="3"/>
  <c r="N713" i="3"/>
  <c r="N721" i="3"/>
  <c r="N716" i="3"/>
  <c r="N694" i="3"/>
  <c r="N687" i="3"/>
  <c r="N674" i="3"/>
  <c r="N680" i="3"/>
  <c r="N670" i="3"/>
  <c r="N658" i="3"/>
  <c r="N654" i="3"/>
  <c r="J666" i="3"/>
  <c r="J665" i="3"/>
  <c r="J663" i="3"/>
  <c r="J682" i="3"/>
  <c r="J662" i="3"/>
  <c r="J659" i="3"/>
  <c r="N634" i="3"/>
  <c r="N643" i="3"/>
  <c r="N647" i="3"/>
  <c r="N628" i="3"/>
  <c r="N602" i="3"/>
  <c r="N606" i="3"/>
  <c r="N611" i="3"/>
  <c r="N616" i="3"/>
  <c r="N619" i="3"/>
  <c r="N622" i="3"/>
  <c r="N579" i="3"/>
  <c r="N576" i="3"/>
  <c r="N596" i="3"/>
  <c r="N589" i="3"/>
  <c r="N586" i="3"/>
  <c r="N457" i="3"/>
  <c r="N458" i="3"/>
  <c r="N459" i="3"/>
  <c r="N460" i="3"/>
  <c r="N461" i="3"/>
  <c r="N462" i="3"/>
  <c r="N463" i="3"/>
  <c r="N464" i="3"/>
  <c r="N465" i="3"/>
  <c r="N472" i="3"/>
  <c r="N470" i="3"/>
  <c r="N469" i="3" s="1"/>
  <c r="N476" i="3"/>
  <c r="N475" i="3" s="1"/>
  <c r="N490" i="3"/>
  <c r="N491" i="3"/>
  <c r="N479" i="3"/>
  <c r="N478" i="3" s="1"/>
  <c r="N482" i="3"/>
  <c r="N487" i="3"/>
  <c r="N486" i="3" s="1"/>
  <c r="M359" i="3"/>
  <c r="N359" i="3" s="1"/>
  <c r="N355" i="3" s="1"/>
  <c r="N318" i="3"/>
  <c r="N321" i="3"/>
  <c r="N324" i="3"/>
  <c r="N337" i="3"/>
  <c r="N335" i="3" s="1"/>
  <c r="N339" i="3"/>
  <c r="N346" i="3"/>
  <c r="N351" i="3"/>
  <c r="N363" i="3"/>
  <c r="N545" i="3"/>
  <c r="N546" i="3"/>
  <c r="N547" i="3"/>
  <c r="N550" i="3"/>
  <c r="N551" i="3"/>
  <c r="N552" i="3"/>
  <c r="N553" i="3"/>
  <c r="N554" i="3"/>
  <c r="N557" i="3"/>
  <c r="N558" i="3"/>
  <c r="M497" i="3"/>
  <c r="N497" i="3" s="1"/>
  <c r="N496" i="3" s="1"/>
  <c r="N500" i="3"/>
  <c r="M501" i="3"/>
  <c r="N501" i="3" s="1"/>
  <c r="M502" i="3"/>
  <c r="N502" i="3" s="1"/>
  <c r="M503" i="3"/>
  <c r="N503" i="3" s="1"/>
  <c r="M504" i="3"/>
  <c r="N504" i="3" s="1"/>
  <c r="M505" i="3"/>
  <c r="N505" i="3" s="1"/>
  <c r="M506" i="3"/>
  <c r="N506" i="3" s="1"/>
  <c r="M507" i="3"/>
  <c r="N507" i="3" s="1"/>
  <c r="M508" i="3"/>
  <c r="N508" i="3" s="1"/>
  <c r="N509" i="3"/>
  <c r="M510" i="3"/>
  <c r="N510" i="3" s="1"/>
  <c r="N516" i="3"/>
  <c r="N515" i="3" s="1"/>
  <c r="M519" i="3"/>
  <c r="N519" i="3" s="1"/>
  <c r="M521" i="3"/>
  <c r="N521" i="3" s="1"/>
  <c r="M522" i="3"/>
  <c r="N522" i="3" s="1"/>
  <c r="M525" i="3"/>
  <c r="N525" i="3" s="1"/>
  <c r="N524" i="3" s="1"/>
  <c r="M528" i="3"/>
  <c r="N528" i="3" s="1"/>
  <c r="N527" i="3" s="1"/>
  <c r="M531" i="3"/>
  <c r="N531" i="3" s="1"/>
  <c r="N530" i="3" s="1"/>
  <c r="M534" i="3"/>
  <c r="N534" i="3" s="1"/>
  <c r="N533" i="3" s="1"/>
  <c r="M540" i="3"/>
  <c r="N540" i="3" s="1"/>
  <c r="N539" i="3" s="1"/>
  <c r="M513" i="3"/>
  <c r="N513" i="3" s="1"/>
  <c r="N512" i="3" s="1"/>
  <c r="M537" i="3"/>
  <c r="N537" i="3" s="1"/>
  <c r="N536" i="3" s="1"/>
  <c r="N289" i="3"/>
  <c r="N293" i="3"/>
  <c r="N294" i="3"/>
  <c r="N297" i="3"/>
  <c r="N304" i="3"/>
  <c r="N310" i="3"/>
  <c r="N301" i="3"/>
  <c r="N443" i="3"/>
  <c r="N442" i="3"/>
  <c r="N392" i="3"/>
  <c r="N280" i="3"/>
  <c r="N270" i="3"/>
  <c r="N244" i="3"/>
  <c r="N236" i="3"/>
  <c r="N229" i="3"/>
  <c r="N222" i="3"/>
  <c r="N207" i="3"/>
  <c r="N196" i="3"/>
  <c r="N146" i="3"/>
  <c r="N141" i="3"/>
  <c r="N110" i="3"/>
  <c r="N99" i="3"/>
  <c r="N76" i="3"/>
  <c r="N66" i="3"/>
  <c r="N450" i="3"/>
  <c r="N449" i="3" s="1"/>
  <c r="N453" i="3"/>
  <c r="N452" i="3" s="1"/>
  <c r="N432" i="3"/>
  <c r="N433" i="3"/>
  <c r="N434" i="3"/>
  <c r="N435" i="3"/>
  <c r="N436" i="3"/>
  <c r="N439" i="3"/>
  <c r="N438" i="3" s="1"/>
  <c r="N446" i="3"/>
  <c r="N447" i="3"/>
  <c r="N419" i="3"/>
  <c r="N407" i="3"/>
  <c r="N410" i="3"/>
  <c r="N416" i="3"/>
  <c r="N423" i="3"/>
  <c r="N426" i="3"/>
  <c r="N19" i="3"/>
  <c r="N18" i="3"/>
  <c r="N21" i="3"/>
  <c r="N22" i="3"/>
  <c r="N23" i="3"/>
  <c r="N24" i="3"/>
  <c r="N63" i="3"/>
  <c r="N83" i="3"/>
  <c r="N86" i="3"/>
  <c r="N89" i="3"/>
  <c r="N368" i="3"/>
  <c r="N372" i="3"/>
  <c r="N376" i="3"/>
  <c r="N379" i="3"/>
  <c r="N382" i="3"/>
  <c r="N386" i="3"/>
  <c r="N389" i="3"/>
  <c r="N398" i="3"/>
  <c r="N402" i="3"/>
  <c r="N250" i="3"/>
  <c r="N260" i="3"/>
  <c r="N263" i="3"/>
  <c r="N266" i="3"/>
  <c r="N277" i="3"/>
  <c r="N285" i="3"/>
  <c r="N203" i="3"/>
  <c r="N211" i="3"/>
  <c r="N214" i="3"/>
  <c r="N218" i="3"/>
  <c r="N233" i="3"/>
  <c r="N167" i="3"/>
  <c r="N170" i="3"/>
  <c r="N173" i="3"/>
  <c r="N178" i="3"/>
  <c r="N181" i="3"/>
  <c r="N184" i="3"/>
  <c r="N187" i="3"/>
  <c r="N125" i="3"/>
  <c r="N128" i="3"/>
  <c r="N135" i="3"/>
  <c r="N150" i="3"/>
  <c r="N154" i="3"/>
  <c r="N159" i="3"/>
  <c r="N93" i="3"/>
  <c r="N96" i="3"/>
  <c r="N103" i="3"/>
  <c r="N107" i="3"/>
  <c r="N116" i="3"/>
  <c r="N120" i="3"/>
  <c r="N48" i="3"/>
  <c r="N51" i="3"/>
  <c r="N57" i="3"/>
  <c r="N14" i="3"/>
  <c r="N26" i="3"/>
  <c r="N29" i="3"/>
  <c r="N32" i="3"/>
  <c r="N37" i="3"/>
  <c r="N41" i="3"/>
  <c r="N44" i="3"/>
  <c r="M357" i="3"/>
  <c r="M356" i="3"/>
  <c r="C220" i="3"/>
  <c r="C219" i="3"/>
  <c r="C208" i="3"/>
  <c r="C215" i="3"/>
  <c r="C199" i="3"/>
  <c r="C231" i="3"/>
  <c r="C230" i="3"/>
  <c r="C239" i="3"/>
  <c r="C237" i="3"/>
  <c r="C198" i="3"/>
  <c r="C197" i="3"/>
  <c r="C238" i="3"/>
  <c r="C224" i="3"/>
  <c r="C223" i="3"/>
  <c r="C204" i="3"/>
  <c r="C175" i="3"/>
  <c r="C171" i="3"/>
  <c r="C188" i="3"/>
  <c r="C179" i="3"/>
  <c r="C193" i="3"/>
  <c r="C192" i="3"/>
  <c r="C176" i="3"/>
  <c r="C168" i="3"/>
  <c r="C191" i="3"/>
  <c r="C185" i="3"/>
  <c r="C182" i="3"/>
  <c r="C174" i="3"/>
  <c r="C143" i="3"/>
  <c r="C144" i="3"/>
  <c r="C157" i="3"/>
  <c r="C164" i="3"/>
  <c r="C156" i="3"/>
  <c r="C163" i="3"/>
  <c r="C155" i="3"/>
  <c r="C139" i="3"/>
  <c r="C138" i="3"/>
  <c r="C162" i="3"/>
  <c r="C126" i="3"/>
  <c r="C147" i="3"/>
  <c r="C137" i="3"/>
  <c r="C136" i="3"/>
  <c r="C161" i="3"/>
  <c r="C160" i="3"/>
  <c r="C142" i="3"/>
  <c r="C151" i="3"/>
  <c r="C152" i="3"/>
  <c r="C111" i="3"/>
  <c r="C118" i="3"/>
  <c r="C117" i="3"/>
  <c r="C105" i="3"/>
  <c r="C101" i="3"/>
  <c r="C104" i="3"/>
  <c r="C114" i="3"/>
  <c r="C113" i="3"/>
  <c r="C121" i="3"/>
  <c r="C122" i="3"/>
  <c r="C112" i="3"/>
  <c r="C94" i="3"/>
  <c r="C100" i="3"/>
  <c r="C108" i="3"/>
  <c r="C74" i="3"/>
  <c r="C73" i="3"/>
  <c r="C72" i="3"/>
  <c r="C71" i="3"/>
  <c r="C81" i="3"/>
  <c r="C70" i="3"/>
  <c r="C80" i="3"/>
  <c r="C79" i="3"/>
  <c r="C84" i="3"/>
  <c r="C68" i="3"/>
  <c r="C67" i="3"/>
  <c r="C78" i="3"/>
  <c r="C77" i="3"/>
  <c r="C87" i="3"/>
  <c r="C90" i="3"/>
  <c r="C55" i="3"/>
  <c r="C54" i="3"/>
  <c r="C60" i="3"/>
  <c r="C53" i="3"/>
  <c r="C59" i="3"/>
  <c r="C42" i="3"/>
  <c r="C20" i="3"/>
  <c r="C39" i="3"/>
  <c r="C38" i="3"/>
  <c r="C33" i="3"/>
  <c r="C35" i="3"/>
  <c r="C34" i="3"/>
  <c r="C15" i="3"/>
  <c r="N292" i="3" l="1"/>
  <c r="N288" i="3" s="1"/>
  <c r="N829" i="3"/>
  <c r="N822" i="3" s="1"/>
  <c r="N549" i="3"/>
  <c r="N626" i="3"/>
  <c r="N910" i="3"/>
  <c r="P596" i="3"/>
  <c r="N441" i="3"/>
  <c r="N518" i="3"/>
  <c r="N685" i="3"/>
  <c r="N489" i="3"/>
  <c r="N445" i="3"/>
  <c r="N317" i="3"/>
  <c r="N562" i="3"/>
  <c r="N243" i="3"/>
  <c r="N727" i="3"/>
  <c r="N725" i="3" s="1"/>
  <c r="N17" i="3"/>
  <c r="N13" i="3" s="1"/>
  <c r="N852" i="3"/>
  <c r="N779" i="3"/>
  <c r="N652" i="3"/>
  <c r="N879" i="3"/>
  <c r="N750" i="3"/>
  <c r="N544" i="3"/>
  <c r="N764" i="3"/>
  <c r="N405" i="3"/>
  <c r="N601" i="3"/>
  <c r="N456" i="3"/>
  <c r="N92" i="3"/>
  <c r="N556" i="3"/>
  <c r="N367" i="3"/>
  <c r="N47" i="3"/>
  <c r="N195" i="3"/>
  <c r="N166" i="3"/>
  <c r="N62" i="3"/>
  <c r="N431" i="3"/>
  <c r="N896" i="3"/>
  <c r="N901" i="3"/>
  <c r="N124" i="3"/>
  <c r="N792" i="3"/>
  <c r="N499" i="3"/>
  <c r="N455" i="3" l="1"/>
  <c r="N430" i="3"/>
  <c r="N494" i="3"/>
  <c r="N868" i="3"/>
  <c r="N543" i="3"/>
  <c r="N748" i="3"/>
</calcChain>
</file>

<file path=xl/sharedStrings.xml><?xml version="1.0" encoding="utf-8"?>
<sst xmlns="http://schemas.openxmlformats.org/spreadsheetml/2006/main" count="5538" uniqueCount="2073">
  <si>
    <t xml:space="preserve">       iii) Cuando la tasa LIBOR a 6 meses sea superior a 5.5% y hasta 6.0%, se aplicará un margen de 2.25%; y,</t>
  </si>
  <si>
    <t xml:space="preserve">       iv) Cuando la tasa LIBOR a 6 meses sea superior a 6.0%, se aplicará un margen de 2.0%.</t>
  </si>
  <si>
    <t>D.S. 059-2003-EF</t>
  </si>
  <si>
    <t>MEF-UCPS</t>
  </si>
  <si>
    <t>1A6M</t>
  </si>
  <si>
    <t>D.S. 066-2003-EF</t>
  </si>
  <si>
    <t>Prog. de Fortalecimiento Inst. Del Congreso de la Republica</t>
  </si>
  <si>
    <t>Congreso</t>
  </si>
  <si>
    <t>15A6M</t>
  </si>
  <si>
    <t>D.S. 089-2003-EF</t>
  </si>
  <si>
    <t>Viivienda</t>
  </si>
  <si>
    <t>Vivienda</t>
  </si>
  <si>
    <t>MININTER</t>
  </si>
  <si>
    <t>D.S. 108-2003-EF</t>
  </si>
  <si>
    <t>Prep. Prog. Consol. Democ. De la Seguridad Ciudadana</t>
  </si>
  <si>
    <t>D.S. 117-2003-EF</t>
  </si>
  <si>
    <t>Prog. de Desarrollo del Sector Transportes</t>
  </si>
  <si>
    <t>MEF - MTC</t>
  </si>
  <si>
    <t>D.S. 122-2003-EF</t>
  </si>
  <si>
    <t>Apoyo para mejorar Oferta Productiva y Fac. Comercio Ext.</t>
  </si>
  <si>
    <t>PCM</t>
  </si>
  <si>
    <t>D.S. 125-2003-EF</t>
  </si>
  <si>
    <t>Progroma de Modernización y Descentralización del Estado</t>
  </si>
  <si>
    <t>D.S. 132-2003-EF</t>
  </si>
  <si>
    <t xml:space="preserve">         i) Cuando la tasa LIBOR a 6 meses sea de hasta 5,0%, se aplicará un margen de 3.75%;</t>
  </si>
  <si>
    <t xml:space="preserve">        ii) Cuando la tasa LIBOR a 6 meses sea superior a 5,0%  y hasta 5.5%, se aplicará un margen de 3.5%;</t>
  </si>
  <si>
    <t xml:space="preserve">       iii) Cuando la tasa LIBOR a 6 meses sea superior a 5.5% y hasta 6.0%, se aplicará un margen de 3.25%; y,</t>
  </si>
  <si>
    <t xml:space="preserve">       iv) Cuando la tasa LIBOR a 6 meses sea superior a 6.0%, se aplicará un margen de 3.0%.</t>
  </si>
  <si>
    <t>D.S. 165-2003-EF</t>
  </si>
  <si>
    <t>D.S. 166-2003-EF</t>
  </si>
  <si>
    <t>Préstamo Programático de Reforma Social III</t>
  </si>
  <si>
    <t>D.S. 174-2003-EF</t>
  </si>
  <si>
    <t>D.S. Nº 015-2007-EF</t>
  </si>
  <si>
    <t>D.S. Nº 018-2007-EF</t>
  </si>
  <si>
    <t>D.S. Nº 020-2007-EF</t>
  </si>
  <si>
    <t>D.S. Nº 035-2007-EF</t>
  </si>
  <si>
    <t>D.S. Nº 093-2007-EF</t>
  </si>
  <si>
    <t>D.S. Nº 103-2007-EF</t>
  </si>
  <si>
    <t>D.S. Nº 118-2007-EF</t>
  </si>
  <si>
    <t>D.S. Nº 156-2007-EF</t>
  </si>
  <si>
    <t>D.S. Nº 181-2007-EF</t>
  </si>
  <si>
    <t>D.S. Nº 217-2007-EF</t>
  </si>
  <si>
    <t>Tesoro Francés</t>
  </si>
  <si>
    <t>Bco. Bilbao Vizc.</t>
  </si>
  <si>
    <t>C. París</t>
  </si>
  <si>
    <t>Programa de Reformas de Recursos Hídricos</t>
  </si>
  <si>
    <t>Programa de Reformas del Sector Saneamiento</t>
  </si>
  <si>
    <t>RREE</t>
  </si>
  <si>
    <t>IRTP</t>
  </si>
  <si>
    <t>PROVIAS DESCENTRALIZADO</t>
  </si>
  <si>
    <t>UCPS-DNEP</t>
  </si>
  <si>
    <t>PROVIAS NACIONAL</t>
  </si>
  <si>
    <t>IMARPE</t>
  </si>
  <si>
    <t>Ministerio de Justicia</t>
  </si>
  <si>
    <t>MEF/UCPS-DNEP</t>
  </si>
  <si>
    <t>Ministerio RREE</t>
  </si>
  <si>
    <t>0,8 % anual</t>
  </si>
  <si>
    <t>Libor a 6 m+ 1%</t>
  </si>
  <si>
    <t>14 años</t>
  </si>
  <si>
    <t>6 meses</t>
  </si>
  <si>
    <t>4.5 años</t>
  </si>
  <si>
    <t>15.5 años</t>
  </si>
  <si>
    <t>10.5 años</t>
  </si>
  <si>
    <t>EUR.</t>
  </si>
  <si>
    <t>D.S. 175-2003-EF</t>
  </si>
  <si>
    <t>D.S. 188-2003-EF</t>
  </si>
  <si>
    <t>D.S. 194-2003-EF</t>
  </si>
  <si>
    <t>PROTRANSPORTE</t>
  </si>
  <si>
    <t>R.M: Nº 224-2004-EF/75</t>
  </si>
  <si>
    <t>Varios</t>
  </si>
  <si>
    <t>Inv. Institucionales</t>
  </si>
  <si>
    <t>R.M: Nº 492-2004-EF/75</t>
  </si>
  <si>
    <t>D.S.Nº 168-2004-EF</t>
  </si>
  <si>
    <t>MEF-DGCP</t>
  </si>
  <si>
    <t>Lib.6 m+2.9%</t>
  </si>
  <si>
    <t>2 años</t>
  </si>
  <si>
    <t>10 a. 6 m.</t>
  </si>
  <si>
    <t>D.S.Nº 180-2004-EF</t>
  </si>
  <si>
    <t>Lib.6 m+Marg BIRF</t>
  </si>
  <si>
    <t>8 años</t>
  </si>
  <si>
    <t>6 años</t>
  </si>
  <si>
    <t>D.S.Nº 181-2004-EF</t>
  </si>
  <si>
    <t>D.S.Nº 183-2004-EF</t>
  </si>
  <si>
    <t xml:space="preserve">Lib.3 m+Marg BID </t>
  </si>
  <si>
    <t>5 años</t>
  </si>
  <si>
    <t>D.S.Nº 204-2004-EF</t>
  </si>
  <si>
    <t>4 años</t>
  </si>
  <si>
    <t>16 años</t>
  </si>
  <si>
    <t>D.S. Nº 113-2004-EF</t>
  </si>
  <si>
    <t>Lib.6 m+3.25%</t>
  </si>
  <si>
    <t>2.5 años</t>
  </si>
  <si>
    <t>10 años</t>
  </si>
  <si>
    <t>D.S. Nº 082-2004-EF</t>
  </si>
  <si>
    <t>C.París</t>
  </si>
  <si>
    <t>20 años</t>
  </si>
  <si>
    <t>D.S.Nº 182-2004-EF</t>
  </si>
  <si>
    <t>MVCS</t>
  </si>
  <si>
    <t>2% y 3%</t>
  </si>
  <si>
    <t>D.S.Nº 206-2004-EF</t>
  </si>
  <si>
    <t>SEDACAJ</t>
  </si>
  <si>
    <t>D.S. Nº 037-04-EF</t>
  </si>
  <si>
    <t>Rehb. Sist. de Agua Potable y Alcantarillado de Lima y Callao- Parte C: Expanción de los Servicios</t>
  </si>
  <si>
    <t>Sedapal</t>
  </si>
  <si>
    <t>5 a. 6 m.</t>
  </si>
  <si>
    <t>9 a. 6 m.</t>
  </si>
  <si>
    <t>D.S. Nº149-2004-EF</t>
  </si>
  <si>
    <t>Preparación del "Programa de Apoyo al Desarrollo del Sector Saneamiento"</t>
  </si>
  <si>
    <t>D.S. Nº 119-2004-EF</t>
  </si>
  <si>
    <t>Imp.de Alimentos</t>
  </si>
  <si>
    <t>Unid.Espc. PL 480</t>
  </si>
  <si>
    <t>25 años</t>
  </si>
  <si>
    <t>D.S.Nº 196-2004-EF</t>
  </si>
  <si>
    <t>Gob.Reg.Lambay.</t>
  </si>
  <si>
    <t>Lib.6 m+Marg  2,9%</t>
  </si>
  <si>
    <t>Social</t>
  </si>
  <si>
    <t>D.S. Nº 117-2004-EF</t>
  </si>
  <si>
    <t>Tasa FIDA</t>
  </si>
  <si>
    <t>13 años</t>
  </si>
  <si>
    <t>D.S. Nº 044-04-EF</t>
  </si>
  <si>
    <t>Programa de Capacitación Laboral para Jovenes</t>
  </si>
  <si>
    <t>Mº Trabajo</t>
  </si>
  <si>
    <t>4 a.6m.</t>
  </si>
  <si>
    <t>20 a, 6 m,</t>
  </si>
  <si>
    <t>D.S. Nº150-2004-EF</t>
  </si>
  <si>
    <t>Mejoramiento de los servicios de justicia</t>
  </si>
  <si>
    <t>Turismo</t>
  </si>
  <si>
    <t>D.S.Nº 201-2004-EF</t>
  </si>
  <si>
    <t>D.S.Nº 205-2004-EF</t>
  </si>
  <si>
    <t>Contraloría</t>
  </si>
  <si>
    <t>CGR</t>
  </si>
  <si>
    <t>D.S.Nº 203-2004-EF</t>
  </si>
  <si>
    <t>Mº Agricultura</t>
  </si>
  <si>
    <t>15 a.6m.</t>
  </si>
  <si>
    <t xml:space="preserve">        15/</t>
  </si>
  <si>
    <t>19/</t>
  </si>
  <si>
    <t>Producción</t>
  </si>
  <si>
    <t>D.S. Nº 071-2005-EF</t>
  </si>
  <si>
    <t>D.S. Nº 142-2005-EF</t>
  </si>
  <si>
    <t>D.S. Nº 161-2005-EF</t>
  </si>
  <si>
    <t>Programa de Investigación y Extensión Agricola Fase II</t>
  </si>
  <si>
    <t>Programa "Ampliación del Proyecto Subsectorial de Irrigación"</t>
  </si>
  <si>
    <t>Proyecto "Control y Erradicación de la Mosca de la Fruta en la Costa peruana"</t>
  </si>
  <si>
    <t>INCAGRO</t>
  </si>
  <si>
    <t>PSI</t>
  </si>
  <si>
    <t>MAG-SENASA</t>
  </si>
  <si>
    <t>Lib.3 m+Marg BID</t>
  </si>
  <si>
    <t>4a-6m</t>
  </si>
  <si>
    <t>R.M: Nº  030 -2005-EF/75</t>
  </si>
  <si>
    <t>D.S. Nº 160-2005-EF</t>
  </si>
  <si>
    <t>D.S. Nº 164-2005-EF</t>
  </si>
  <si>
    <t>D.S. Nº 165-2005-EF</t>
  </si>
  <si>
    <t>MEF-DNEP</t>
  </si>
  <si>
    <t>8,75%</t>
  </si>
  <si>
    <t>5,2% 9/</t>
  </si>
  <si>
    <t>6,5 años</t>
  </si>
  <si>
    <t>1.5 años</t>
  </si>
  <si>
    <t>15 años</t>
  </si>
  <si>
    <t>17.5 años</t>
  </si>
  <si>
    <t>U$S</t>
  </si>
  <si>
    <t>D.S. Nº 178-2005-EF</t>
  </si>
  <si>
    <t>D.S. Nº 179-2005-EF</t>
  </si>
  <si>
    <t>MEM/Prov.Dptal.</t>
  </si>
  <si>
    <t>3 años</t>
  </si>
  <si>
    <t>14 a. 6 m.</t>
  </si>
  <si>
    <t xml:space="preserve">Bco Español Crédito  </t>
  </si>
  <si>
    <t>Gob. Regionales</t>
  </si>
  <si>
    <t>22/</t>
  </si>
  <si>
    <t>Vivien. Construc. y Saneam.</t>
  </si>
  <si>
    <t>D.S. Nº 162-2006-EF</t>
  </si>
  <si>
    <t>C.Paris</t>
  </si>
  <si>
    <t>Programa de Riego Zona Andina Sur IV</t>
  </si>
  <si>
    <t>G.R. Cusco</t>
  </si>
  <si>
    <t>D.S. Nº 113-2006-EF</t>
  </si>
  <si>
    <t>Org. Internc.</t>
  </si>
  <si>
    <t xml:space="preserve">Prog. para la gestión ambiental y social de los impactos indirectos del corredor vial Interoc.Sur </t>
  </si>
  <si>
    <t>INRENA</t>
  </si>
  <si>
    <t>Lib.6 m+1,50%</t>
  </si>
  <si>
    <t>9 años</t>
  </si>
  <si>
    <t>D.S. Nº 105-2006-EF</t>
  </si>
  <si>
    <t>Economia</t>
  </si>
  <si>
    <t>25/</t>
  </si>
  <si>
    <t>D.S. Nº 190-2006-EF</t>
  </si>
  <si>
    <t>Programa de Mejora de la Calidad de la Gestión y del Gasto Público</t>
  </si>
  <si>
    <t>5.5 años</t>
  </si>
  <si>
    <t>14.5 años</t>
  </si>
  <si>
    <t>D.S. Nº 161-2006-EF</t>
  </si>
  <si>
    <t>Prést. para el Des. Políticas de Descentraliz. y Competitiv. III" (prog. Apoyo Proc. Descntraliz. II)</t>
  </si>
  <si>
    <t>5,25%</t>
  </si>
  <si>
    <t>D.S. Nº 014-2006-EF</t>
  </si>
  <si>
    <t>Contratación Garantía  de Riesgo Parcial con la CAF para el cumplimento de la Garantía Soberana</t>
  </si>
  <si>
    <t>24/</t>
  </si>
  <si>
    <t>otorgada en el marco del Contrato de Concesión del Proyecto Olmos</t>
  </si>
  <si>
    <t>D.S. Nº 100-2006-EF</t>
  </si>
  <si>
    <t>U.G-Proy. FONER</t>
  </si>
  <si>
    <t>1,5 años</t>
  </si>
  <si>
    <t>D.S. Nº 185-2006-EF</t>
  </si>
  <si>
    <t>Programa de Medidas de Rápido Impacto I</t>
  </si>
  <si>
    <t>MVCS (UCP)-EPS</t>
  </si>
  <si>
    <t>D.S. Nº 157-2006-EF</t>
  </si>
  <si>
    <t>Programa de Apoyo al Desarrollo del Sector Saneamiento</t>
  </si>
  <si>
    <t>19 años</t>
  </si>
  <si>
    <t>D.S. Nº 152-2006-EF</t>
  </si>
  <si>
    <t>D.S. Nº 036-2008-EF</t>
  </si>
  <si>
    <t>D.S. Nº 039-2008-EF</t>
  </si>
  <si>
    <t>D.S. Nº 062-2008-EF</t>
  </si>
  <si>
    <t>D.S. Nº 091-2008-EF</t>
  </si>
  <si>
    <t>D.S. Nº 094-2008-EF</t>
  </si>
  <si>
    <t>D.S. Nº 133-2008-EF</t>
  </si>
  <si>
    <t>D.S. Nº 135-2008-EF</t>
  </si>
  <si>
    <t>D.S. Nº 138-2008-EF</t>
  </si>
  <si>
    <t>D.S. Nº 152-2008-EF</t>
  </si>
  <si>
    <t>D.S. Nº 153-2008-EF</t>
  </si>
  <si>
    <t>D.S. Nº 174-2008-EF</t>
  </si>
  <si>
    <t>D.S. Nº 181-2008-EF</t>
  </si>
  <si>
    <t>D.S. Nº 182-2008-EF</t>
  </si>
  <si>
    <t>JICA</t>
  </si>
  <si>
    <t>Programa de Apoyo a las Alianzas Rurales Productivas en la Sierra del Perú- ALIADOS</t>
  </si>
  <si>
    <t>Programa Programático de Reformas en los Sectores Sociales</t>
  </si>
  <si>
    <t>Programa de Reformas del Sector Sanemiento I</t>
  </si>
  <si>
    <t>Programa de Mejora de la Calidad de la Gestión y del Gasto Público III</t>
  </si>
  <si>
    <t>Programa Agua para Todos</t>
  </si>
  <si>
    <t>Préstamo Programático Gestión Fiscal y Crecimiento Económico I y II</t>
  </si>
  <si>
    <t>Proy. "Mej. y Ampliac. Sist. de Alcantarillado e Instalc. PTAR de la ciudad de Iquitos"</t>
  </si>
  <si>
    <t>Préstamo Programático Gestión Fiscal y Crecimiento Económico II</t>
  </si>
  <si>
    <t>Programa de Reformas del Sector Saneamiento II</t>
  </si>
  <si>
    <t>Programa "Desarrollo de la Sanidad Agraria e Inocuidad Agro-Alimentaria"</t>
  </si>
  <si>
    <t>Obras faltantes de los tramos 2, 3 y 4 del Proy.Corredor Vial Interoceánico Perú-Brasil (IIRSA Sur)</t>
  </si>
  <si>
    <t>MARENASS</t>
  </si>
  <si>
    <t>G.Reg.Loreto</t>
  </si>
  <si>
    <t>MTC (Provías Nac.)</t>
  </si>
  <si>
    <t>3.5 años</t>
  </si>
  <si>
    <t>21 años</t>
  </si>
  <si>
    <t>7.5 años</t>
  </si>
  <si>
    <t xml:space="preserve">    - 0,4% Obras del proyecto</t>
  </si>
  <si>
    <t xml:space="preserve">    - 0,01% Gastos de Consultoría</t>
  </si>
  <si>
    <t>30/</t>
  </si>
  <si>
    <t>31/</t>
  </si>
  <si>
    <t>32/</t>
  </si>
  <si>
    <t>33/</t>
  </si>
  <si>
    <t>34/</t>
  </si>
  <si>
    <t>35/</t>
  </si>
  <si>
    <t>36/</t>
  </si>
  <si>
    <t>Consolidación de los Derechos de Propiedad Inmueble</t>
  </si>
  <si>
    <t>10,5  años</t>
  </si>
  <si>
    <t>26/</t>
  </si>
  <si>
    <t>D.S. Nº 159-2006-EF</t>
  </si>
  <si>
    <t>Ferr.Huanc.-Huanv.</t>
  </si>
  <si>
    <t>27/</t>
  </si>
  <si>
    <t>11 años</t>
  </si>
  <si>
    <t>D.S. Nº 205-2006-EF</t>
  </si>
  <si>
    <t>Programa de Transporte Rural Descentralizado</t>
  </si>
  <si>
    <t>PROVIAS DESCT.</t>
  </si>
  <si>
    <t>D.S. Nº 187-2006-EF</t>
  </si>
  <si>
    <t>Proyecto Subregional de Irrigación</t>
  </si>
  <si>
    <t>1,5%</t>
  </si>
  <si>
    <t>7 años</t>
  </si>
  <si>
    <t>18 años</t>
  </si>
  <si>
    <t>D.S. Nº 146-2006-EF</t>
  </si>
  <si>
    <t>Gob. USA</t>
  </si>
  <si>
    <t>Adquisición de Torta de Soya bajo el Programa Pl-480</t>
  </si>
  <si>
    <t>MEF/ODI</t>
  </si>
  <si>
    <t>U.Esp.PL-480</t>
  </si>
  <si>
    <t>D.S. Nº 151-2006-EF</t>
  </si>
  <si>
    <t>Programa Municipal de Atención a los Servicios Básicos</t>
  </si>
  <si>
    <t>MIMDES</t>
  </si>
  <si>
    <t>MIMDES-Foncodes</t>
  </si>
  <si>
    <t>D.S. Nº 101-2006-EF</t>
  </si>
  <si>
    <t>7años</t>
  </si>
  <si>
    <t xml:space="preserve">   Si dicho monto ejecutado no es reembolsado a la CAF dentro del período antes mencionado, se convertirá  automáticamente en una operación de Endeud. Externo, que tendrá las siguientes condiciones financieras:</t>
  </si>
  <si>
    <t xml:space="preserve">   - Plazo de Reembolso: 10 pagos iguales y consecutivos, empezando el primero a los 6 meses  de la fecha de conversión automática</t>
  </si>
  <si>
    <t xml:space="preserve">   - Tasa de Interés: Libor a 6 meses más margen CAF para préstamos soberanos más 1,5%</t>
  </si>
  <si>
    <t xml:space="preserve">   - Comisión de Conversión: 1,5% Flat por la conversión del monto desembolsado de la garantía.</t>
  </si>
  <si>
    <t xml:space="preserve">   Si dicho monto ejecutado no es reembolsado al BID dentro del período antes mencionado, se convertirá  automáticamente en una operación de Endeud. Externo, que tendrá las siguientes condiciones financieras:</t>
  </si>
  <si>
    <t xml:space="preserve">   i) el plazo de de reembolso se calculará en función al monto disponible de la garantía: si dicho monto es mayor o igual a US$ 45,0 millones, el periódo de amortz. será de 15 años; si es mayor o igual a US$ 30,0 millones, pero menor a US$45,0 millones, será de 10 años; y,  si dicho monto es menor a US$ 30,0 millones,</t>
  </si>
  <si>
    <t xml:space="preserve">      el período de amortiz. será de 5 años.</t>
  </si>
  <si>
    <t xml:space="preserve">   ii) La amortiz, se realizará mediante cuotas semestrales, consecutivas y, en lo posible iguales; y, </t>
  </si>
  <si>
    <t xml:space="preserve">   iii) Se aplicará una tasa de interés basada en Libor.</t>
  </si>
  <si>
    <t xml:space="preserve">    Tramo II: € 4 200 000,00  3%</t>
  </si>
  <si>
    <t>23/</t>
  </si>
  <si>
    <t xml:space="preserve"> </t>
  </si>
  <si>
    <t>Acreedor</t>
  </si>
  <si>
    <t>Tipo de</t>
  </si>
  <si>
    <t>Fecha de</t>
  </si>
  <si>
    <t>FINALIDAD</t>
  </si>
  <si>
    <t>Unidad</t>
  </si>
  <si>
    <t>Tasa de</t>
  </si>
  <si>
    <t>Dispositivo</t>
  </si>
  <si>
    <t>Monto</t>
  </si>
  <si>
    <t>Ejecutora</t>
  </si>
  <si>
    <t>Interés</t>
  </si>
  <si>
    <t>Gracia</t>
  </si>
  <si>
    <t>Amortiz.</t>
  </si>
  <si>
    <t>Legal</t>
  </si>
  <si>
    <t>Original</t>
  </si>
  <si>
    <t>C. de París</t>
  </si>
  <si>
    <t>Importación de trigo-PL 480</t>
  </si>
  <si>
    <t>Agricultura</t>
  </si>
  <si>
    <t>ENCI</t>
  </si>
  <si>
    <t>MEF</t>
  </si>
  <si>
    <t xml:space="preserve">     3% - 4%</t>
  </si>
  <si>
    <t xml:space="preserve">  5A</t>
  </si>
  <si>
    <t>D.S.  154-90-EF</t>
  </si>
  <si>
    <t>US$</t>
  </si>
  <si>
    <t>D.S.  240-90-EF</t>
  </si>
  <si>
    <t xml:space="preserve">Mediocredito Centrale </t>
  </si>
  <si>
    <t>Transportes</t>
  </si>
  <si>
    <t xml:space="preserve">10A </t>
  </si>
  <si>
    <t xml:space="preserve"> 10A </t>
  </si>
  <si>
    <t>Gobierno de Rusia</t>
  </si>
  <si>
    <t>Defensa Nacional</t>
  </si>
  <si>
    <t>Defensa</t>
  </si>
  <si>
    <t>M. Defensa</t>
  </si>
  <si>
    <t xml:space="preserve">  1A</t>
  </si>
  <si>
    <t xml:space="preserve">  9A</t>
  </si>
  <si>
    <t>R.M.  518-90-EF</t>
  </si>
  <si>
    <t>RBL</t>
  </si>
  <si>
    <t>Gob.de Argentina</t>
  </si>
  <si>
    <t>ALADI</t>
  </si>
  <si>
    <t>Adquisición de trigo y harina</t>
  </si>
  <si>
    <t xml:space="preserve">D.S.  336-90-EF </t>
  </si>
  <si>
    <t xml:space="preserve">Rep. Popular China  </t>
  </si>
  <si>
    <t xml:space="preserve">Perforación de 80 pozos </t>
  </si>
  <si>
    <t>M. Agricultura</t>
  </si>
  <si>
    <t>10A</t>
  </si>
  <si>
    <t>R.M.  606-90-EF</t>
  </si>
  <si>
    <t>£</t>
  </si>
  <si>
    <t>Banco do Brasil</t>
  </si>
  <si>
    <t>Proyecto Chavimochic</t>
  </si>
  <si>
    <t>Proy.Esp.Chavimochic</t>
  </si>
  <si>
    <t>Lib.+0.8125</t>
  </si>
  <si>
    <t xml:space="preserve">  3A</t>
  </si>
  <si>
    <t xml:space="preserve">D.S.  337-90-EF </t>
  </si>
  <si>
    <t xml:space="preserve">  5A </t>
  </si>
  <si>
    <t xml:space="preserve">  7A</t>
  </si>
  <si>
    <t xml:space="preserve">Rep. Popular China   </t>
  </si>
  <si>
    <t>Planta Cemento de Rioja</t>
  </si>
  <si>
    <t>Gob. Reg. San Martín</t>
  </si>
  <si>
    <t>R.M.  591-90-EF</t>
  </si>
  <si>
    <t xml:space="preserve">BID   631-OC-PE    </t>
  </si>
  <si>
    <t>Prog. Sector Comercio</t>
  </si>
  <si>
    <t>Economía</t>
  </si>
  <si>
    <t>BID</t>
  </si>
  <si>
    <t xml:space="preserve">  6A  6M</t>
  </si>
  <si>
    <t>14A  6M</t>
  </si>
  <si>
    <t>D.S.  217-91-EF</t>
  </si>
  <si>
    <t xml:space="preserve">BID   665-OC-PE    </t>
  </si>
  <si>
    <t>Asist. Tec. Prog. Sector Comercio</t>
  </si>
  <si>
    <t>D.S.  227-91-EF</t>
  </si>
  <si>
    <t>M.Indust. Aeroespacial</t>
  </si>
  <si>
    <t xml:space="preserve">  6A</t>
  </si>
  <si>
    <t>D.S.  309-91-EF</t>
  </si>
  <si>
    <t xml:space="preserve">CAF    </t>
  </si>
  <si>
    <t xml:space="preserve">Exportación Sector Minero </t>
  </si>
  <si>
    <t>Energía y Minas</t>
  </si>
  <si>
    <t>Banco de la Nación</t>
  </si>
  <si>
    <t>Libor + 2.0%</t>
  </si>
  <si>
    <t xml:space="preserve">  1A  1M</t>
  </si>
  <si>
    <t>D.S.  201-91-EF</t>
  </si>
  <si>
    <t>Prog. Crédito Multisectorial</t>
  </si>
  <si>
    <t>COFIDE</t>
  </si>
  <si>
    <t>D.S.  275-91-EF</t>
  </si>
  <si>
    <t>OECF</t>
  </si>
  <si>
    <t>Prog. Sector Comercio, Cofinan. BID</t>
  </si>
  <si>
    <t xml:space="preserve">  9A  6M</t>
  </si>
  <si>
    <t>20A  6M</t>
  </si>
  <si>
    <t>D.S.  274-91-EF</t>
  </si>
  <si>
    <t>¥</t>
  </si>
  <si>
    <t xml:space="preserve">L.T. Mantaro-Pisco </t>
  </si>
  <si>
    <t>ElectroPerú</t>
  </si>
  <si>
    <t xml:space="preserve">        7M </t>
  </si>
  <si>
    <t xml:space="preserve">  4A  6M</t>
  </si>
  <si>
    <t>D.S.  232-91-EF</t>
  </si>
  <si>
    <t xml:space="preserve">BID   651-OC-PE    </t>
  </si>
  <si>
    <t>Carreteras I</t>
  </si>
  <si>
    <t>M. Transportes</t>
  </si>
  <si>
    <t xml:space="preserve">  3A  6M</t>
  </si>
  <si>
    <t>16A  6M</t>
  </si>
  <si>
    <t>D.S.  001-92-EF</t>
  </si>
  <si>
    <t xml:space="preserve">Exportacion Sector Minero </t>
  </si>
  <si>
    <t>D.S.  075-92-EF</t>
  </si>
  <si>
    <t>Quebrada Canto Grande</t>
  </si>
  <si>
    <t>Saneamiento</t>
  </si>
  <si>
    <t>SEDAPAL</t>
  </si>
  <si>
    <t xml:space="preserve">10A  6M </t>
  </si>
  <si>
    <t>D.S.  074-92-EF</t>
  </si>
  <si>
    <t>LIR</t>
  </si>
  <si>
    <t>Libor+2%</t>
  </si>
  <si>
    <t xml:space="preserve">        6M </t>
  </si>
  <si>
    <t>D.S.  140-92-EF</t>
  </si>
  <si>
    <t>Muelle de Carga Liquida</t>
  </si>
  <si>
    <t>PetroPerú</t>
  </si>
  <si>
    <t>CAF</t>
  </si>
  <si>
    <t>D.S.  117-92-EF</t>
  </si>
  <si>
    <t xml:space="preserve">Proyecto Petrolera Chambira </t>
  </si>
  <si>
    <t xml:space="preserve">  2A  6M </t>
  </si>
  <si>
    <t xml:space="preserve">  5A  6M</t>
  </si>
  <si>
    <t>D.S.  158-92-EF</t>
  </si>
  <si>
    <t xml:space="preserve">BID   677-OC-PE    </t>
  </si>
  <si>
    <t>Prog. Sector Financiero</t>
  </si>
  <si>
    <t>D.S.  124-92-EF</t>
  </si>
  <si>
    <t xml:space="preserve">BID   678-OC-PE    </t>
  </si>
  <si>
    <t>Asist. Tec. Prog. Sector Financiero</t>
  </si>
  <si>
    <t>Majes I etapa</t>
  </si>
  <si>
    <t>D.S.  152-92-EF</t>
  </si>
  <si>
    <t>ECU</t>
  </si>
  <si>
    <t>Adq. 32 Grupos Electrogenos</t>
  </si>
  <si>
    <t>D.S.  159-92-EF</t>
  </si>
  <si>
    <t>21/</t>
  </si>
  <si>
    <t xml:space="preserve">BIRF   3540 - PE    </t>
  </si>
  <si>
    <t>Asist. Técnica Privatización</t>
  </si>
  <si>
    <t>COPRI</t>
  </si>
  <si>
    <t>BIRF</t>
  </si>
  <si>
    <t>14A 6M</t>
  </si>
  <si>
    <t>D.S.  186-92-EF</t>
  </si>
  <si>
    <t>Soinco Saci</t>
  </si>
  <si>
    <t>Sistema Eléctrico Regional</t>
  </si>
  <si>
    <t xml:space="preserve">  2A </t>
  </si>
  <si>
    <t>D.S.  188-92-EF</t>
  </si>
  <si>
    <t xml:space="preserve">BIRF   3437 - PE    </t>
  </si>
  <si>
    <t>D.S.  190-92-EF</t>
  </si>
  <si>
    <t xml:space="preserve">BIRF   3452 - PE    </t>
  </si>
  <si>
    <t>Prog. Ajuste Estruct.</t>
  </si>
  <si>
    <t xml:space="preserve">BIRF   3489 - PE    </t>
  </si>
  <si>
    <t xml:space="preserve">OECF   </t>
  </si>
  <si>
    <t>Prog. Sector Financiero, Cofinan. BID</t>
  </si>
  <si>
    <t>20A</t>
  </si>
  <si>
    <t>D.S.  210-92-EF</t>
  </si>
  <si>
    <t xml:space="preserve">FIDA   297-PE    </t>
  </si>
  <si>
    <t>Tecn. Comunidades Campesinas</t>
  </si>
  <si>
    <t>D.S.  087-93-EF</t>
  </si>
  <si>
    <t>DEG</t>
  </si>
  <si>
    <t xml:space="preserve">BID   775-OC-PE    </t>
  </si>
  <si>
    <t>R.M.  265-93-EF</t>
  </si>
  <si>
    <t>Gobierno de Francia</t>
  </si>
  <si>
    <t>D.S.  145-93-EF</t>
  </si>
  <si>
    <t>Fr.Fr.</t>
  </si>
  <si>
    <t xml:space="preserve">BID   741-OC-PE    </t>
  </si>
  <si>
    <t>Prog. Fortalecimiento Salud</t>
  </si>
  <si>
    <t>Salud</t>
  </si>
  <si>
    <t>M. Salud</t>
  </si>
  <si>
    <t>D.S.  053-93-EF</t>
  </si>
  <si>
    <t xml:space="preserve">BIRF   3595 - PE    </t>
  </si>
  <si>
    <t>Prog. Ajuste para Privatización</t>
  </si>
  <si>
    <t>D.S.  059-93-EF</t>
  </si>
  <si>
    <t>M.Indust.Aeroespacial</t>
  </si>
  <si>
    <t xml:space="preserve">  1A </t>
  </si>
  <si>
    <t>D.S.  160-93-EF</t>
  </si>
  <si>
    <t>BIRF P066-0 PE (regularización)</t>
  </si>
  <si>
    <t>Asist. Téc. Plan Nac. Agua Potable</t>
  </si>
  <si>
    <t xml:space="preserve"> 5A</t>
  </si>
  <si>
    <t>D.S.  105-93-EF</t>
  </si>
  <si>
    <t xml:space="preserve">BIRF   3610 - PE    </t>
  </si>
  <si>
    <t>Asist. Técnica Sector Energía</t>
  </si>
  <si>
    <t>M. Energía y Minas</t>
  </si>
  <si>
    <t>D.S.  149-93-EF</t>
  </si>
  <si>
    <t>BIRF P213 PE</t>
  </si>
  <si>
    <t>Prep Proy Rehabilitación Transportes</t>
  </si>
  <si>
    <t xml:space="preserve">        6M</t>
  </si>
  <si>
    <t>D.S.  130-93-EF</t>
  </si>
  <si>
    <t>Eximbank</t>
  </si>
  <si>
    <t>Adq. equipo japonés</t>
  </si>
  <si>
    <t xml:space="preserve">  6M </t>
  </si>
  <si>
    <t>9A 6M</t>
  </si>
  <si>
    <t>D.S.  138-93-EF</t>
  </si>
  <si>
    <t xml:space="preserve">Gobierno de Rusia   </t>
  </si>
  <si>
    <t xml:space="preserve">  8A</t>
  </si>
  <si>
    <t>R.M.  240-93-EF</t>
  </si>
  <si>
    <t>SEDAPAR</t>
  </si>
  <si>
    <t>30A</t>
  </si>
  <si>
    <t>D.S.  143-93-EF</t>
  </si>
  <si>
    <t>DM</t>
  </si>
  <si>
    <t>Prog. Ajuste Estruct., Cofinan. BIRF</t>
  </si>
  <si>
    <t>D.S.  159-93-EF</t>
  </si>
  <si>
    <t xml:space="preserve">BID   806-OC-PE    </t>
  </si>
  <si>
    <t>FONCODES</t>
  </si>
  <si>
    <t xml:space="preserve">15A </t>
  </si>
  <si>
    <t>D.S.  164-93-EF</t>
  </si>
  <si>
    <t xml:space="preserve">BIRF   3684 - PE    </t>
  </si>
  <si>
    <t>D.S.  165-93-EF</t>
  </si>
  <si>
    <t xml:space="preserve">BIRF   3701 - PE    </t>
  </si>
  <si>
    <t>Salud y Nutrición Básica</t>
  </si>
  <si>
    <t>15A</t>
  </si>
  <si>
    <t>D.S.  023-94-EF</t>
  </si>
  <si>
    <t xml:space="preserve">BIRF   3717 - PE    </t>
  </si>
  <si>
    <t>Rehabilitación de Transportes</t>
  </si>
  <si>
    <t>D.S.  058-94-EF</t>
  </si>
  <si>
    <t>D.S.  030-94-EF</t>
  </si>
  <si>
    <t xml:space="preserve">BID   790-OC-PE    </t>
  </si>
  <si>
    <t>Rest. Subsector Eléctrico</t>
  </si>
  <si>
    <t>M.Energía y Minas</t>
  </si>
  <si>
    <t>D.S.  035-94-EF</t>
  </si>
  <si>
    <t>Estud. carret. Ilo-Desaguadero</t>
  </si>
  <si>
    <t>Libor + 2.5%</t>
  </si>
  <si>
    <t>D.S.  060-94-EF</t>
  </si>
  <si>
    <t xml:space="preserve">Bank  of  China  </t>
  </si>
  <si>
    <t>Adq. maquinaria y tractores</t>
  </si>
  <si>
    <t>M. Presidencia</t>
  </si>
  <si>
    <t xml:space="preserve">  2A  6M</t>
  </si>
  <si>
    <t>D.S.  068-94-EF</t>
  </si>
  <si>
    <t>Prog. Crédito Multisectorial de Reconversión</t>
  </si>
  <si>
    <t>D.S.  069-94-EF</t>
  </si>
  <si>
    <t xml:space="preserve">Rehabilitación de carreteras </t>
  </si>
  <si>
    <t xml:space="preserve">  7A  6M</t>
  </si>
  <si>
    <t>China Nat. Aero Techno</t>
  </si>
  <si>
    <t xml:space="preserve">BIRF   3810 - PE    </t>
  </si>
  <si>
    <t>Privatización Sector Eléctrico</t>
  </si>
  <si>
    <t xml:space="preserve">BID   836-OC-PE    </t>
  </si>
  <si>
    <t xml:space="preserve">BID   847-OC-PE    </t>
  </si>
  <si>
    <t>Apoyo  Sector  Saneamiento</t>
  </si>
  <si>
    <t>SEDALIB</t>
  </si>
  <si>
    <t xml:space="preserve">BID   820-OC-PE    </t>
  </si>
  <si>
    <t>Prog. Modernización Aduanas</t>
  </si>
  <si>
    <t xml:space="preserve">  3A </t>
  </si>
  <si>
    <t>17A</t>
  </si>
  <si>
    <t xml:space="preserve">  8A 6M</t>
  </si>
  <si>
    <t>Industrias Aeronáut.</t>
  </si>
  <si>
    <t>Proveedor</t>
  </si>
  <si>
    <t>Mobetec Represent.</t>
  </si>
  <si>
    <t>INADE</t>
  </si>
  <si>
    <t>OPEC</t>
  </si>
  <si>
    <t>Rehabilitación Aeropuerto Lima</t>
  </si>
  <si>
    <t>11A  6M</t>
  </si>
  <si>
    <t xml:space="preserve">BIRF   3811 - PE    </t>
  </si>
  <si>
    <t>Sistema de Agua Potable y Alc.Lima-Callao</t>
  </si>
  <si>
    <t xml:space="preserve">C.Termoeléc. Calana-Tacna </t>
  </si>
  <si>
    <t xml:space="preserve">ElectoPerú </t>
  </si>
  <si>
    <t>Fondos + 2%</t>
  </si>
  <si>
    <t xml:space="preserve">  1A  6M</t>
  </si>
  <si>
    <t xml:space="preserve">  4A </t>
  </si>
  <si>
    <t xml:space="preserve">15A  </t>
  </si>
  <si>
    <t xml:space="preserve">BID   852-OC-PE    </t>
  </si>
  <si>
    <t>D.S.  022-95-EF</t>
  </si>
  <si>
    <t>Proyecto San Gabán II</t>
  </si>
  <si>
    <t>D.S.  034-95-EF</t>
  </si>
  <si>
    <t>Rep. Popular China</t>
  </si>
  <si>
    <t>Planta Cemento Horno Vertical Rioja</t>
  </si>
  <si>
    <t>D.S.  052-95-EF</t>
  </si>
  <si>
    <t>L.E.</t>
  </si>
  <si>
    <t>BEI</t>
  </si>
  <si>
    <t>Proyecto Carretera Panamericana</t>
  </si>
  <si>
    <t>16A</t>
  </si>
  <si>
    <t>D.S.  109-95-EF</t>
  </si>
  <si>
    <t>Ampli. Prog. Riego Zona Andina Sur</t>
  </si>
  <si>
    <t>Plan Meriss-Inka</t>
  </si>
  <si>
    <t>D.S.  124-95-EF</t>
  </si>
  <si>
    <t>BID 902-OC-PE</t>
  </si>
  <si>
    <t>Prog. mejoramiento inversión pública</t>
  </si>
  <si>
    <t>15A  6M</t>
  </si>
  <si>
    <t>D.S.  152-95-EF</t>
  </si>
  <si>
    <t>BIRF 3962 - PE</t>
  </si>
  <si>
    <t>Rehabilitación caminos rurales</t>
  </si>
  <si>
    <t xml:space="preserve"> 11A  6M</t>
  </si>
  <si>
    <t>D.S.  153-95-EF</t>
  </si>
  <si>
    <t>BID 901-OC-PE</t>
  </si>
  <si>
    <t xml:space="preserve">  4A  </t>
  </si>
  <si>
    <t xml:space="preserve"> 21A</t>
  </si>
  <si>
    <t>D.S.  154-95-EF</t>
  </si>
  <si>
    <t>BIRF 3826 - PE</t>
  </si>
  <si>
    <t>Mejoramiento educación primaria</t>
  </si>
  <si>
    <t xml:space="preserve">Educación </t>
  </si>
  <si>
    <t>M. Educación</t>
  </si>
  <si>
    <t>D.S.  155-95-EF</t>
  </si>
  <si>
    <t>Ampliación agua potable Chiclayo</t>
  </si>
  <si>
    <t>EMAPAL</t>
  </si>
  <si>
    <t xml:space="preserve">  6A </t>
  </si>
  <si>
    <t>19A</t>
  </si>
  <si>
    <t>D.S.  156-95-EF</t>
  </si>
  <si>
    <t>BID 958-SF-PE</t>
  </si>
  <si>
    <t>Prog. global crédito microempresa</t>
  </si>
  <si>
    <t xml:space="preserve">  7A </t>
  </si>
  <si>
    <t>23A</t>
  </si>
  <si>
    <t>D.S.  167-95-EF</t>
  </si>
  <si>
    <t>ICO</t>
  </si>
  <si>
    <t>D.S.  163-95-EF</t>
  </si>
  <si>
    <t>Programa multisectorial de crédito</t>
  </si>
  <si>
    <t>6A</t>
  </si>
  <si>
    <t>Superv. Proy. entrega de Agua Dulce</t>
  </si>
  <si>
    <t>Agua potable Lima-Callao</t>
  </si>
  <si>
    <t xml:space="preserve">  10A </t>
  </si>
  <si>
    <t>Desarrollo Puerto del Callao</t>
  </si>
  <si>
    <t>Proyecto Carretera Ilo desaguadero</t>
  </si>
  <si>
    <t>6A  6M</t>
  </si>
  <si>
    <t>Titulación y Registro de Tierras</t>
  </si>
  <si>
    <t>FIDA</t>
  </si>
  <si>
    <t xml:space="preserve">Proy.Manejo de Recursos Naturales </t>
  </si>
  <si>
    <t>14A</t>
  </si>
  <si>
    <t>Foncodes II ETAPA</t>
  </si>
  <si>
    <t>D.S. 076-96-EF</t>
  </si>
  <si>
    <t xml:space="preserve">Mej. Carr.Corral Quemado-Río NIeva </t>
  </si>
  <si>
    <t>0.75%-2.0%</t>
  </si>
  <si>
    <t>20-30A</t>
  </si>
  <si>
    <t>D.S. 065-96-EF</t>
  </si>
  <si>
    <t xml:space="preserve"> 12A</t>
  </si>
  <si>
    <t>D.S. 083-96-EF</t>
  </si>
  <si>
    <t>Gobierno de China</t>
  </si>
  <si>
    <t>Adq.Directa de Maquinas y Equipos</t>
  </si>
  <si>
    <t xml:space="preserve"> 10A</t>
  </si>
  <si>
    <t>Proy. Subsectorial de Irrigación</t>
  </si>
  <si>
    <t xml:space="preserve">  4A</t>
  </si>
  <si>
    <t xml:space="preserve"> 13A</t>
  </si>
  <si>
    <t>D.S. 084-96-EF</t>
  </si>
  <si>
    <t>Prep. Proy. Mejora. Calidad Educación</t>
  </si>
  <si>
    <t xml:space="preserve"> 1A 6M</t>
  </si>
  <si>
    <t>D.S. 092-96-EF</t>
  </si>
  <si>
    <t>Reequi. Instit. Nacio. de Salud del Niño</t>
  </si>
  <si>
    <t>Reequi. Hosp. Nacio. Arzobispo Loayza</t>
  </si>
  <si>
    <t>Prog.capacit. laboral juvenil</t>
  </si>
  <si>
    <t>Trabajo</t>
  </si>
  <si>
    <t>M. Trabajo</t>
  </si>
  <si>
    <t>1A 6M</t>
  </si>
  <si>
    <t>5A</t>
  </si>
  <si>
    <t>D.S.108-96-EF</t>
  </si>
  <si>
    <t>Central Hidroeléctrica Yuncán</t>
  </si>
  <si>
    <t xml:space="preserve">  2.3%-2.7%</t>
  </si>
  <si>
    <t xml:space="preserve"> 18A</t>
  </si>
  <si>
    <t>Rehabilitación de Carreteras Rurales</t>
  </si>
  <si>
    <t>Mejor. Alcantarillado Zona Sur de Lima</t>
  </si>
  <si>
    <t xml:space="preserve">  2.1%-2.5%</t>
  </si>
  <si>
    <t>Subsectorial de Irrigación</t>
  </si>
  <si>
    <t xml:space="preserve"> 20A</t>
  </si>
  <si>
    <t>Mejoram. Calidad Educación</t>
  </si>
  <si>
    <t>Educación</t>
  </si>
  <si>
    <t>Gobierno China</t>
  </si>
  <si>
    <t>Adq. Maq. ind. calzado,confecc.,tejido</t>
  </si>
  <si>
    <t>Prog. reforma sector inversiones</t>
  </si>
  <si>
    <t>5.5A</t>
  </si>
  <si>
    <t>14.5A</t>
  </si>
  <si>
    <t>D.S.126-96-EF</t>
  </si>
  <si>
    <t>KfW</t>
  </si>
  <si>
    <t xml:space="preserve"> C. de París</t>
  </si>
  <si>
    <t>Agua potable y desague Pisco</t>
  </si>
  <si>
    <t>EMAPISCO</t>
  </si>
  <si>
    <t>D.S.129-96-EF</t>
  </si>
  <si>
    <t>Obras aguas servidas Pampa Estrella</t>
  </si>
  <si>
    <t>2 %- 3%</t>
  </si>
  <si>
    <t>D.S.131-96-EF</t>
  </si>
  <si>
    <t>FMI</t>
  </si>
  <si>
    <t>Implementar Plan Financiero 1996</t>
  </si>
  <si>
    <t>D.U.113-96</t>
  </si>
  <si>
    <t>Prog. Reducción Deuda y de su Servicio</t>
  </si>
  <si>
    <t>D.S.008-97-EF</t>
  </si>
  <si>
    <t>Bank of China</t>
  </si>
  <si>
    <t>Adq. Maquinas y herramientas</t>
  </si>
  <si>
    <t>CIRR</t>
  </si>
  <si>
    <t>0.5A</t>
  </si>
  <si>
    <t>6.5A</t>
  </si>
  <si>
    <t>D.U.009-97</t>
  </si>
  <si>
    <t xml:space="preserve">US$ </t>
  </si>
  <si>
    <t>12A</t>
  </si>
  <si>
    <t>D.S.012-97-EF</t>
  </si>
  <si>
    <t>4A</t>
  </si>
  <si>
    <t>D.S.017-97-EF</t>
  </si>
  <si>
    <t>D.S.018-97-EF</t>
  </si>
  <si>
    <t>Manejo de Recursos Nat. alivio en Sierra</t>
  </si>
  <si>
    <t>13A</t>
  </si>
  <si>
    <t>D.S.031-97-EF</t>
  </si>
  <si>
    <t>Foncodes II Etapa</t>
  </si>
  <si>
    <t>D.S.063-97-EF</t>
  </si>
  <si>
    <t>Prog. Obras Amb. Chavimochic Etapa II</t>
  </si>
  <si>
    <t>Libor+2.45%</t>
  </si>
  <si>
    <t>1A</t>
  </si>
  <si>
    <t>7A</t>
  </si>
  <si>
    <t>D.S.081-97-EF</t>
  </si>
  <si>
    <t>Prog. de Desarrollo de la Sanidad Agropecuaria</t>
  </si>
  <si>
    <t>D.S.125-97-EF</t>
  </si>
  <si>
    <t>M. de la Mujer</t>
  </si>
  <si>
    <t>D.S.144-97-EF</t>
  </si>
  <si>
    <t>Prog. de Ampliación de la Frontera Eléctrica (I)</t>
  </si>
  <si>
    <t>M. Energía</t>
  </si>
  <si>
    <t>2.7% - 2.3%</t>
  </si>
  <si>
    <t>18A</t>
  </si>
  <si>
    <t>D.S.145-97-EF</t>
  </si>
  <si>
    <t>Proy. de Trasvase Pomacocha-Río Blanco</t>
  </si>
  <si>
    <t>2.5% - 2.1%</t>
  </si>
  <si>
    <t>D.S.146-97-EF</t>
  </si>
  <si>
    <t>2.5% - 2.7%</t>
  </si>
  <si>
    <t>D.S.147-97-EF</t>
  </si>
  <si>
    <t>D.S.148-97-EF</t>
  </si>
  <si>
    <t>Proy, de Rehabilit. y Mejor. Carreteras Rurales</t>
  </si>
  <si>
    <t>M. de Transportes</t>
  </si>
  <si>
    <t>D.S.149-97-EF</t>
  </si>
  <si>
    <t>Prog. de Riego Zona Andina Sur III</t>
  </si>
  <si>
    <t>D.S.160-97-EF</t>
  </si>
  <si>
    <t>Prog. de Mejoramiento del Acceso a la Justicia</t>
  </si>
  <si>
    <t>Justicia</t>
  </si>
  <si>
    <t>Poder Judicial</t>
  </si>
  <si>
    <t>D.S.165-97-EF</t>
  </si>
  <si>
    <t xml:space="preserve">Prog. Apoyo a la Emergencia Fenómeno El Niño </t>
  </si>
  <si>
    <t>Multisectorial</t>
  </si>
  <si>
    <t>3A</t>
  </si>
  <si>
    <t>22A</t>
  </si>
  <si>
    <t>D.S.166-97-EF</t>
  </si>
  <si>
    <t>D.S.167-97-EF</t>
  </si>
  <si>
    <t>Proyecto Reforma Judicial</t>
  </si>
  <si>
    <t>D.S.168-97-EF</t>
  </si>
  <si>
    <t xml:space="preserve">2A </t>
  </si>
  <si>
    <t>D.S.170-97-EF</t>
  </si>
  <si>
    <t>SUNAT</t>
  </si>
  <si>
    <t>D.S.174-97-EF</t>
  </si>
  <si>
    <t>Desarrollo Vial Jaén-San Ignacio-Bagua</t>
  </si>
  <si>
    <t>D.S.175-97-EF</t>
  </si>
  <si>
    <t>Plan Nacional de Capacitación Docente</t>
  </si>
  <si>
    <t>M. de Educación</t>
  </si>
  <si>
    <t>D.S.184-97-EF</t>
  </si>
  <si>
    <t>Período</t>
  </si>
  <si>
    <t>U. M.</t>
  </si>
  <si>
    <t>Monto en</t>
  </si>
  <si>
    <t>Publicacion</t>
  </si>
  <si>
    <t>Programa Multisectorial de Crédito - II Etapa</t>
  </si>
  <si>
    <t>D.S. 008-99-EF</t>
  </si>
  <si>
    <t>Prog. Nac. Atención menor de 3 años - Wawa Wasi I</t>
  </si>
  <si>
    <t>PROMUDEH</t>
  </si>
  <si>
    <t>D.S. 009-99-EF</t>
  </si>
  <si>
    <t>Rehabilitación Obras del Proyecto Chavimochic</t>
  </si>
  <si>
    <t>LIB.6M+2,50%</t>
  </si>
  <si>
    <t>2A</t>
  </si>
  <si>
    <t>D.S. 015-99-EF</t>
  </si>
  <si>
    <t>Ciber Eq. Rodoviarios</t>
  </si>
  <si>
    <t>Adquisición de 10 Trenes de Asfalto</t>
  </si>
  <si>
    <t>5A 6M</t>
  </si>
  <si>
    <t>D.S. 027-99-EF</t>
  </si>
  <si>
    <t>Bitelli S.p.A.</t>
  </si>
  <si>
    <t>D.S. 028-99-EF</t>
  </si>
  <si>
    <t>Manejo Recursos Naturales Alivio a la Pobreza II</t>
  </si>
  <si>
    <t>PRONAMACHS</t>
  </si>
  <si>
    <t>D.S. 046-99-EF</t>
  </si>
  <si>
    <t>D.S. 047-99-EF</t>
  </si>
  <si>
    <t>Desarrollo del Sector Social en el Area de la Sierra</t>
  </si>
  <si>
    <t>D.S. 048-99-EF</t>
  </si>
  <si>
    <t>Programa de Ampliación de Frontera Eléctrica (II)</t>
  </si>
  <si>
    <t>D.S. 049-99-EF</t>
  </si>
  <si>
    <t>Rehabilitación Carreteras Afectadas por el Niño</t>
  </si>
  <si>
    <t>D.S. 050-99-EF</t>
  </si>
  <si>
    <t>Desarrollo Integral Alto Mayo</t>
  </si>
  <si>
    <t>D.S. 058-99-EF</t>
  </si>
  <si>
    <t>Agua Potable y Alcantarillado de Ayacucho</t>
  </si>
  <si>
    <t>EPS Ayacucho</t>
  </si>
  <si>
    <t>D.S. 062-99-EF</t>
  </si>
  <si>
    <t>OPEC Fund</t>
  </si>
  <si>
    <t>Programa Global de Crédito para la Microempresa</t>
  </si>
  <si>
    <t>D.S. 066-99-EF</t>
  </si>
  <si>
    <t>EXIMBANK</t>
  </si>
  <si>
    <t>Adq. 85% Equipo, maquinaria, Bs y/o Ss Japoneses</t>
  </si>
  <si>
    <t>D.S. 079-99-EF</t>
  </si>
  <si>
    <t>Agua Potable y Saneamiento de Cajamarca</t>
  </si>
  <si>
    <t>EPS SEDACAJ</t>
  </si>
  <si>
    <t>D.S. 086-99-EF</t>
  </si>
  <si>
    <t>Programa de Ajuste del Sector Financiero  II</t>
  </si>
  <si>
    <t>UCPS - MEF</t>
  </si>
  <si>
    <t>D.S. 098-99-EF</t>
  </si>
  <si>
    <t>Rehabilitación Carretera Rioja Tarapoto</t>
  </si>
  <si>
    <t>LIB.6M+3,1%</t>
  </si>
  <si>
    <t>8A</t>
  </si>
  <si>
    <t>D.S. 111-99-EF</t>
  </si>
  <si>
    <t>Svedala Faco Ltda</t>
  </si>
  <si>
    <t>D.S. 116-99-EF</t>
  </si>
  <si>
    <t>Proyecto Central Hidroeléctrica San Gabán II</t>
  </si>
  <si>
    <t>SAN GABAN</t>
  </si>
  <si>
    <t>8A 6M</t>
  </si>
  <si>
    <t>D.S. 130-99-EF</t>
  </si>
  <si>
    <t>Programa de Reforma del Sector Financiero II</t>
  </si>
  <si>
    <t>LIBOR+4%</t>
  </si>
  <si>
    <t>D.S. 142-99-EF</t>
  </si>
  <si>
    <t>Coop. Téc. para ejecutar Prog. Ref. Sector Financ. II</t>
  </si>
  <si>
    <t>4A 6M</t>
  </si>
  <si>
    <t>15A 6M</t>
  </si>
  <si>
    <t>D.S. 145-99-EF</t>
  </si>
  <si>
    <t>First Union Bank</t>
  </si>
  <si>
    <t>Adq. De Inmueble - Misión Permanente ONU en NY</t>
  </si>
  <si>
    <t>0A</t>
  </si>
  <si>
    <t>D.S. 153-99-EF</t>
  </si>
  <si>
    <t>D.S. 155-99-EF</t>
  </si>
  <si>
    <t>6M</t>
  </si>
  <si>
    <t>6A 6M</t>
  </si>
  <si>
    <t>JBIC</t>
  </si>
  <si>
    <t>Programa de Equipamiento Básico Municipal</t>
  </si>
  <si>
    <t>Presidencia</t>
  </si>
  <si>
    <t>3M</t>
  </si>
  <si>
    <t>D.S. 163-99-EF</t>
  </si>
  <si>
    <t>D.S. 030-98-EF</t>
  </si>
  <si>
    <t>CCC</t>
  </si>
  <si>
    <t>Gobierno de  EE. UU.</t>
  </si>
  <si>
    <t>Adquisición de Trigo</t>
  </si>
  <si>
    <t>Unidad Esp. AID</t>
  </si>
  <si>
    <t>3%-4%</t>
  </si>
  <si>
    <t>25A</t>
  </si>
  <si>
    <t>D.S. 078-98-EF</t>
  </si>
  <si>
    <t>Prog. Apoyo Implementación SIAF-SP</t>
  </si>
  <si>
    <t>M. de Economía</t>
  </si>
  <si>
    <t>18A 6M</t>
  </si>
  <si>
    <t>D.S. 088-98-EF</t>
  </si>
  <si>
    <t>Derechos de la Propiedad Urbana</t>
  </si>
  <si>
    <t>COFOPRI</t>
  </si>
  <si>
    <t>D.S. 098-98-EF</t>
  </si>
  <si>
    <t>D.S. 099-98-EF</t>
  </si>
  <si>
    <t>Rehab. Carretera Olmos - Corral Quemado</t>
  </si>
  <si>
    <t>D.S. 100-98-EF</t>
  </si>
  <si>
    <t>Sum. Eq. Instalac. Manten. Inst. Nac. Salud Niño</t>
  </si>
  <si>
    <t>D.S. 102-98-EF</t>
  </si>
  <si>
    <t>Fr. Fr.</t>
  </si>
  <si>
    <t>Sum. Eq. Instalac. Manten. Hospital Loayza</t>
  </si>
  <si>
    <t>Superv. de Proy. Hosp. Niño y Hosp. Loayza</t>
  </si>
  <si>
    <t>3A 6M</t>
  </si>
  <si>
    <t>16A 6M</t>
  </si>
  <si>
    <t>Prog. Pre-Inversión en el Sector Transporte</t>
  </si>
  <si>
    <t>Libor+1,9%</t>
  </si>
  <si>
    <t>2A 6M</t>
  </si>
  <si>
    <t>D.S. 113-98-EF</t>
  </si>
  <si>
    <t>D.S. 120-98-EF</t>
  </si>
  <si>
    <t>Programa Rehabil. y Mejor. Carreteras</t>
  </si>
  <si>
    <t>Adquisición de maquinaria pesada y agrícola</t>
  </si>
  <si>
    <t>M. de Agricultura</t>
  </si>
  <si>
    <t>D.S. 121-98-EF</t>
  </si>
  <si>
    <t>CORMED</t>
  </si>
  <si>
    <t>M. de Defensa</t>
  </si>
  <si>
    <t>D.S. 122-98-EF</t>
  </si>
  <si>
    <t>Bco. Esp. de Crédito</t>
  </si>
  <si>
    <t>Banca</t>
  </si>
  <si>
    <t>Libor+0,75%</t>
  </si>
  <si>
    <t>D.S. 137-98-EF</t>
  </si>
  <si>
    <t>DE MEDIANO Y LARGO PLAZO</t>
  </si>
  <si>
    <t>21A</t>
  </si>
  <si>
    <t>Gobierno de  EE. UU. (AID)</t>
  </si>
  <si>
    <t>USD</t>
  </si>
  <si>
    <t>America Latina</t>
  </si>
  <si>
    <t>America latina</t>
  </si>
  <si>
    <t>Banca Comercial</t>
  </si>
  <si>
    <t>Pesqueria</t>
  </si>
  <si>
    <t>Organismos</t>
  </si>
  <si>
    <t>Prog. De crédito global</t>
  </si>
  <si>
    <t>3A 6 M</t>
  </si>
  <si>
    <t>Gie impregilo</t>
  </si>
  <si>
    <t>C.H. Restitución</t>
  </si>
  <si>
    <t>Libor + 1,75%</t>
  </si>
  <si>
    <t>7A 3M</t>
  </si>
  <si>
    <t>ELECTROPERU</t>
  </si>
  <si>
    <t>L.T. Chiclayo Piura</t>
  </si>
  <si>
    <t>EXTEBANDES</t>
  </si>
  <si>
    <t>R.M. 324-92-EF/75</t>
  </si>
  <si>
    <t>II Etapa Chavimochic</t>
  </si>
  <si>
    <t>Prog. Reducción de Deuda y de su Servicio</t>
  </si>
  <si>
    <t>4.5A</t>
  </si>
  <si>
    <t>Prep. Prog Atención del Menor 3 años -WawaWasi</t>
  </si>
  <si>
    <t>Calidad de Aduana</t>
  </si>
  <si>
    <t>Proy. de Fortalecimiento SUNAT</t>
  </si>
  <si>
    <t>D.S. 008-2000-EF</t>
  </si>
  <si>
    <t>Prog.Sect. Reforma de las Finanzas Públicas</t>
  </si>
  <si>
    <t>MEF -UCPS</t>
  </si>
  <si>
    <t>D.S. 021-2000-EF</t>
  </si>
  <si>
    <t>D.S. 040-2000-EF</t>
  </si>
  <si>
    <t>Exp. Redes de Agua y Alcant. En Lima y Callao</t>
  </si>
  <si>
    <t>LIB.6M+2.8%</t>
  </si>
  <si>
    <t>2A6M</t>
  </si>
  <si>
    <t>5A6M</t>
  </si>
  <si>
    <t>D.S. 069-2000-EF</t>
  </si>
  <si>
    <t>D.S. 081-2000-EF</t>
  </si>
  <si>
    <t>Gob.USA</t>
  </si>
  <si>
    <t>Importación de alimentos</t>
  </si>
  <si>
    <t>MEF-AID</t>
  </si>
  <si>
    <t>1.5%-2.5%</t>
  </si>
  <si>
    <t>26A</t>
  </si>
  <si>
    <t>D.S. 093-2000-EF</t>
  </si>
  <si>
    <t>Proyecto de Investigación y Exten. Agrícola</t>
  </si>
  <si>
    <t>LIB.6M+3/4Del1%</t>
  </si>
  <si>
    <t>D.S. 094-2000-EF</t>
  </si>
  <si>
    <t>Proyecto de Desarrollo Social en la Sierra(II)</t>
  </si>
  <si>
    <t>2.2%-0.75%</t>
  </si>
  <si>
    <t>7A-10A</t>
  </si>
  <si>
    <t>18A-30A</t>
  </si>
  <si>
    <t>D.S. 095-2000-EF</t>
  </si>
  <si>
    <t>Proy.de Manejo de Rec. Nat.para el alivio de Pob.</t>
  </si>
  <si>
    <t>PRONAMACHCS</t>
  </si>
  <si>
    <t>1.7%-0.75%</t>
  </si>
  <si>
    <t>D.S.096-2000-EF</t>
  </si>
  <si>
    <t>1.7% - 0,75%</t>
  </si>
  <si>
    <t xml:space="preserve">            -</t>
  </si>
  <si>
    <t>D.S.097-2000-EF</t>
  </si>
  <si>
    <t>D.S.107-2000-EF</t>
  </si>
  <si>
    <t>KFW</t>
  </si>
  <si>
    <t>EMSA PUNO</t>
  </si>
  <si>
    <t>D:S.114-2000-EF</t>
  </si>
  <si>
    <t>MEF - ODI</t>
  </si>
  <si>
    <t>D:S.118-2000-EF</t>
  </si>
  <si>
    <t>D:S.119-2000-EF</t>
  </si>
  <si>
    <t>3A6M</t>
  </si>
  <si>
    <t>21A6M</t>
  </si>
  <si>
    <t>D:S.122-2000-EF</t>
  </si>
  <si>
    <t>D:S.132-2000-EF</t>
  </si>
  <si>
    <t>LIB.6M+3,10%</t>
  </si>
  <si>
    <t>7A6M</t>
  </si>
  <si>
    <t>D:S.135-2000-EF</t>
  </si>
  <si>
    <t>LIB.6M+.3/4del 1%</t>
  </si>
  <si>
    <t>Banca comercial</t>
  </si>
  <si>
    <t xml:space="preserve">5A     </t>
  </si>
  <si>
    <t>MINISTERIO DE ECONOMIA Y FINANZAS</t>
  </si>
  <si>
    <t>Paises Socialistas</t>
  </si>
  <si>
    <t>R.fed del Brasil</t>
  </si>
  <si>
    <t xml:space="preserve">LIBOR </t>
  </si>
  <si>
    <t xml:space="preserve">1A 6M </t>
  </si>
  <si>
    <t>7A 6M</t>
  </si>
  <si>
    <t xml:space="preserve">6M </t>
  </si>
  <si>
    <t xml:space="preserve">EXIMBANK  </t>
  </si>
  <si>
    <t xml:space="preserve">LIB.6M+1% </t>
  </si>
  <si>
    <t>Repu.China</t>
  </si>
  <si>
    <t>D.S. 177-99-EF</t>
  </si>
  <si>
    <t>D.S. 193-99-EF</t>
  </si>
  <si>
    <t>LIB.6M+2,8%</t>
  </si>
  <si>
    <t>-.-</t>
  </si>
  <si>
    <t>D.S. 178-99-EF</t>
  </si>
  <si>
    <t>D.S. 171-99-EF</t>
  </si>
  <si>
    <t>Inmueble para Consulado General del Perú en N.Y.</t>
  </si>
  <si>
    <t>Proy. de Mej. de Agua y Alc.  en Areas Marginales de Lima</t>
  </si>
  <si>
    <t>Prog. de Desarr. del Sector Salud, Seguro Materno Infantil</t>
  </si>
  <si>
    <t>Proyecto Desarrollo de Pueblos Indígenas y Afro-Peruanos</t>
  </si>
  <si>
    <t>R.M. 142-94-EF</t>
  </si>
  <si>
    <t xml:space="preserve">R.M. 141-94-EF </t>
  </si>
  <si>
    <t>D.S. 119-94-EF</t>
  </si>
  <si>
    <t>D.S. 147-94-EF</t>
  </si>
  <si>
    <t>D.S. 146-94-EF</t>
  </si>
  <si>
    <t>D.S. 153-94-EF</t>
  </si>
  <si>
    <t>D.S. 154-94-EF</t>
  </si>
  <si>
    <t>D.S. 155-94-EF</t>
  </si>
  <si>
    <t>D.S. 162-94-EF</t>
  </si>
  <si>
    <t>D.S. 161-94-EF</t>
  </si>
  <si>
    <t>D.S. 181-94-EF</t>
  </si>
  <si>
    <t>D.S. 184-94-EF</t>
  </si>
  <si>
    <t>D.S. 176-94-EF</t>
  </si>
  <si>
    <t>D.S. 185-94-EF</t>
  </si>
  <si>
    <t>D.S. 022-96-EF</t>
  </si>
  <si>
    <t>D.S. 027-96-EF</t>
  </si>
  <si>
    <t>D.S. 038-96-EF</t>
  </si>
  <si>
    <t>D.S. 039-96-EF</t>
  </si>
  <si>
    <t>D.S.103-96-EF</t>
  </si>
  <si>
    <t>D.S.130-96-EF</t>
  </si>
  <si>
    <t>D.S.127-96-EF</t>
  </si>
  <si>
    <t>D.S.128-96-EF</t>
  </si>
  <si>
    <t>D.S.133-96-EF</t>
  </si>
  <si>
    <t>D.U. 059-96</t>
  </si>
  <si>
    <t>D.U. 111-96</t>
  </si>
  <si>
    <t>D.S. 054-96-EF</t>
  </si>
  <si>
    <t>D.S. 050-96-EF</t>
  </si>
  <si>
    <t>D.S. 043-96-EF</t>
  </si>
  <si>
    <t>D.U. 102-96</t>
  </si>
  <si>
    <t>D.U.  065-94</t>
  </si>
  <si>
    <t>R.M.  297-91-EF</t>
  </si>
  <si>
    <t xml:space="preserve">   D.U. 060-99</t>
  </si>
  <si>
    <t>SEDACUSCO</t>
  </si>
  <si>
    <t>RENOM</t>
  </si>
  <si>
    <t>SENAPA</t>
  </si>
  <si>
    <t>San Gabán</t>
  </si>
  <si>
    <t>Bco. de la Nación</t>
  </si>
  <si>
    <t>M. Transportes -PERT</t>
  </si>
  <si>
    <t>D.LEG. 605</t>
  </si>
  <si>
    <t>Conservación de Alimentos</t>
  </si>
  <si>
    <t>D.LEG. 606</t>
  </si>
  <si>
    <t>D.LEG. 609</t>
  </si>
  <si>
    <t>Ministerio de Pesquería</t>
  </si>
  <si>
    <t>Prog. De Rehabilitación y Mejoram. De Carreteras</t>
  </si>
  <si>
    <t>D.S.  145-94-EF</t>
  </si>
  <si>
    <t>Sociales</t>
  </si>
  <si>
    <t>Otros</t>
  </si>
  <si>
    <t>M. Transportes - PERT</t>
  </si>
  <si>
    <t>Imp. De Alimentos</t>
  </si>
  <si>
    <t>Imp. Alimentos</t>
  </si>
  <si>
    <t>Presa Cuchoquesera</t>
  </si>
  <si>
    <t>3% - 4%</t>
  </si>
  <si>
    <t>MARENAS</t>
  </si>
  <si>
    <t>M. Relaciones Exteriores</t>
  </si>
  <si>
    <t>M. Presidencia-PRONAP</t>
  </si>
  <si>
    <t>M. Presidencia -PRONAP</t>
  </si>
  <si>
    <t>Países Socialistas</t>
  </si>
  <si>
    <t>Mediocredito Centrale</t>
  </si>
  <si>
    <t>C.de París</t>
  </si>
  <si>
    <t xml:space="preserve">Abastecimiento agua Cusco </t>
  </si>
  <si>
    <t>Prog. agua potable y Alcantarillado de Arequipa</t>
  </si>
  <si>
    <t>Preparación Proyecto de Saneamiento</t>
  </si>
  <si>
    <t>Reestructuración Sub Sector eléctrico</t>
  </si>
  <si>
    <t>MEF-ADUANAS</t>
  </si>
  <si>
    <t>Bco. Europeo de Inv.</t>
  </si>
  <si>
    <t>Sistemas Agua y Alcant. Piura, Castilla y Chimbote</t>
  </si>
  <si>
    <t>Prog. Global de Crédito a Microempresa II</t>
  </si>
  <si>
    <t>Rehab. Serv. Grles Hosp. Macroregionales</t>
  </si>
  <si>
    <t>Fomento a la Pequeña y Microempresa</t>
  </si>
  <si>
    <t>Programa de Ajuste del Sector Financiero II</t>
  </si>
  <si>
    <t>Prog. de Pre-inver. Región Fronteriza</t>
  </si>
  <si>
    <t>Mejoram.  Calidad de la Educación Secundaria - I</t>
  </si>
  <si>
    <t>POR   SECTORES</t>
  </si>
  <si>
    <t>Importación de Alimentos</t>
  </si>
  <si>
    <t>Multisecorial</t>
  </si>
  <si>
    <t>Pesquería</t>
  </si>
  <si>
    <t>Agriucltura</t>
  </si>
  <si>
    <t>Sanemaiento</t>
  </si>
  <si>
    <t>Agriultura</t>
  </si>
  <si>
    <t xml:space="preserve">                 (En miles de unidades monetarias)</t>
  </si>
  <si>
    <t xml:space="preserve">Sector </t>
  </si>
  <si>
    <t>Económico</t>
  </si>
  <si>
    <t>Nota   :    Concertaciones del Gobierno Central y sus Garantías</t>
  </si>
  <si>
    <t>3/</t>
  </si>
  <si>
    <t>EMBRAER S.A.</t>
  </si>
  <si>
    <t>D. Leg. 631- Art. 1º</t>
  </si>
  <si>
    <t>Fiat Vehículos Ind. S.A.</t>
  </si>
  <si>
    <t>D. Leg. 631- Art. 2º</t>
  </si>
  <si>
    <t>D. Leg. 629</t>
  </si>
  <si>
    <t>Bco. do Brasil-CACEX</t>
  </si>
  <si>
    <t>LIBOR-2% ú 8%</t>
  </si>
  <si>
    <t>D.LEG. 558</t>
  </si>
  <si>
    <t>TADIRAN de Israel</t>
  </si>
  <si>
    <t>-</t>
  </si>
  <si>
    <t>us$</t>
  </si>
  <si>
    <t>Elsag de Italia</t>
  </si>
  <si>
    <t xml:space="preserve">Defensa Nacional  </t>
  </si>
  <si>
    <t>Bco. América Do Brasil S.A.</t>
  </si>
  <si>
    <t>D.S. 108-2001-EF</t>
  </si>
  <si>
    <t>D.S. 099-2001-EF</t>
  </si>
  <si>
    <t>MAG</t>
  </si>
  <si>
    <t>D.U.  048-2001-EF</t>
  </si>
  <si>
    <t>LIB.6M+3.5 %</t>
  </si>
  <si>
    <t>10A 6M</t>
  </si>
  <si>
    <t>D.S.144-2001-EF</t>
  </si>
  <si>
    <t>Prog.Titulación y Registro de Tierras-Seg Etapa</t>
  </si>
  <si>
    <t>D.S. 109-2001-EF</t>
  </si>
  <si>
    <t>D.S. 139-2001-EF</t>
  </si>
  <si>
    <t>Proyecto Caminos Rurales II</t>
  </si>
  <si>
    <t>Transporte</t>
  </si>
  <si>
    <t>MTCVC</t>
  </si>
  <si>
    <t>LIB 6M+0,75 %</t>
  </si>
  <si>
    <t>20A 6M</t>
  </si>
  <si>
    <t>D.S.162-2001-EF</t>
  </si>
  <si>
    <t>D.S.171-2001-EF</t>
  </si>
  <si>
    <t>LIB 6M+3,1 %</t>
  </si>
  <si>
    <t>D.S.  050-2001-EF</t>
  </si>
  <si>
    <t>Prést. Programático de Reforma Social</t>
  </si>
  <si>
    <t>D.S.  038-2001-EF</t>
  </si>
  <si>
    <t>D.U.  127-2001-EF</t>
  </si>
  <si>
    <t>LIB.6M+3.75 %</t>
  </si>
  <si>
    <t>1OA 6M</t>
  </si>
  <si>
    <t>0,75%3%</t>
  </si>
  <si>
    <t>0,75%-2%</t>
  </si>
  <si>
    <t>BID 906-OC-PE</t>
  </si>
  <si>
    <t>BIRF 4076-PE</t>
  </si>
  <si>
    <t>BID 985-OC-PE</t>
  </si>
  <si>
    <t>BID 956-OC-PE</t>
  </si>
  <si>
    <t>BID Ca.Ac.PPF 002-PE</t>
  </si>
  <si>
    <t>BID 931-OC-PE</t>
  </si>
  <si>
    <t>BIRF 4068-PE</t>
  </si>
  <si>
    <t>BID Ca.Ac.944 OC-PE</t>
  </si>
  <si>
    <t>BIRF 4130-PE</t>
  </si>
  <si>
    <t>BID 1025-OC-PE</t>
  </si>
  <si>
    <t>BID 966-OC-PE</t>
  </si>
  <si>
    <t>BIRF 4134-PE</t>
  </si>
  <si>
    <t>BID 1036-OC-PE</t>
  </si>
  <si>
    <t>BID 1050-OC-PE</t>
  </si>
  <si>
    <t>BID 1061-OC-PE</t>
  </si>
  <si>
    <t>BIRF 4256-PE</t>
  </si>
  <si>
    <t>BID 1058-OC-PE</t>
  </si>
  <si>
    <t>BIRF 4250-PE</t>
  </si>
  <si>
    <t>BID 1024-OC-PE</t>
  </si>
  <si>
    <t>BID 1115-OC-PE</t>
  </si>
  <si>
    <t>BID 1128-OC-PE</t>
  </si>
  <si>
    <t>BIRF 4384-PE</t>
  </si>
  <si>
    <t>BID 1150-OC-PE</t>
  </si>
  <si>
    <t>BID 1137-OC-PE</t>
  </si>
  <si>
    <t>BIRF 4497-PE</t>
  </si>
  <si>
    <t>BID 1195-OC-PE</t>
  </si>
  <si>
    <t>BID 1196-OC-PE</t>
  </si>
  <si>
    <t>BID 1144-OC-PE</t>
  </si>
  <si>
    <t>BID 1235-OC-PE</t>
  </si>
  <si>
    <t>BID 1236-OC-PE</t>
  </si>
  <si>
    <t>BID 1237-OC-PE</t>
  </si>
  <si>
    <t>BID 1233-OC-PE-D43</t>
  </si>
  <si>
    <t>BID 1208-OC-PE</t>
  </si>
  <si>
    <t>BIRF 4536-PE</t>
  </si>
  <si>
    <t>BID 1340-OC-PE</t>
  </si>
  <si>
    <t>BIRF 4615-PE</t>
  </si>
  <si>
    <t>BID 1321-OC-PE</t>
  </si>
  <si>
    <t>BID 1329-OC-PE</t>
  </si>
  <si>
    <t>BIRF 4257-PE</t>
  </si>
  <si>
    <t>BIRF 4614-PE</t>
  </si>
  <si>
    <t>BID 1328-OC-PE</t>
  </si>
  <si>
    <t>Bonos</t>
  </si>
  <si>
    <t xml:space="preserve">Bonos </t>
  </si>
  <si>
    <t>--</t>
  </si>
  <si>
    <t>D.S. 079-2002-EF</t>
  </si>
  <si>
    <t>EMAPA HVCA</t>
  </si>
  <si>
    <t>EUR</t>
  </si>
  <si>
    <t>D.S. 080-2002-EF</t>
  </si>
  <si>
    <t>Py.E.Jaen S.I.Bagua</t>
  </si>
  <si>
    <t>D.U. 021-2002</t>
  </si>
  <si>
    <t>DGCP</t>
  </si>
  <si>
    <t>10A6M</t>
  </si>
  <si>
    <t>D.S. 107-2002-EF</t>
  </si>
  <si>
    <t>BID 1412 OC-PE</t>
  </si>
  <si>
    <t>14A6M</t>
  </si>
  <si>
    <t xml:space="preserve">     hasta US$ 500 millones, como Endeudamiento Externo para Apoyo de la Balanza de Pagos.</t>
  </si>
  <si>
    <t xml:space="preserve">       i) Cuando la tasa LIBOR a 6 meses sea de hasta 5,0%, se aplicará un margen del 3.75%;</t>
  </si>
  <si>
    <t xml:space="preserve">      ii) Cuando la tasa LIBOR a 6 meses sea superior a 5,0%  y hasta 5.5%, se aplicará un margen del 3.5%;</t>
  </si>
  <si>
    <t xml:space="preserve">     iii) Cuando la tada LIBOR a 6 meses sea superior a 5.5% y hasta 6.0%, se aplicará un margen del 3.25%; y,</t>
  </si>
  <si>
    <t xml:space="preserve">     iv) Cuando la tasa LIBOR a 6 meses sea superior a 6.0%, se aplicará un margen del 3.0%.</t>
  </si>
  <si>
    <t>Gob USA</t>
  </si>
  <si>
    <t>Imp. de Alimentos</t>
  </si>
  <si>
    <t xml:space="preserve"> 26A</t>
  </si>
  <si>
    <t>D.S. 059-2002-EF</t>
  </si>
  <si>
    <t>D.S. 137-2002-EF</t>
  </si>
  <si>
    <t>09-Set-02</t>
  </si>
  <si>
    <t>4A6M</t>
  </si>
  <si>
    <t>20A6M</t>
  </si>
  <si>
    <t>D.S. 138-2002-EF</t>
  </si>
  <si>
    <t>10-Set-02</t>
  </si>
  <si>
    <t>PRONASAR</t>
  </si>
  <si>
    <t>D.S. 142-2002-EF</t>
  </si>
  <si>
    <t>20-Set-02</t>
  </si>
  <si>
    <t>Lib.6M*3/4 del 1%</t>
  </si>
  <si>
    <t>Prog. Reducción de Deuda y su servicio</t>
  </si>
  <si>
    <t>D.S. 179-2002-EF</t>
  </si>
  <si>
    <t>UCPS-MEF</t>
  </si>
  <si>
    <t>D.S. 182-2002-EF</t>
  </si>
  <si>
    <t>D.S. 187-2002-EF</t>
  </si>
  <si>
    <t>MINCETUR</t>
  </si>
  <si>
    <t>16A6M</t>
  </si>
  <si>
    <r>
      <t xml:space="preserve">Defensa Nacional   </t>
    </r>
    <r>
      <rPr>
        <b/>
        <sz val="10"/>
        <color indexed="10"/>
        <rFont val="Arial"/>
        <family val="2"/>
      </rPr>
      <t>1/</t>
    </r>
  </si>
  <si>
    <r>
      <t xml:space="preserve">US$  </t>
    </r>
    <r>
      <rPr>
        <b/>
        <sz val="10"/>
        <color indexed="10"/>
        <rFont val="Arial"/>
        <family val="2"/>
      </rPr>
      <t>7/</t>
    </r>
  </si>
  <si>
    <t xml:space="preserve">5A  </t>
  </si>
  <si>
    <t xml:space="preserve">BID </t>
  </si>
  <si>
    <r>
      <t xml:space="preserve">Defensa Nacional   </t>
    </r>
    <r>
      <rPr>
        <sz val="10"/>
        <color indexed="10"/>
        <rFont val="Arial"/>
        <family val="2"/>
      </rPr>
      <t xml:space="preserve"> </t>
    </r>
    <r>
      <rPr>
        <b/>
        <sz val="10"/>
        <color indexed="10"/>
        <rFont val="Arial"/>
        <family val="2"/>
      </rPr>
      <t xml:space="preserve">1/ </t>
    </r>
  </si>
  <si>
    <r>
      <t>Defensa Nacional</t>
    </r>
    <r>
      <rPr>
        <b/>
        <sz val="10"/>
        <rFont val="Arial"/>
        <family val="2"/>
      </rPr>
      <t xml:space="preserve"> </t>
    </r>
    <r>
      <rPr>
        <b/>
        <sz val="10"/>
        <color indexed="10"/>
        <rFont val="Arial"/>
        <family val="2"/>
      </rPr>
      <t xml:space="preserve"> 1/</t>
    </r>
  </si>
  <si>
    <t xml:space="preserve">D: Leg. 611  </t>
  </si>
  <si>
    <t>Plan Financiero 1996</t>
  </si>
  <si>
    <t xml:space="preserve">20A </t>
  </si>
  <si>
    <t>BID 1421 OC-PE</t>
  </si>
  <si>
    <t>BIRF 7142-PE</t>
  </si>
  <si>
    <t>BID 1442 OC-PE</t>
  </si>
  <si>
    <t>BIRF 4678-PE</t>
  </si>
  <si>
    <t>BIRF P398-0-PE</t>
  </si>
  <si>
    <t>30/89/2000</t>
  </si>
  <si>
    <t>Electroperú</t>
  </si>
  <si>
    <t>-,-</t>
  </si>
  <si>
    <t>Libor + 0.75%</t>
  </si>
  <si>
    <t>Libor + 1.5%</t>
  </si>
  <si>
    <t>Proy. Desarrollo del Sector Social en el Area de Amazonía</t>
  </si>
  <si>
    <r>
      <t xml:space="preserve">D.S. 182-94-EF  </t>
    </r>
    <r>
      <rPr>
        <b/>
        <sz val="10"/>
        <color indexed="10"/>
        <rFont val="Arial"/>
        <family val="2"/>
      </rPr>
      <t xml:space="preserve">   4/</t>
    </r>
  </si>
  <si>
    <r>
      <t xml:space="preserve">D.S. 183-94-EF   </t>
    </r>
    <r>
      <rPr>
        <b/>
        <sz val="10"/>
        <color indexed="10"/>
        <rFont val="Arial"/>
        <family val="2"/>
      </rPr>
      <t>5/</t>
    </r>
  </si>
  <si>
    <r>
      <t xml:space="preserve">Eximbank   </t>
    </r>
    <r>
      <rPr>
        <b/>
        <sz val="10"/>
        <color indexed="10"/>
        <rFont val="Arial"/>
        <family val="2"/>
      </rPr>
      <t>6/</t>
    </r>
  </si>
  <si>
    <r>
      <t xml:space="preserve">US$  </t>
    </r>
    <r>
      <rPr>
        <b/>
        <sz val="10"/>
        <color indexed="10"/>
        <rFont val="Arial"/>
        <family val="2"/>
      </rPr>
      <t>8/</t>
    </r>
  </si>
  <si>
    <r>
      <t xml:space="preserve">JIBIC   </t>
    </r>
    <r>
      <rPr>
        <b/>
        <sz val="10"/>
        <color indexed="10"/>
        <rFont val="Arial"/>
        <family val="2"/>
      </rPr>
      <t>9/</t>
    </r>
  </si>
  <si>
    <r>
      <t xml:space="preserve">6M  </t>
    </r>
    <r>
      <rPr>
        <b/>
        <sz val="10"/>
        <color indexed="10"/>
        <rFont val="Arial"/>
        <family val="2"/>
      </rPr>
      <t>10/</t>
    </r>
  </si>
  <si>
    <t>1,7%-0,75%</t>
  </si>
  <si>
    <t>2,2%-0,75%</t>
  </si>
  <si>
    <t>D.S. 176-99-EF</t>
  </si>
  <si>
    <t>1A9M</t>
  </si>
  <si>
    <r>
      <t>4/</t>
    </r>
    <r>
      <rPr>
        <sz val="10"/>
        <color indexed="10"/>
        <rFont val="Arial"/>
        <family val="2"/>
      </rPr>
      <t xml:space="preserve"> </t>
    </r>
    <r>
      <rPr>
        <sz val="10"/>
        <color indexed="8"/>
        <rFont val="Arial"/>
        <family val="2"/>
      </rPr>
      <t>Con el  D.S. 141-96-EF se aprobó la modificación  del Plazo de Utilización de la Operación de endeudamineto Externo aprobada por D.S. N° 182-94-EF.</t>
    </r>
  </si>
  <si>
    <t>D.S. 007-2003-EF</t>
  </si>
  <si>
    <t>D.S. 027-2003-EF</t>
  </si>
  <si>
    <t>9.875%</t>
  </si>
  <si>
    <r>
      <t xml:space="preserve">12A   </t>
    </r>
    <r>
      <rPr>
        <b/>
        <sz val="10"/>
        <color indexed="10"/>
        <rFont val="Arial"/>
        <family val="2"/>
      </rPr>
      <t>15/</t>
    </r>
  </si>
  <si>
    <r>
      <t xml:space="preserve">12A    </t>
    </r>
    <r>
      <rPr>
        <b/>
        <sz val="10"/>
        <color indexed="10"/>
        <rFont val="Arial"/>
        <family val="2"/>
      </rPr>
      <t>15/</t>
    </r>
  </si>
  <si>
    <t>28/</t>
  </si>
  <si>
    <t>29/</t>
  </si>
  <si>
    <t>D.S. 005-2003-EF</t>
  </si>
  <si>
    <t>Energía y  Minas</t>
  </si>
  <si>
    <t>MEM</t>
  </si>
  <si>
    <t>D.S. 131-2003-EF</t>
  </si>
  <si>
    <t>MED-FONCODES</t>
  </si>
  <si>
    <t>Apoyo Balanza de Pagos</t>
  </si>
  <si>
    <t>Programa Sectorial de Reforma Fiscal</t>
  </si>
  <si>
    <t>Prét. Programático de Reforma Social II</t>
  </si>
  <si>
    <t>Prog. Agroamb. JaénSan IgnacioBagua</t>
  </si>
  <si>
    <t>Prog. Multisect. de Invers.Pública 2002</t>
  </si>
  <si>
    <t>Terc.Etapa Prog. Apoyo a Operac.FONCODES</t>
  </si>
  <si>
    <t>Prog. Nacional de Agua y Saneamiento Rural</t>
  </si>
  <si>
    <t>Proyecto de Educación en Areas  Rurales</t>
  </si>
  <si>
    <t>D.S. 030-2003-EF</t>
  </si>
  <si>
    <t>Forta. Inst. Gob. Peruano -  Comunidad Andina</t>
  </si>
  <si>
    <t>MREE</t>
  </si>
  <si>
    <t xml:space="preserve">         i) Cuando la tasa LIBOR a 6 meses sea de hasta 5,0%, se aplicará un margen de 2.75%;</t>
  </si>
  <si>
    <t xml:space="preserve">        ii) Cuando la tasa LIBOR a 6 meses sea superior a 5,0%  y hasta 5.5%, se aplicará un margen de 2.5%;</t>
  </si>
  <si>
    <t>D.S. Nº 067-2009-EF</t>
  </si>
  <si>
    <t>D.S. Nº 068-2009-EF</t>
  </si>
  <si>
    <t>D.S. Nº 069-2009-EF</t>
  </si>
  <si>
    <t>D.S. Nº 208-2009-EF</t>
  </si>
  <si>
    <t>D.S. Nº 317-2009-EF</t>
  </si>
  <si>
    <t>D.S. Nº 156-2009-EF</t>
  </si>
  <si>
    <t>D.S. Nº 196-2009-EF</t>
  </si>
  <si>
    <t>D.S. Nº 197-2009-EF</t>
  </si>
  <si>
    <t>D.S. Nº 210-2009-EF</t>
  </si>
  <si>
    <t>D.S. Nº 231-2009-EF</t>
  </si>
  <si>
    <t>D.S. Nº 237-2009-EF</t>
  </si>
  <si>
    <t>D.S. Nº 259-2009-EF</t>
  </si>
  <si>
    <t>D.S. Nº 277-2009-EF</t>
  </si>
  <si>
    <t>D.S. Nº 279-2009-EF</t>
  </si>
  <si>
    <t>D.S. Nº 296-2009-EF</t>
  </si>
  <si>
    <t>D.S. Nº 297-2009-EF</t>
  </si>
  <si>
    <t>D.S. Nº 315-2009-EF</t>
  </si>
  <si>
    <t>Programa de Ampliación de la frontera Eléctrica III Etapa -PAFE III - Dpto. de Loreto</t>
  </si>
  <si>
    <t>Programa mejoramiento y Ampliación de los Sist. De Agua potab., Alcantarillado y Trat. de Aguas Residuales de las principales ciudades del Dpto. Cajamarca - I Etapa</t>
  </si>
  <si>
    <t>Programa de Ampliación de la frontera Eléctrica III Etapa -PAFE III - Dpto. de Cajamarca</t>
  </si>
  <si>
    <t>Proyecto "Optimización Sistemas de Agua Potable y Alcantarillado: Sectorización, Rehabilitación  Redes y Actualización Catastro–Área Influencia P.Huachipa–Área Drenaje Comas-Chillón-Lima”</t>
  </si>
  <si>
    <t>Proyecto "Optimización de Sistemas de Agua Potable y Alcantarillado: Sectorización, Rehabilitación de Redes y Actualización de Catastro – Área de Influencia Planta Huachipa –Área de Drenaje Comas-Chillón-Lima”</t>
  </si>
  <si>
    <t>Programa de Reformas de Recursos Hídricos II</t>
  </si>
  <si>
    <t>Préstamo Programático de Política Ambiental</t>
  </si>
  <si>
    <t>Préstamo Programático de Reformas en los Sectores Sociales II</t>
  </si>
  <si>
    <t>Programa de Competitividad Agraria I</t>
  </si>
  <si>
    <t>Segunda Fase de Programa de Apoyo a la reforma del sector Salud-PARSALUD II</t>
  </si>
  <si>
    <t>Programa para el desarrollo de una Matriz Energética Sostenible I</t>
  </si>
  <si>
    <t>Proyecto "Modernización de la Gestión de los Recursos Hídricos"</t>
  </si>
  <si>
    <t>Préstamo Programático Gestión Fiscal y Crecimiento Económico III</t>
  </si>
  <si>
    <t>Programa de Reformas del Sector Saneamiento III</t>
  </si>
  <si>
    <t>Programa de Reformas de los Sectores Sociales I</t>
  </si>
  <si>
    <t>Préstamo Programático de Política Ambiental II</t>
  </si>
  <si>
    <t>Apoyo a la Implementación del Programa de Reformas del Sector Saneamiento</t>
  </si>
  <si>
    <t xml:space="preserve">Energía </t>
  </si>
  <si>
    <t>G. Reg. Cajamarca</t>
  </si>
  <si>
    <t>G.Reg.Cajamarca</t>
  </si>
  <si>
    <t>DNEP</t>
  </si>
  <si>
    <t>MINSA</t>
  </si>
  <si>
    <t>Mº Agricultura -ANA</t>
  </si>
  <si>
    <t>UCPS</t>
  </si>
  <si>
    <t>38/</t>
  </si>
  <si>
    <t>39/</t>
  </si>
  <si>
    <t>42/</t>
  </si>
  <si>
    <t>Libor 3M</t>
  </si>
  <si>
    <t>Libor 3M+Margen BID</t>
  </si>
  <si>
    <t>3,5 años</t>
  </si>
  <si>
    <t>12.5 años</t>
  </si>
  <si>
    <t>14,5 años</t>
  </si>
  <si>
    <t>40/</t>
  </si>
  <si>
    <t>41/</t>
  </si>
  <si>
    <t>43/</t>
  </si>
  <si>
    <t>44/</t>
  </si>
  <si>
    <t>45/</t>
  </si>
  <si>
    <t>17,5 años</t>
  </si>
  <si>
    <t xml:space="preserve">    - 0,8% Obras del proyecto</t>
  </si>
  <si>
    <t xml:space="preserve">    - 0,8% Obras de Agua Potable</t>
  </si>
  <si>
    <t xml:space="preserve">    - 0,4% Obras de Alcantarillado</t>
  </si>
  <si>
    <t xml:space="preserve">    - 1,4% Obras del proyecto</t>
  </si>
  <si>
    <t xml:space="preserve">       i) Catorce cuotas, la primera de las cuales vencerá el 15.02.20 y la última el 15.08.26.</t>
  </si>
  <si>
    <t xml:space="preserve">      ii) Trece cuotas, la primera de las cuales vencerá el 15.08.27 y la última el 15.08.33.</t>
  </si>
  <si>
    <t xml:space="preserve">     iii) Una cuota con vencimiento 15.02.34.</t>
  </si>
  <si>
    <t xml:space="preserve">       i) 18 cuotas que vencerán el 15/03/2018, 15/09/2018, 15/03/2021, 15/09/2021, 15/03/2022,</t>
  </si>
  <si>
    <t xml:space="preserve">          15/09/2022, 15/03/2023, 15/09/2023, 15/03/2024, 15/09/2024, 15/03/2027, 15/09/2027,</t>
  </si>
  <si>
    <t xml:space="preserve">          15/03/2028, 15/09/2028, 15/03/2029, 15/09/2029, 15/03/2030 y 15/09/2030.</t>
  </si>
  <si>
    <t xml:space="preserve">        06 cuotas que vencerán el 15/03/2027, 15/09/2027, 15/03/2028, 15/09/2028, 15/03/2029 y 15/09/2029.</t>
  </si>
  <si>
    <t>37/</t>
  </si>
  <si>
    <t>D.S. Nº 088-2010-EF</t>
  </si>
  <si>
    <t>D.S. Nº 141-2010-EF</t>
  </si>
  <si>
    <t>D.S. Nº 234-2010-EF</t>
  </si>
  <si>
    <t>D.S. Nº 272-2010-EF</t>
  </si>
  <si>
    <t>D.S. Nº 273-2010-EF</t>
  </si>
  <si>
    <t>D.S. Nº 274-2010-EF</t>
  </si>
  <si>
    <t>D.S. Nº 275-2010-EF</t>
  </si>
  <si>
    <t>D.S. Nº 125-2010-EF</t>
  </si>
  <si>
    <t>D.S. Nº 140-2010-EF</t>
  </si>
  <si>
    <t>D.S. Nº 142-2010-EF</t>
  </si>
  <si>
    <t>D.S. Nº 169-2010-EF</t>
  </si>
  <si>
    <t>D.S. Nº 180-2010-EF</t>
  </si>
  <si>
    <t>D.S. Nº 188-2010-EF</t>
  </si>
  <si>
    <t>D.S. Nº 206-2010-EF</t>
  </si>
  <si>
    <t>D.S. Nº 208-2010-EF</t>
  </si>
  <si>
    <t>D.S. Nº 226-2010-EF</t>
  </si>
  <si>
    <t>D.S. Nº 227-2010-EF</t>
  </si>
  <si>
    <t>D.S. Nº 235-2010-EF</t>
  </si>
  <si>
    <t>D.S. Nº 237-2010-EF</t>
  </si>
  <si>
    <t>D.S. Nº 238-2010-EF</t>
  </si>
  <si>
    <t>D.S. Nº 239-2010-EF</t>
  </si>
  <si>
    <t>D.S. Nº 240-2010-EF</t>
  </si>
  <si>
    <t>D.S. Nº 241-2010-EF</t>
  </si>
  <si>
    <t>D.S. Nº 242-2010-EF</t>
  </si>
  <si>
    <t>D.S. Nº 245-2010-EF</t>
  </si>
  <si>
    <t>D.S. Nº 253-2010-EF</t>
  </si>
  <si>
    <t>D.S. Nº 276-2010-EF</t>
  </si>
  <si>
    <t>Proyecto de Gestión Integral de la Micro Cuenca Mariño de la Provincia de Abancay</t>
  </si>
  <si>
    <t>Programa de Reforma de  los Sectores Sociales II</t>
  </si>
  <si>
    <t>Préstamo Programático de Polítiica Ambiental III</t>
  </si>
  <si>
    <t>Programa de Segunda Generación de Reformas del Sector Saneamiento I</t>
  </si>
  <si>
    <t>Proyecto de Mejoramiento de Agua Potable y Alcantarillado en Áreas Marginales de Lima</t>
  </si>
  <si>
    <t>Proyecto "Facilidad Sectorial para el Apoyo al Programa para la Mejora de la Productividad y Competitividad"</t>
  </si>
  <si>
    <t>Programa para la Mejora de la Productividad y Competitividad</t>
  </si>
  <si>
    <t>Préstamo Programático de Política Ambiental III</t>
  </si>
  <si>
    <t>Préstamo Programático Gestión Fiscal y Crecimiento Económico IV</t>
  </si>
  <si>
    <t>Programa de Reducción de Vulnerabilidad de Estado ante Desastres I</t>
  </si>
  <si>
    <t>Programa para el Desarrollo de una Nueva Matriz Energética Sostenible II</t>
  </si>
  <si>
    <t>Programa de Reformas de Recursos Hídricos III</t>
  </si>
  <si>
    <t>Proyecto Corredor Vial Interoceanico Perú-Brasil (IIRSA Sur)</t>
  </si>
  <si>
    <t>Modernización del Sistema de Administración Financiera Pública para Mejorar la Programación, Ejecución y Rendición de Cuentas de los Recurso Públicos</t>
  </si>
  <si>
    <t>Cooperación Técnica Reembolsable  para financiar el proyecto "Apoyo al Programa de Reformas de los Sectores Sociales"</t>
  </si>
  <si>
    <t>Programa de Reformas de los Sectores Sociales II</t>
  </si>
  <si>
    <t>Programa de Apoyo a la Agenda del Cambio Climático</t>
  </si>
  <si>
    <t>Préstamo programatico de Reforma Social III</t>
  </si>
  <si>
    <t>Programa Nacional de Agua y Saneamiento Rural</t>
  </si>
  <si>
    <t>Proyecto Mejoramiento de los Servicios de justicia, 2da. Etapa</t>
  </si>
  <si>
    <t>Programa Subsectorial de Irrigación- Sierra</t>
  </si>
  <si>
    <t>Concesión del Primer Componente "Obras Mayores de Afianzamiento Hídrico y de Infraestructura para Irrigación de las Pampas de Siguas" - Proyecto Majes Siguas II Etapa</t>
  </si>
  <si>
    <t>GR. San Martín</t>
  </si>
  <si>
    <t>DNEP-UCPS</t>
  </si>
  <si>
    <t>G.R.Aprurimac</t>
  </si>
  <si>
    <t>AGRO RURAL</t>
  </si>
  <si>
    <t>GR. Arequipa</t>
  </si>
  <si>
    <t>47/</t>
  </si>
  <si>
    <t>3,29%</t>
  </si>
  <si>
    <t>48/</t>
  </si>
  <si>
    <t>Libor 6 meses+2.4%</t>
  </si>
  <si>
    <t>Libor 3M+ Margen BID</t>
  </si>
  <si>
    <t>Libor 6 m+Margen BIRF</t>
  </si>
  <si>
    <t>Libor 6m+ 2.4%</t>
  </si>
  <si>
    <t>21,5 años</t>
  </si>
  <si>
    <t>49/</t>
  </si>
  <si>
    <t>50/</t>
  </si>
  <si>
    <t>51/</t>
  </si>
  <si>
    <t>12 años</t>
  </si>
  <si>
    <t>19.5 años</t>
  </si>
  <si>
    <t>21.5 años</t>
  </si>
  <si>
    <t>53/</t>
  </si>
  <si>
    <t>54/</t>
  </si>
  <si>
    <t>46/</t>
  </si>
  <si>
    <t>52/</t>
  </si>
  <si>
    <t xml:space="preserve">    - 1,4% Obras del proyecto.</t>
  </si>
  <si>
    <t>DIRECCION GENERAL DE ENDEUDAMIENTO Y TESORO PÚBLICO</t>
  </si>
  <si>
    <t>D.S. Nº 102-2011-EF</t>
  </si>
  <si>
    <t>D.S. Nº 103-2011-EF</t>
  </si>
  <si>
    <t>Programa de Competitividad Agraria II</t>
  </si>
  <si>
    <t>DGETP-UCPS</t>
  </si>
  <si>
    <t>MEF/UCPS-DGPP</t>
  </si>
  <si>
    <t>D.S. Nº 167-2011-EF</t>
  </si>
  <si>
    <t>D.S. Nº 171-2011-EF</t>
  </si>
  <si>
    <t>D.S. Nº 235-2011-EF</t>
  </si>
  <si>
    <t>D.S. Nº 236-2011-EF</t>
  </si>
  <si>
    <t>Programa para el Desarrollo de una Nueva Matriz Energética Sostenible III</t>
  </si>
  <si>
    <t>Programa de Reducción de Vulnerabilidad del Estado ante Desastres</t>
  </si>
  <si>
    <t>Programa de Apoyo a la Agenda del Cambio Climático II</t>
  </si>
  <si>
    <t>Programa de Segunda Generación de Reformas del Sector saneamiento II</t>
  </si>
  <si>
    <t>DGETP/UCPS</t>
  </si>
  <si>
    <t>Libor 6 m+Margen Variable BIRF</t>
  </si>
  <si>
    <t>D.S. Nº 100-2011-EF</t>
  </si>
  <si>
    <t>Programa de Mejoramiento de la Electrificación Rural Mediante la Aplicación de Fondos Concursables - FONER II</t>
  </si>
  <si>
    <t>MEM (DGER)</t>
  </si>
  <si>
    <t>D.S. Nº 248-2011-EF</t>
  </si>
  <si>
    <t>Primera Fase del Programa "Modernización del Sistema de Administración de Justicia para la Mejora de los Servicos Brindados a la Población Peruana (PMSAJ) - Primera Etapa"</t>
  </si>
  <si>
    <t>JUSTICIA</t>
  </si>
  <si>
    <t>MINJUSDH - Poder Judicial</t>
  </si>
  <si>
    <t>19,5 años</t>
  </si>
  <si>
    <t>D.S. Nº 133-2011-EF</t>
  </si>
  <si>
    <t>Programa "Optim. Sist. Agua Potable y Alcantar. Área Influencia Huachipa y Áreas del Drenaje de los Colectores Comas y Chillón-Fortalecimiento de Capacidades de Gestión en Lima Metropolitana".</t>
  </si>
  <si>
    <t>17 años</t>
  </si>
  <si>
    <t>1 año</t>
  </si>
  <si>
    <t>D.S. Nº 116-2011-EF</t>
  </si>
  <si>
    <t>Proyecto Sistema Eléctrico de Transporte Masivo de Lima y Callao, Línea 1-Tramo 2 -Av. Grau-S. J. Lurigancho</t>
  </si>
  <si>
    <t>MTC-AATE</t>
  </si>
  <si>
    <t>56/</t>
  </si>
  <si>
    <t>57/</t>
  </si>
  <si>
    <r>
      <rPr>
        <sz val="10"/>
        <rFont val="Arial"/>
        <family val="2"/>
      </rPr>
      <t>Defensa Nacional</t>
    </r>
    <r>
      <rPr>
        <b/>
        <sz val="10"/>
        <rFont val="Arial"/>
        <family val="2"/>
      </rPr>
      <t xml:space="preserve"> </t>
    </r>
    <r>
      <rPr>
        <b/>
        <sz val="10"/>
        <color indexed="10"/>
        <rFont val="Arial"/>
        <family val="2"/>
      </rPr>
      <t xml:space="preserve"> 1/</t>
    </r>
  </si>
  <si>
    <r>
      <t xml:space="preserve">D.LEG. 628    </t>
    </r>
    <r>
      <rPr>
        <sz val="10"/>
        <color indexed="10"/>
        <rFont val="Arial"/>
        <family val="2"/>
      </rPr>
      <t>2/</t>
    </r>
  </si>
  <si>
    <t>D.S. Nº 051-2012-EF</t>
  </si>
  <si>
    <t>Programa de Pequeña y Mediana Infraestructura de Riego en la Sierra del Perú</t>
  </si>
  <si>
    <t>AGRORURAL</t>
  </si>
  <si>
    <t>62/</t>
  </si>
  <si>
    <t>D.S. Nº 231-2012-EF</t>
  </si>
  <si>
    <t>Programa de Desarrollo Forestal Sostenible, Inclusivo y Competitivo en la Amazonía Peruana</t>
  </si>
  <si>
    <t>SERFOR (MINAG)</t>
  </si>
  <si>
    <t>Libor  6m+1.35%</t>
  </si>
  <si>
    <t>D.S. Nº 283-2012-EF</t>
  </si>
  <si>
    <t>Ambiente</t>
  </si>
  <si>
    <t>D.S. Nº 158-2012-EF</t>
  </si>
  <si>
    <t>MINAM</t>
  </si>
  <si>
    <t>D.S. Nº 143-2012-EF</t>
  </si>
  <si>
    <t>68/</t>
  </si>
  <si>
    <t>D.S. Nº 247-2012-EF</t>
  </si>
  <si>
    <t>MINEDU</t>
  </si>
  <si>
    <t>D.S. Nº 141-2012-EF</t>
  </si>
  <si>
    <t>Programa "Mejoramiento de la Educación Inicial en Ayacucho, Huancavelica y Huánuco"</t>
  </si>
  <si>
    <t>D.S. Nº 262-2012-EF</t>
  </si>
  <si>
    <t>Proyecto Mejoramiento de la Calidad de Educación Superior</t>
  </si>
  <si>
    <t>SINEACE/MINEDU</t>
  </si>
  <si>
    <t>Libor 6M+ Margen BIRF</t>
  </si>
  <si>
    <t>Bonoistas</t>
  </si>
  <si>
    <t>Emisión Externa y/o interna de Bonos</t>
  </si>
  <si>
    <t>Bonistas</t>
  </si>
  <si>
    <t>D.S. Nº 199-2012-EF</t>
  </si>
  <si>
    <t>Programa de Asistencia para Infraestructura de Renovación Energética</t>
  </si>
  <si>
    <t>64/</t>
  </si>
  <si>
    <t>61/</t>
  </si>
  <si>
    <t>D.S. Nº 260-2012-EF</t>
  </si>
  <si>
    <t>Programa de Segunda Generación de Reformas del Sector Saneamiento</t>
  </si>
  <si>
    <t>D.S. Nº 284-2012-EF</t>
  </si>
  <si>
    <t>kfW</t>
  </si>
  <si>
    <t>Programa de Energías Renovables y Eficiencia Energética</t>
  </si>
  <si>
    <t>D.S. Nº 288-2012-EF</t>
  </si>
  <si>
    <t>Programa "Crédito Rural - COFIDE III"</t>
  </si>
  <si>
    <t>Fija</t>
  </si>
  <si>
    <t>D.S. Nº 156-2012-EF</t>
  </si>
  <si>
    <t>Proyecto "Mejoramiento de la Gestión de la Inversión Pública Territorial"</t>
  </si>
  <si>
    <t>D.S. Nº 157-2012-EF</t>
  </si>
  <si>
    <t>D.S. Nº 210-2012-EF</t>
  </si>
  <si>
    <t>Programa de Reformas de los Sectores Sociales III</t>
  </si>
  <si>
    <t>D.S. Nº 239-2012-EF</t>
  </si>
  <si>
    <t>Proyecto de Rehabilitación y Mejoramiento de la carretera Lima-Canta-laViuda-Unish</t>
  </si>
  <si>
    <t>D.S. Nº 248-2012-EF</t>
  </si>
  <si>
    <t>Programa para la Mejora de la Productividad y la Competitividad II</t>
  </si>
  <si>
    <t>D.S. Nº 249-2012-EF</t>
  </si>
  <si>
    <t>Programa para el Desarrollo de una Nueva Matriz Energética Sostenivle IV</t>
  </si>
  <si>
    <t>D.S. Nº 285-2012-EF</t>
  </si>
  <si>
    <t>Asistencia Técnica para el Apoyo al Programa de Gestión de Resultados para la Inclusión Social</t>
  </si>
  <si>
    <t>MEF/UCPS-DGPI</t>
  </si>
  <si>
    <t>PCM/UCPCT</t>
  </si>
  <si>
    <t>Provias Nacional</t>
  </si>
  <si>
    <t>69/</t>
  </si>
  <si>
    <t>UCPS MEF</t>
  </si>
  <si>
    <t>D.S. Nº 044-2012-EF</t>
  </si>
  <si>
    <t>Programa de Agua Potable y Saneamiento para la Amazonía Rural</t>
  </si>
  <si>
    <t>D.S. Nº 240-2012-EF</t>
  </si>
  <si>
    <t>D.S. Nº 245-2012-EF</t>
  </si>
  <si>
    <t>Proyecto "Optimización de Sistemas de Agua Potable y Alcantarillado, Sectorización, Rehabilitación de Redes y Actualización de Catastro - Área de Influencia Planta Huachipa - Área de Drenaje Oquendo, Sinchi Roca, Puente Piedra y Sectores 84, 83, 85 y 212 - Lima"</t>
  </si>
  <si>
    <t>Programa de Medidas de Rápido Impacto II</t>
  </si>
  <si>
    <t>EPS PMR II</t>
  </si>
  <si>
    <t>65/</t>
  </si>
  <si>
    <t>66/</t>
  </si>
  <si>
    <t>D.S. Nº 149-2012-EF</t>
  </si>
  <si>
    <t>Proyecto “Esquema Cajamarquilla, Nievería y Cerro Camote - Ampliación de los Sistema de Agua Potable y Alcantarillado de los Sectores 129, 130, 131, 132, 133, 134 y 135 – Distrito de Lurigancho y San Antonio de Huarochirí”</t>
  </si>
  <si>
    <t>D.S. Nº 308-2012-EF</t>
  </si>
  <si>
    <t>Programa "Establecimiento de las Bases para el Desarrollo Rural a través del Turismo en el Corredor Turítico  del Valle del Uctubamba, Sector Pedro Ruiz- Leymebamba, Región Amazonas".</t>
  </si>
  <si>
    <t>G.R. Amazonas</t>
  </si>
  <si>
    <t>67/</t>
  </si>
  <si>
    <t xml:space="preserve">        Tramo II: EUR 4 064 519.06  2%</t>
  </si>
  <si>
    <t xml:space="preserve">        Tramo III: EUR 3 279 464.28  3%</t>
  </si>
  <si>
    <t xml:space="preserve">        Tramo II y III: 20 años</t>
  </si>
  <si>
    <t>59/</t>
  </si>
  <si>
    <t>60/</t>
  </si>
  <si>
    <r>
      <t>26</t>
    </r>
    <r>
      <rPr>
        <sz val="10"/>
        <rFont val="Arial"/>
        <family val="2"/>
      </rPr>
      <t>/ Tasa T.I.C.R.( Tasa de Interés Comercial de Referencia)</t>
    </r>
  </si>
  <si>
    <r>
      <t xml:space="preserve">D.S. 021-2002-EF </t>
    </r>
    <r>
      <rPr>
        <b/>
        <sz val="10"/>
        <color indexed="10"/>
        <rFont val="Arial"/>
        <family val="2"/>
      </rPr>
      <t>11/</t>
    </r>
  </si>
  <si>
    <r>
      <t xml:space="preserve">BID </t>
    </r>
    <r>
      <rPr>
        <b/>
        <sz val="10"/>
        <color indexed="10"/>
        <rFont val="Arial"/>
        <family val="2"/>
      </rPr>
      <t>12/</t>
    </r>
  </si>
  <si>
    <r>
      <t xml:space="preserve">LIB.6M- </t>
    </r>
    <r>
      <rPr>
        <b/>
        <sz val="10"/>
        <color indexed="10"/>
        <rFont val="Arial"/>
        <family val="2"/>
      </rPr>
      <t>13/</t>
    </r>
  </si>
  <si>
    <r>
      <t xml:space="preserve">LIB.+6M+    </t>
    </r>
    <r>
      <rPr>
        <b/>
        <sz val="10"/>
        <color indexed="10"/>
        <rFont val="Arial"/>
        <family val="2"/>
      </rPr>
      <t>13/</t>
    </r>
  </si>
  <si>
    <r>
      <t xml:space="preserve">LIB.6M+  </t>
    </r>
    <r>
      <rPr>
        <sz val="10"/>
        <color indexed="10"/>
        <rFont val="Arial"/>
        <family val="2"/>
      </rPr>
      <t xml:space="preserve"> </t>
    </r>
    <r>
      <rPr>
        <b/>
        <sz val="10"/>
        <color indexed="10"/>
        <rFont val="Arial"/>
        <family val="2"/>
      </rPr>
      <t>14/</t>
    </r>
  </si>
  <si>
    <r>
      <t xml:space="preserve">BID     </t>
    </r>
    <r>
      <rPr>
        <b/>
        <sz val="10"/>
        <color indexed="10"/>
        <rFont val="Arial"/>
        <family val="2"/>
      </rPr>
      <t>12/</t>
    </r>
  </si>
  <si>
    <r>
      <t xml:space="preserve">LIB.6M+   </t>
    </r>
    <r>
      <rPr>
        <b/>
        <sz val="10"/>
        <color indexed="10"/>
        <rFont val="Arial"/>
        <family val="2"/>
      </rPr>
      <t xml:space="preserve"> 16/</t>
    </r>
  </si>
  <si>
    <r>
      <t xml:space="preserve">LIB.6M+    </t>
    </r>
    <r>
      <rPr>
        <b/>
        <sz val="10"/>
        <color indexed="10"/>
        <rFont val="Arial"/>
        <family val="2"/>
      </rPr>
      <t>16/</t>
    </r>
  </si>
  <si>
    <r>
      <t xml:space="preserve">LIB.6M+    </t>
    </r>
    <r>
      <rPr>
        <b/>
        <sz val="10"/>
        <color indexed="10"/>
        <rFont val="Arial"/>
        <family val="2"/>
      </rPr>
      <t>13/</t>
    </r>
  </si>
  <si>
    <r>
      <t xml:space="preserve">LIB.6M+    </t>
    </r>
    <r>
      <rPr>
        <b/>
        <sz val="10"/>
        <color indexed="10"/>
        <rFont val="Arial"/>
        <family val="2"/>
      </rPr>
      <t>17/</t>
    </r>
  </si>
  <si>
    <r>
      <t>12</t>
    </r>
    <r>
      <rPr>
        <sz val="10"/>
        <color indexed="10"/>
        <rFont val="Arial"/>
        <family val="2"/>
      </rPr>
      <t>/</t>
    </r>
  </si>
  <si>
    <r>
      <t>18</t>
    </r>
    <r>
      <rPr>
        <sz val="10"/>
        <color indexed="10"/>
        <rFont val="Arial"/>
        <family val="2"/>
      </rPr>
      <t>/</t>
    </r>
  </si>
  <si>
    <r>
      <t xml:space="preserve">Lib.3 m+Marg BID </t>
    </r>
    <r>
      <rPr>
        <b/>
        <sz val="10"/>
        <rFont val="Arial"/>
        <family val="2"/>
      </rPr>
      <t>3/</t>
    </r>
  </si>
  <si>
    <r>
      <t xml:space="preserve">        28 años1</t>
    </r>
    <r>
      <rPr>
        <b/>
        <sz val="10"/>
        <rFont val="Arial"/>
        <family val="2"/>
      </rPr>
      <t>/</t>
    </r>
  </si>
  <si>
    <r>
      <t xml:space="preserve">Libor 6 meses+2.35% </t>
    </r>
    <r>
      <rPr>
        <b/>
        <sz val="10"/>
        <color indexed="10"/>
        <rFont val="Arial"/>
        <family val="2"/>
      </rPr>
      <t>55/</t>
    </r>
  </si>
  <si>
    <r>
      <t>Libor 6 m+2,1%</t>
    </r>
    <r>
      <rPr>
        <b/>
        <sz val="10"/>
        <color indexed="10"/>
        <rFont val="Arial"/>
        <family val="2"/>
      </rPr>
      <t xml:space="preserve"> 58/</t>
    </r>
  </si>
  <si>
    <r>
      <t>D.S. Nº 020-2012-EF</t>
    </r>
    <r>
      <rPr>
        <sz val="10"/>
        <color indexed="10"/>
        <rFont val="Arial"/>
        <family val="2"/>
      </rPr>
      <t xml:space="preserve"> </t>
    </r>
    <r>
      <rPr>
        <b/>
        <sz val="10"/>
        <color indexed="10"/>
        <rFont val="Arial"/>
        <family val="2"/>
      </rPr>
      <t>63/</t>
    </r>
  </si>
  <si>
    <r>
      <t xml:space="preserve">PNSR </t>
    </r>
    <r>
      <rPr>
        <b/>
        <sz val="10"/>
        <rFont val="Arial"/>
        <family val="2"/>
      </rPr>
      <t xml:space="preserve"> </t>
    </r>
    <r>
      <rPr>
        <sz val="10"/>
        <rFont val="Arial"/>
        <family val="2"/>
      </rPr>
      <t>-  MVCS</t>
    </r>
  </si>
  <si>
    <r>
      <t>1/</t>
    </r>
    <r>
      <rPr>
        <sz val="10"/>
        <rFont val="Arial"/>
        <family val="2"/>
      </rPr>
      <t xml:space="preserve"> No se ejecutó.</t>
    </r>
  </si>
  <si>
    <r>
      <t>2/</t>
    </r>
    <r>
      <rPr>
        <sz val="10"/>
        <rFont val="Arial"/>
        <family val="2"/>
      </rPr>
      <t xml:space="preserve"> El D.S. 301-91-EF del 19-12-91 modifica el Artículo 1º del D. Leg. 628, a fin de sustituir en el financiamiento al Bco. do Brasil por la empresa EMBRAER</t>
    </r>
  </si>
  <si>
    <r>
      <t xml:space="preserve">3/ </t>
    </r>
    <r>
      <rPr>
        <sz val="10"/>
        <rFont val="Arial"/>
        <family val="2"/>
      </rPr>
      <t>Devengará una tasa de interes para Recursos CAF:Libor+1,75%; Recursos Terceros:Tasa de Interés de los recursos más un margen de 1/10.</t>
    </r>
  </si>
  <si>
    <r>
      <t>5/</t>
    </r>
    <r>
      <rPr>
        <sz val="10"/>
        <rFont val="Arial"/>
        <family val="2"/>
      </rPr>
      <t xml:space="preserve"> El D.S. 164-95-EF precisa que la operación de crédito será acordada con la firma Mobeteck Representaciones Sucursal de Panamá.</t>
    </r>
  </si>
  <si>
    <r>
      <t xml:space="preserve">6/ </t>
    </r>
    <r>
      <rPr>
        <sz val="10"/>
        <rFont val="Arial"/>
        <family val="2"/>
      </rPr>
      <t>Interés =2,9%</t>
    </r>
  </si>
  <si>
    <r>
      <t xml:space="preserve">7/ </t>
    </r>
    <r>
      <rPr>
        <sz val="10"/>
        <rFont val="Arial"/>
        <family val="2"/>
      </rPr>
      <t>Incluye el monto del préstamo (US$ 11'977,000) y el 100% de las garantías (US$ 648,283) , conforme aprueba el D.S.</t>
    </r>
  </si>
  <si>
    <r>
      <t xml:space="preserve">8/ </t>
    </r>
    <r>
      <rPr>
        <sz val="10"/>
        <rFont val="Arial"/>
        <family val="2"/>
      </rPr>
      <t>Incluye el monto del préstamo (US$ 1'696,090) y el 85% de las garantías (US$ 72,934), conforme aprueba el D.S.</t>
    </r>
  </si>
  <si>
    <r>
      <t xml:space="preserve">9/ </t>
    </r>
    <r>
      <rPr>
        <sz val="10"/>
        <rFont val="Arial"/>
        <family val="2"/>
      </rPr>
      <t>Interés=2,2%</t>
    </r>
  </si>
  <si>
    <r>
      <t xml:space="preserve">10/ </t>
    </r>
    <r>
      <rPr>
        <sz val="10"/>
        <rFont val="Arial"/>
        <family val="2"/>
      </rPr>
      <t>La primera cuota vencerá a los 12 meses de la fecha del correspondiente conocimiento de embarque</t>
    </r>
  </si>
  <si>
    <r>
      <t>11/</t>
    </r>
    <r>
      <rPr>
        <b/>
        <sz val="10"/>
        <rFont val="Arial"/>
        <family val="2"/>
      </rPr>
      <t xml:space="preserve"> </t>
    </r>
    <r>
      <rPr>
        <sz val="10"/>
        <rFont val="Arial"/>
        <family val="2"/>
      </rPr>
      <t xml:space="preserve">Mediante el D.S. 021-2002-EF se autorizó la emisión Internacional de Bonos Soberanos hasta por US$ 1500 millones, de los cuales hasta US$ 1,000 millones son  para  operación de renegociación  de deuda pública externa mediante  canje de Bonos y </t>
    </r>
  </si>
  <si>
    <r>
      <t xml:space="preserve">12/ </t>
    </r>
    <r>
      <rPr>
        <sz val="10"/>
        <rFont val="Arial"/>
        <family val="2"/>
      </rPr>
      <t>Tasa de interés anual, establecida por el BID.</t>
    </r>
  </si>
  <si>
    <r>
      <t xml:space="preserve">13/ </t>
    </r>
    <r>
      <rPr>
        <sz val="10"/>
        <rFont val="Arial"/>
        <family val="2"/>
      </rPr>
      <t>Más márgen fijo determinado por el BIRF, de acuerdo con su política de operaciones.</t>
    </r>
  </si>
  <si>
    <r>
      <t>14/</t>
    </r>
    <r>
      <rPr>
        <b/>
        <sz val="10"/>
        <rFont val="Arial"/>
        <family val="2"/>
      </rPr>
      <t xml:space="preserve"> </t>
    </r>
    <r>
      <rPr>
        <sz val="10"/>
        <rFont val="Arial"/>
        <family val="2"/>
      </rPr>
      <t>Más  márgen de acuerdo con la sgte. escala:</t>
    </r>
  </si>
  <si>
    <r>
      <t xml:space="preserve">15/ </t>
    </r>
    <r>
      <rPr>
        <sz val="10"/>
        <rFont val="Arial"/>
        <family val="2"/>
      </rPr>
      <t>Todo el principal se paga al final del periodo</t>
    </r>
  </si>
  <si>
    <r>
      <t>16/</t>
    </r>
    <r>
      <rPr>
        <b/>
        <sz val="10"/>
        <rFont val="Arial"/>
        <family val="2"/>
      </rPr>
      <t xml:space="preserve"> </t>
    </r>
    <r>
      <rPr>
        <sz val="10"/>
        <rFont val="Arial"/>
        <family val="2"/>
      </rPr>
      <t>Más un  márgen de acuerdo con la sgte. escala:</t>
    </r>
  </si>
  <si>
    <r>
      <t xml:space="preserve">17/ </t>
    </r>
    <r>
      <rPr>
        <sz val="10"/>
        <rFont val="Arial"/>
        <family val="2"/>
      </rPr>
      <t>Más un  márgen de acuerdo con la sgte. escala:</t>
    </r>
  </si>
  <si>
    <r>
      <t>18/</t>
    </r>
    <r>
      <rPr>
        <sz val="10"/>
        <rFont val="Arial"/>
        <family val="2"/>
      </rPr>
      <t>Será reembolsado integramente con cargo al primer desembolso del préstamo a ser acordado con ell BID para financiar el proyecto "Programa de Apoyo del Sector Sanitario", hasta por US$ 50,0 millones</t>
    </r>
  </si>
  <si>
    <r>
      <t>19/</t>
    </r>
    <r>
      <rPr>
        <sz val="10"/>
        <rFont val="Arial"/>
        <family val="2"/>
      </rPr>
      <t>La fecha de pago de la primera cuota de amortización será el 01.01.08, computado a partir de la fecha de en vigor  del Contrato de Préstamo (se estima sea el 11.10.04).</t>
    </r>
  </si>
  <si>
    <r>
      <t xml:space="preserve">20/  </t>
    </r>
    <r>
      <rPr>
        <sz val="10"/>
        <rFont val="Arial"/>
        <family val="2"/>
      </rPr>
      <t xml:space="preserve"> Tipo de cabio EUR/USD de 1.1794, establecido en</t>
    </r>
    <r>
      <rPr>
        <b/>
        <sz val="10"/>
        <rFont val="Arial"/>
        <family val="2"/>
      </rPr>
      <t xml:space="preserve"> </t>
    </r>
    <r>
      <rPr>
        <sz val="10"/>
        <rFont val="Arial"/>
        <family val="2"/>
      </rPr>
      <t>el contrato de préstamo</t>
    </r>
  </si>
  <si>
    <r>
      <t>21/</t>
    </r>
    <r>
      <rPr>
        <b/>
        <sz val="10"/>
        <rFont val="Arial"/>
        <family val="2"/>
      </rPr>
      <t xml:space="preserve"> </t>
    </r>
    <r>
      <rPr>
        <sz val="10"/>
        <rFont val="Arial"/>
        <family val="2"/>
      </rPr>
      <t xml:space="preserve">Esta garantía tendrá un plazo de 19 años y deberá ser reembolsada dentro de los 30 días hábiles posteriores a su ejecución, devengando una tasa de interés de Libor a 6 meses más un margen CAF para préstamos soberanos más 0,7% aplicable al monto ejecutado de la garantía. </t>
    </r>
  </si>
  <si>
    <r>
      <t>22/</t>
    </r>
    <r>
      <rPr>
        <b/>
        <sz val="10"/>
        <rFont val="Arial"/>
        <family val="2"/>
      </rPr>
      <t xml:space="preserve"> </t>
    </r>
    <r>
      <rPr>
        <sz val="10"/>
        <rFont val="Arial"/>
        <family val="2"/>
      </rPr>
      <t xml:space="preserve">Esta garantía tendrá un plazo de 20 años y deberá ser reembolsada dentro de los 30 días posteriores a su ejecución, devengando una tasa de interés de 0,25% sobre el monto desembolsado y una comisión de 0,25% anual sobre el saldo de garantía disponible. </t>
    </r>
  </si>
  <si>
    <r>
      <t>23/</t>
    </r>
    <r>
      <rPr>
        <sz val="10"/>
        <rFont val="Arial"/>
        <family val="2"/>
      </rPr>
      <t>Será cancelado en una sola cuota que vencerá el 15.02.2017</t>
    </r>
  </si>
  <si>
    <r>
      <t>24/</t>
    </r>
    <r>
      <rPr>
        <sz val="10"/>
        <rFont val="Arial"/>
        <family val="2"/>
      </rPr>
      <t xml:space="preserve"> De conformidad con el D.S.Nº 160-2006-EF, la tasa de interés aplicable será de Libor a 6 m+ 1,4% anual. Para los primeros ocho años será de Libor a 6m + 0,6% anual.</t>
    </r>
  </si>
  <si>
    <r>
      <t>25/</t>
    </r>
    <r>
      <rPr>
        <sz val="10"/>
        <rFont val="Arial"/>
        <family val="2"/>
      </rPr>
      <t>Tramo I : € 7 7835 502.58 2%</t>
    </r>
  </si>
  <si>
    <r>
      <t>30/</t>
    </r>
    <r>
      <rPr>
        <b/>
        <sz val="10"/>
        <rFont val="Arial"/>
        <family val="2"/>
      </rPr>
      <t xml:space="preserve"> </t>
    </r>
    <r>
      <rPr>
        <sz val="10"/>
        <rFont val="Arial"/>
        <family val="2"/>
      </rPr>
      <t>Será amortizado mediante dos cuotas que vencerán el 15/04/2018 y 15/10/2018.</t>
    </r>
  </si>
  <si>
    <r>
      <t>31/</t>
    </r>
    <r>
      <rPr>
        <b/>
        <sz val="10"/>
        <rFont val="Arial"/>
        <family val="2"/>
      </rPr>
      <t xml:space="preserve"> </t>
    </r>
    <r>
      <rPr>
        <sz val="10"/>
        <rFont val="Arial"/>
        <family val="2"/>
      </rPr>
      <t>El plazo total del préstamo es de 15 años; será amortizado mediante seis (06) cuotas que vencerán el 15/05/2013, 15/11/2013, 15/05/2019, 15/11/2019, 15/05/2023 y 15/11/2023. Las condiciones financieras de esta operación de endeudamiento fue modificada por el D.S Nº 104-2008-EF.</t>
    </r>
  </si>
  <si>
    <r>
      <t>32/</t>
    </r>
    <r>
      <rPr>
        <b/>
        <sz val="10"/>
        <rFont val="Arial"/>
        <family val="2"/>
      </rPr>
      <t xml:space="preserve"> </t>
    </r>
    <r>
      <rPr>
        <sz val="10"/>
        <rFont val="Arial"/>
        <family val="2"/>
      </rPr>
      <t>El préstamo devengará la siguiente tasa de interés:</t>
    </r>
  </si>
  <si>
    <r>
      <t>33/</t>
    </r>
    <r>
      <rPr>
        <b/>
        <sz val="10"/>
        <rFont val="Arial"/>
        <family val="2"/>
      </rPr>
      <t xml:space="preserve"> </t>
    </r>
    <r>
      <rPr>
        <sz val="10"/>
        <rFont val="Arial"/>
        <family val="2"/>
      </rPr>
      <t>El plazo total del préstamo es de 21.5 años; será amortizado mediante ocho (08) cuotas que vencerán el 15/03/2022, 15/03/2022, 15/03/2023, 15/09/2023, 15/03/2028, 15/09/2028, 15/03/2029 y 15/09/2029.</t>
    </r>
  </si>
  <si>
    <r>
      <t>34/</t>
    </r>
    <r>
      <rPr>
        <sz val="10"/>
        <rFont val="Arial"/>
        <family val="2"/>
      </rPr>
      <t xml:space="preserve"> El período de gracia estará en función del</t>
    </r>
    <r>
      <rPr>
        <b/>
        <sz val="10"/>
        <rFont val="Arial"/>
        <family val="2"/>
      </rPr>
      <t xml:space="preserve"> </t>
    </r>
    <r>
      <rPr>
        <sz val="10"/>
        <rFont val="Arial"/>
        <family val="2"/>
      </rPr>
      <t>pago de la primera cuota de amortización, la cual será a los 66 meses computados a partir de la fecha de emtrada en vigor  del Contrato de Préstamo. La última cuota será el 15.09.25.</t>
    </r>
  </si>
  <si>
    <r>
      <t>35/</t>
    </r>
    <r>
      <rPr>
        <b/>
        <sz val="10"/>
        <rFont val="Arial"/>
        <family val="2"/>
      </rPr>
      <t xml:space="preserve"> </t>
    </r>
    <r>
      <rPr>
        <sz val="10"/>
        <rFont val="Arial"/>
        <family val="2"/>
      </rPr>
      <t>La Tasa de interés es de Libor a 6 meses más un margegen de 1,9% anual. Para los primeros ocho (08) achos ser aplicará Libor a 6 meses más un margen de 1,35% anual</t>
    </r>
  </si>
  <si>
    <r>
      <t>36/</t>
    </r>
    <r>
      <rPr>
        <b/>
        <sz val="10"/>
        <rFont val="Arial"/>
        <family val="2"/>
      </rPr>
      <t xml:space="preserve"> </t>
    </r>
    <r>
      <rPr>
        <sz val="10"/>
        <rFont val="Arial"/>
        <family val="2"/>
      </rPr>
      <t>Tasa de interés fija anual a ser determinada por el KfW en la fecha de la firma del Contrato.</t>
    </r>
  </si>
  <si>
    <r>
      <rPr>
        <b/>
        <sz val="10"/>
        <color indexed="10"/>
        <rFont val="Arial"/>
        <family val="2"/>
      </rPr>
      <t xml:space="preserve">59/ </t>
    </r>
    <r>
      <rPr>
        <sz val="10"/>
        <rFont val="Arial"/>
        <family val="2"/>
      </rPr>
      <t>Para la parte del préstamo que se destine a obras devengará una tasa de 1.7%, y la porción del préstamo que se destine a servicios de consultoría devengará una tasa de 0.01%.</t>
    </r>
  </si>
  <si>
    <r>
      <t>60/</t>
    </r>
    <r>
      <rPr>
        <b/>
        <sz val="10"/>
        <rFont val="Arial"/>
        <family val="2"/>
      </rPr>
      <t xml:space="preserve"> </t>
    </r>
    <r>
      <rPr>
        <sz val="10"/>
        <rFont val="Arial"/>
        <family val="2"/>
      </rPr>
      <t>El período de gracia estará en función del pago de la primera cuota de amortización, la cual será a los 5 años después de la fecha de entrada en vigor del Convenio de Financiación.</t>
    </r>
  </si>
  <si>
    <r>
      <rPr>
        <b/>
        <sz val="10"/>
        <color indexed="10"/>
        <rFont val="Arial"/>
        <family val="2"/>
      </rPr>
      <t xml:space="preserve">61/ </t>
    </r>
    <r>
      <rPr>
        <sz val="10"/>
        <rFont val="Arial"/>
        <family val="2"/>
      </rPr>
      <t>Para la parte del préstamo que se destine a obras, maq. y equipos devengará una tasa de 0.6%, y la porción del préstamo que se destine a servicios de consultoría devengará una tasa de 0.01%.</t>
    </r>
  </si>
  <si>
    <r>
      <rPr>
        <b/>
        <sz val="10"/>
        <color indexed="10"/>
        <rFont val="Arial"/>
        <family val="2"/>
      </rPr>
      <t>62/</t>
    </r>
    <r>
      <rPr>
        <b/>
        <sz val="10"/>
        <rFont val="Arial"/>
        <family val="2"/>
      </rPr>
      <t xml:space="preserve"> </t>
    </r>
    <r>
      <rPr>
        <sz val="10"/>
        <rFont val="Arial"/>
        <family val="2"/>
      </rPr>
      <t>Pago Bullet-vencimiento 15.09.24.</t>
    </r>
  </si>
  <si>
    <r>
      <rPr>
        <b/>
        <sz val="10"/>
        <color indexed="10"/>
        <rFont val="Arial"/>
        <family val="2"/>
      </rPr>
      <t>63/</t>
    </r>
    <r>
      <rPr>
        <sz val="10"/>
        <rFont val="Arial"/>
        <family val="2"/>
      </rPr>
      <t xml:space="preserve"> El artículo 2º del D.S. Nº 020-2012-EF establece que, a efectos de la emisión de bonos (externa o interna) autorizada, hasta por US$ 1,600.0 millones,  el MEF a través de la DGETP, podrá reasignar los montos de endeudamiento previstos en literal b) del párrafo 4.1 (Sub-Programa "Apoyo a la Balanza de Pagos" de endeudamiento externo) y en el literal b) del párrafo 4.2 de la citada Ley (Sub-Programa "Apoyo a la Balanza de Pagos" de endeudamiento interno). En ese contexto, el Sub-Programa "Apoyo a la Balanza de Pagos" de endeudamiento externo queda recompuesto,  de originalmente US$ 1,010.55 millones a US$ 610.55 millones. Con cargo a la operación de endeudamiento aprobada por D.S. Nº 020-2011-EF se afecta US$ 500,0 millones.</t>
    </r>
  </si>
  <si>
    <r>
      <rPr>
        <b/>
        <sz val="10"/>
        <color indexed="10"/>
        <rFont val="Arial"/>
        <family val="2"/>
      </rPr>
      <t>64/</t>
    </r>
    <r>
      <rPr>
        <b/>
        <sz val="10"/>
        <rFont val="Arial"/>
        <family val="2"/>
      </rPr>
      <t xml:space="preserve"> </t>
    </r>
    <r>
      <rPr>
        <sz val="10"/>
        <rFont val="Arial"/>
        <family val="2"/>
      </rPr>
      <t>Pago bullet que vence el 18.11.2050.</t>
    </r>
  </si>
  <si>
    <r>
      <rPr>
        <b/>
        <sz val="10"/>
        <color indexed="10"/>
        <rFont val="Arial"/>
        <family val="2"/>
      </rPr>
      <t xml:space="preserve">65/ </t>
    </r>
    <r>
      <rPr>
        <sz val="10"/>
        <rFont val="Arial"/>
        <family val="2"/>
      </rPr>
      <t>Para la parte del préstamo que se destine a sub-préstamos devengará una tasa de 0.6%, y la porción del préstamo que se destine a servicios de consultoría devengará una tasa de 0.01%.</t>
    </r>
  </si>
  <si>
    <r>
      <rPr>
        <b/>
        <sz val="10"/>
        <color indexed="10"/>
        <rFont val="Arial"/>
        <family val="2"/>
      </rPr>
      <t xml:space="preserve">66/ </t>
    </r>
    <r>
      <rPr>
        <sz val="10"/>
        <rFont val="Arial"/>
        <family val="2"/>
      </rPr>
      <t>Pago Bullet-vencimiento 15.09.27.</t>
    </r>
  </si>
  <si>
    <r>
      <rPr>
        <b/>
        <sz val="10"/>
        <color indexed="10"/>
        <rFont val="Arial"/>
        <family val="2"/>
      </rPr>
      <t>67/</t>
    </r>
    <r>
      <rPr>
        <sz val="10"/>
        <rFont val="Arial"/>
        <family val="2"/>
      </rPr>
      <t xml:space="preserve"> Tramo I : EUR 105 782.85 0,75%</t>
    </r>
  </si>
  <si>
    <r>
      <rPr>
        <b/>
        <sz val="10"/>
        <color indexed="10"/>
        <rFont val="Arial"/>
        <family val="2"/>
      </rPr>
      <t>68/</t>
    </r>
    <r>
      <rPr>
        <sz val="10"/>
        <rFont val="Arial"/>
        <family val="2"/>
      </rPr>
      <t xml:space="preserve"> Tramo I : 30 años</t>
    </r>
  </si>
  <si>
    <r>
      <rPr>
        <b/>
        <sz val="10"/>
        <color indexed="10"/>
        <rFont val="Arial"/>
        <family val="2"/>
      </rPr>
      <t>69</t>
    </r>
    <r>
      <rPr>
        <sz val="10"/>
        <color indexed="10"/>
        <rFont val="Arial"/>
        <family val="2"/>
      </rPr>
      <t xml:space="preserve">/ </t>
    </r>
    <r>
      <rPr>
        <sz val="10"/>
        <rFont val="Arial"/>
        <family val="2"/>
      </rPr>
      <t>Para la parte del préstamo que se destine a obras civiles (turismo, cultura, transporte, fortalecimiento institucional) devengará una tasa de interés 1.6%, así como una tasa de inetrés de 1% para la parte del préstamo que se destine a manejo de reiduos sólidos; y una tasa de 0.01% para servicios de consultoría.</t>
    </r>
  </si>
  <si>
    <r>
      <rPr>
        <b/>
        <sz val="10"/>
        <color indexed="10"/>
        <rFont val="Arial"/>
        <family val="2"/>
      </rPr>
      <t>27/</t>
    </r>
    <r>
      <rPr>
        <b/>
        <sz val="10"/>
        <rFont val="Arial"/>
        <family val="2"/>
      </rPr>
      <t xml:space="preserve"> </t>
    </r>
    <r>
      <rPr>
        <sz val="10"/>
        <rFont val="Arial"/>
        <family val="2"/>
      </rPr>
      <t>El plazo total del préstamo es de 11.5 años; será amortizado mediante dos (02) cuotas que vencerán el 15/10/2013 y 15/04/2018.</t>
    </r>
  </si>
  <si>
    <r>
      <rPr>
        <b/>
        <sz val="10"/>
        <color indexed="10"/>
        <rFont val="Arial"/>
        <family val="2"/>
      </rPr>
      <t>28/</t>
    </r>
    <r>
      <rPr>
        <sz val="10"/>
        <color indexed="10"/>
        <rFont val="Arial"/>
        <family val="2"/>
      </rPr>
      <t xml:space="preserve"> </t>
    </r>
    <r>
      <rPr>
        <sz val="10"/>
        <rFont val="Arial"/>
        <family val="2"/>
      </rPr>
      <t xml:space="preserve"> Se imputará al primer desembolso que se efectúe con cargo a los recursos del eventual préstamo que otorgue el BID para el mensionado Programa. Si el BID no otorga un préstamo para financiar el Programa, será amortizado de acuerdo a los plazos establecidos en el Convenio de Línea FAPEP.</t>
    </r>
  </si>
  <si>
    <r>
      <rPr>
        <b/>
        <sz val="10"/>
        <color indexed="10"/>
        <rFont val="Arial"/>
        <family val="2"/>
      </rPr>
      <t>29/</t>
    </r>
    <r>
      <rPr>
        <b/>
        <sz val="10"/>
        <rFont val="Arial"/>
        <family val="2"/>
      </rPr>
      <t xml:space="preserve"> </t>
    </r>
    <r>
      <rPr>
        <sz val="10"/>
        <rFont val="Arial"/>
        <family val="2"/>
      </rPr>
      <t>Fija a ser determinada a la firma del Contrato</t>
    </r>
  </si>
  <si>
    <r>
      <rPr>
        <b/>
        <sz val="10"/>
        <color indexed="10"/>
        <rFont val="Arial"/>
        <family val="2"/>
      </rPr>
      <t>37/</t>
    </r>
    <r>
      <rPr>
        <b/>
        <sz val="10"/>
        <rFont val="Arial"/>
        <family val="2"/>
      </rPr>
      <t xml:space="preserve"> </t>
    </r>
    <r>
      <rPr>
        <sz val="10"/>
        <rFont val="Arial"/>
        <family val="2"/>
      </rPr>
      <t>El préstamo devengará la siguiente tasa de interés:</t>
    </r>
  </si>
  <si>
    <r>
      <rPr>
        <b/>
        <sz val="10"/>
        <color indexed="10"/>
        <rFont val="Arial"/>
        <family val="2"/>
      </rPr>
      <t>38/</t>
    </r>
    <r>
      <rPr>
        <b/>
        <sz val="10"/>
        <rFont val="Arial"/>
        <family val="2"/>
      </rPr>
      <t xml:space="preserve"> </t>
    </r>
    <r>
      <rPr>
        <sz val="10"/>
        <rFont val="Arial"/>
        <family val="2"/>
      </rPr>
      <t>El préstamo devengará la siguiente tasa de interés:</t>
    </r>
  </si>
  <si>
    <r>
      <rPr>
        <b/>
        <sz val="10"/>
        <color indexed="10"/>
        <rFont val="Arial"/>
        <family val="2"/>
      </rPr>
      <t>39/</t>
    </r>
    <r>
      <rPr>
        <b/>
        <sz val="10"/>
        <rFont val="Arial"/>
        <family val="2"/>
      </rPr>
      <t xml:space="preserve"> </t>
    </r>
    <r>
      <rPr>
        <sz val="10"/>
        <rFont val="Arial"/>
        <family val="2"/>
      </rPr>
      <t>El plazo total del préstamo es de 21.5 años; será amortizado mediante ocho (08) cuotas que vencerán el 15/09/2022, 15/03/2023, 15/09/2023, 15/03/2028, 15/09/2028, 15/03/2029, 15/09/2029 y 15/03/2030.</t>
    </r>
  </si>
  <si>
    <r>
      <rPr>
        <b/>
        <sz val="10"/>
        <color indexed="10"/>
        <rFont val="Arial"/>
        <family val="2"/>
      </rPr>
      <t>40/</t>
    </r>
    <r>
      <rPr>
        <b/>
        <sz val="10"/>
        <rFont val="Arial"/>
        <family val="2"/>
      </rPr>
      <t xml:space="preserve"> </t>
    </r>
    <r>
      <rPr>
        <sz val="10"/>
        <rFont val="Arial"/>
        <family val="2"/>
      </rPr>
      <t>El plazo total del préstamo es de 21.5 años; será amortizado mediante ocho (08) cuotas que vencerán el 01/04/2022, 01/10/2022, 01/04/2028, 01/10/2028, 01/04/2029, 01/10/2029, 01/04/2030 y 01/10/2030.</t>
    </r>
  </si>
  <si>
    <r>
      <rPr>
        <b/>
        <sz val="10"/>
        <color indexed="10"/>
        <rFont val="Arial"/>
        <family val="2"/>
      </rPr>
      <t xml:space="preserve">41/ </t>
    </r>
    <r>
      <rPr>
        <sz val="10"/>
        <rFont val="Arial"/>
        <family val="2"/>
      </rPr>
      <t>El préstamo devengará la siguiente tasa de interés:</t>
    </r>
  </si>
  <si>
    <r>
      <rPr>
        <b/>
        <sz val="10"/>
        <color indexed="10"/>
        <rFont val="Arial"/>
        <family val="2"/>
      </rPr>
      <t xml:space="preserve">42/ </t>
    </r>
    <r>
      <rPr>
        <sz val="10"/>
        <rFont val="Arial"/>
        <family val="2"/>
      </rPr>
      <t>El plazo total del préstamo es de 25 años; será amortizado de la siguiente manera:</t>
    </r>
  </si>
  <si>
    <r>
      <rPr>
        <b/>
        <sz val="10"/>
        <color indexed="10"/>
        <rFont val="Arial"/>
        <family val="2"/>
      </rPr>
      <t>43</t>
    </r>
    <r>
      <rPr>
        <sz val="10"/>
        <color indexed="10"/>
        <rFont val="Arial"/>
        <family val="2"/>
      </rPr>
      <t>/</t>
    </r>
    <r>
      <rPr>
        <sz val="10"/>
        <rFont val="Arial"/>
        <family val="2"/>
      </rPr>
      <t xml:space="preserve"> Pago Bullet (15.01.27)</t>
    </r>
  </si>
  <si>
    <r>
      <rPr>
        <b/>
        <sz val="10"/>
        <color indexed="10"/>
        <rFont val="Arial"/>
        <family val="2"/>
      </rPr>
      <t>44/</t>
    </r>
    <r>
      <rPr>
        <b/>
        <sz val="10"/>
        <rFont val="Arial"/>
        <family val="2"/>
      </rPr>
      <t xml:space="preserve"> </t>
    </r>
    <r>
      <rPr>
        <sz val="10"/>
        <rFont val="Arial"/>
        <family val="2"/>
      </rPr>
      <t>El plazo total del préstamo es de 21 años; será amortizado de la siguiente manera:</t>
    </r>
  </si>
  <si>
    <r>
      <rPr>
        <b/>
        <sz val="10"/>
        <color indexed="10"/>
        <rFont val="Arial"/>
        <family val="2"/>
      </rPr>
      <t>45/</t>
    </r>
    <r>
      <rPr>
        <b/>
        <sz val="10"/>
        <rFont val="Arial"/>
        <family val="2"/>
      </rPr>
      <t xml:space="preserve"> </t>
    </r>
    <r>
      <rPr>
        <sz val="10"/>
        <rFont val="Arial"/>
        <family val="2"/>
      </rPr>
      <t>El plazo total del préstamo es de 20 años; será amortizado de la siguiente manera:</t>
    </r>
  </si>
  <si>
    <r>
      <rPr>
        <b/>
        <sz val="10"/>
        <color indexed="10"/>
        <rFont val="Arial"/>
        <family val="2"/>
      </rPr>
      <t>46/</t>
    </r>
    <r>
      <rPr>
        <sz val="10"/>
        <rFont val="Arial"/>
        <family val="2"/>
      </rPr>
      <t xml:space="preserve"> El período de gracia estará en función del</t>
    </r>
    <r>
      <rPr>
        <b/>
        <sz val="10"/>
        <rFont val="Arial"/>
        <family val="2"/>
      </rPr>
      <t xml:space="preserve"> </t>
    </r>
    <r>
      <rPr>
        <sz val="10"/>
        <rFont val="Arial"/>
        <family val="2"/>
      </rPr>
      <t>pago de la primera cuota de amortización, la cual será a los 4 años después de la fecha de entrada en vigor del Convenio de Financiación.</t>
    </r>
  </si>
  <si>
    <r>
      <rPr>
        <b/>
        <sz val="10"/>
        <color indexed="10"/>
        <rFont val="Arial"/>
        <family val="2"/>
      </rPr>
      <t>47/</t>
    </r>
    <r>
      <rPr>
        <b/>
        <sz val="10"/>
        <rFont val="Arial"/>
        <family val="2"/>
      </rPr>
      <t xml:space="preserve"> </t>
    </r>
    <r>
      <rPr>
        <sz val="10"/>
        <rFont val="Arial"/>
        <family val="2"/>
      </rPr>
      <t>Se amortizará en 1 cuotas que vencerá el 15/06/2028.</t>
    </r>
  </si>
  <si>
    <r>
      <rPr>
        <b/>
        <sz val="10"/>
        <color indexed="10"/>
        <rFont val="Arial"/>
        <family val="2"/>
      </rPr>
      <t>48/</t>
    </r>
    <r>
      <rPr>
        <b/>
        <sz val="10"/>
        <rFont val="Arial"/>
        <family val="2"/>
      </rPr>
      <t xml:space="preserve"> </t>
    </r>
    <r>
      <rPr>
        <sz val="10"/>
        <rFont val="Arial"/>
        <family val="2"/>
      </rPr>
      <t>Tasa de Interés Fija a ser determinada por el KfW en la fecha de firma del Contrato de Préstamo.</t>
    </r>
  </si>
  <si>
    <r>
      <rPr>
        <b/>
        <sz val="10"/>
        <color indexed="10"/>
        <rFont val="Arial"/>
        <family val="2"/>
      </rPr>
      <t>49/</t>
    </r>
    <r>
      <rPr>
        <b/>
        <sz val="10"/>
        <rFont val="Arial"/>
        <family val="2"/>
      </rPr>
      <t xml:space="preserve"> </t>
    </r>
    <r>
      <rPr>
        <sz val="10"/>
        <rFont val="Arial"/>
        <family val="2"/>
      </rPr>
      <t>Pago Bullet: vencimiento 15.06.2028.</t>
    </r>
  </si>
  <si>
    <r>
      <rPr>
        <b/>
        <sz val="10"/>
        <color indexed="10"/>
        <rFont val="Arial"/>
        <family val="2"/>
      </rPr>
      <t xml:space="preserve">50/ </t>
    </r>
    <r>
      <rPr>
        <sz val="10"/>
        <rFont val="Arial"/>
        <family val="2"/>
      </rPr>
      <t>Se amortizará en 5 cuotas que vencerán el 15/10/2021, 15/04/2022, 15/10/2022, 15/04/2023 y 15/10/2023.</t>
    </r>
  </si>
  <si>
    <r>
      <rPr>
        <b/>
        <sz val="10"/>
        <color indexed="10"/>
        <rFont val="Arial"/>
        <family val="2"/>
      </rPr>
      <t xml:space="preserve">51/ </t>
    </r>
    <r>
      <rPr>
        <sz val="10"/>
        <rFont val="Arial"/>
        <family val="2"/>
      </rPr>
      <t>Se amortizará en 3 cuotas que vencerán el 15/04/2022, 15/10/2022 y el 15/04/2023.</t>
    </r>
  </si>
  <si>
    <r>
      <rPr>
        <b/>
        <sz val="10"/>
        <color indexed="10"/>
        <rFont val="Arial"/>
        <family val="2"/>
      </rPr>
      <t>52/</t>
    </r>
    <r>
      <rPr>
        <b/>
        <sz val="10"/>
        <rFont val="Arial"/>
        <family val="2"/>
      </rPr>
      <t xml:space="preserve"> </t>
    </r>
    <r>
      <rPr>
        <sz val="10"/>
        <rFont val="Arial"/>
        <family val="2"/>
      </rPr>
      <t>Se amortizará en 5 cuotas que vencerán el 15/11/2021, 15/05/2022, 15/11/2022, 15/05/2023 y 15/11/2023.</t>
    </r>
  </si>
  <si>
    <r>
      <rPr>
        <b/>
        <sz val="10"/>
        <color indexed="10"/>
        <rFont val="Arial"/>
        <family val="2"/>
      </rPr>
      <t>53/</t>
    </r>
    <r>
      <rPr>
        <b/>
        <sz val="10"/>
        <rFont val="Arial"/>
        <family val="2"/>
      </rPr>
      <t xml:space="preserve"> </t>
    </r>
    <r>
      <rPr>
        <sz val="10"/>
        <rFont val="Arial"/>
        <family val="2"/>
      </rPr>
      <t>El préstamo devengará la siguiente tasa de interés:</t>
    </r>
  </si>
  <si>
    <r>
      <rPr>
        <b/>
        <sz val="10"/>
        <color indexed="10"/>
        <rFont val="Arial"/>
        <family val="2"/>
      </rPr>
      <t>54/</t>
    </r>
    <r>
      <rPr>
        <b/>
        <sz val="10"/>
        <rFont val="Arial"/>
        <family val="2"/>
      </rPr>
      <t xml:space="preserve"> </t>
    </r>
    <r>
      <rPr>
        <sz val="10"/>
        <rFont val="Arial"/>
        <family val="2"/>
      </rPr>
      <t>Se amortizará en 2 cuotas que vencerán el 15/04/2022, 15/10/2022.</t>
    </r>
  </si>
  <si>
    <r>
      <rPr>
        <b/>
        <sz val="10"/>
        <color indexed="10"/>
        <rFont val="Arial"/>
        <family val="2"/>
      </rPr>
      <t>55/</t>
    </r>
    <r>
      <rPr>
        <b/>
        <sz val="10"/>
        <rFont val="Arial"/>
        <family val="2"/>
      </rPr>
      <t xml:space="preserve"> </t>
    </r>
    <r>
      <rPr>
        <sz val="10"/>
        <rFont val="Arial"/>
        <family val="2"/>
      </rPr>
      <t>La Tasa de Interés aplicable para los primeros ochos años es de Libor a 6 meses + 1.8% anual.</t>
    </r>
  </si>
  <si>
    <r>
      <rPr>
        <b/>
        <sz val="10"/>
        <color indexed="10"/>
        <rFont val="Arial"/>
        <family val="2"/>
      </rPr>
      <t>56/</t>
    </r>
    <r>
      <rPr>
        <b/>
        <sz val="10"/>
        <rFont val="Arial"/>
        <family val="2"/>
      </rPr>
      <t xml:space="preserve"> </t>
    </r>
    <r>
      <rPr>
        <sz val="10"/>
        <rFont val="Arial"/>
        <family val="2"/>
      </rPr>
      <t>Pago Bullet: vencimiento 28.02.2029.</t>
    </r>
  </si>
  <si>
    <r>
      <rPr>
        <b/>
        <sz val="10"/>
        <color indexed="10"/>
        <rFont val="Arial"/>
        <family val="2"/>
      </rPr>
      <t xml:space="preserve">57/ </t>
    </r>
    <r>
      <rPr>
        <sz val="10"/>
        <rFont val="Arial"/>
        <family val="2"/>
      </rPr>
      <t>Pago Bullet: vencimiento 15.04.2029.</t>
    </r>
  </si>
  <si>
    <r>
      <rPr>
        <b/>
        <sz val="10"/>
        <color indexed="10"/>
        <rFont val="Arial"/>
        <family val="2"/>
      </rPr>
      <t>58/</t>
    </r>
    <r>
      <rPr>
        <sz val="10"/>
        <rFont val="Arial"/>
        <family val="2"/>
      </rPr>
      <t xml:space="preserve"> En el marco del Fondo de Financiamiento Compensatorio de la CAF, la tasa de interés para los primeros ocho años es de Libor a 6 meses + 1,1% anual .</t>
    </r>
  </si>
  <si>
    <t>Agricultura y Riego</t>
  </si>
  <si>
    <t>D.S. Nº 222-2013-EF</t>
  </si>
  <si>
    <t>Proyecto "Ampliación del Apoyo a las Alianzas Rurales Productivas en la Sierra del Perú - Aliados II, en las Regiones de Apurímac, Ayacucho, Huancavelica, Huánuco, Junín y Pasco".</t>
  </si>
  <si>
    <t>D.S. Nº 354-2013-EF</t>
  </si>
  <si>
    <t>Programa Nacional de Innovacion Agraria</t>
  </si>
  <si>
    <t>INIA</t>
  </si>
  <si>
    <t>8.3 años</t>
  </si>
  <si>
    <t>D.S. Nº 294-2013-EF</t>
  </si>
  <si>
    <t>Programa de Inversión Pública para el Fortalecimeinto de la Gestión Ambiental y Social de los Impactos Indirectos del Corredor Vial Interoceánico Sur - II Etapa.</t>
  </si>
  <si>
    <t>D.S. Nº 141-2013-EF</t>
  </si>
  <si>
    <t>Programa SWAP Educación</t>
  </si>
  <si>
    <t>MED</t>
  </si>
  <si>
    <t>D.S. Nº 296-2013-EF</t>
  </si>
  <si>
    <t>D.S. Nº 297-2013-EF</t>
  </si>
  <si>
    <t>D.S. Nº 298-2013-EF</t>
  </si>
  <si>
    <t>D.S. Nº 305-2013-EF</t>
  </si>
  <si>
    <t>D.S. Nº 356-2013-EF</t>
  </si>
  <si>
    <t>D.S. Nº 070-2013-EF</t>
  </si>
  <si>
    <t>O.Internc.</t>
  </si>
  <si>
    <t>Programa de Gestión de Resultados para la Inclusión Social I</t>
  </si>
  <si>
    <t>Programa de Gestión de Resultados para la Inclusión Social</t>
  </si>
  <si>
    <t>Programa de Competitividad Agraria III</t>
  </si>
  <si>
    <t>Mejoramiento del Servico de Información Presupuestaria de Planillas del Sector Público</t>
  </si>
  <si>
    <t>UCPS/MEF</t>
  </si>
  <si>
    <t>D.S. Nº 353-2013-EF</t>
  </si>
  <si>
    <t>Proyecto "Esquema Cajamarquilla, Nieveria y Cerro Camote -Ampliación de los Sistemas de Agua Potable y Alcantarillado de los Sectores 129, 130, 131, 132, 133, 134 y  135 - Distrito de Lurigancho y San Antonio de Huarochiri".</t>
  </si>
  <si>
    <t>D.S. Nº 269-2013-EF</t>
  </si>
  <si>
    <t xml:space="preserve">Proyecto "Mejoramiento del Sistema Nacional de Control para una Gestión Pública Eficaz e Integra" </t>
  </si>
  <si>
    <t>G.Regionales</t>
  </si>
  <si>
    <t>D.S. Nº 355-2013-EF</t>
  </si>
  <si>
    <t>G.R. de Apurímac</t>
  </si>
  <si>
    <t>20 años%</t>
  </si>
  <si>
    <t>FIJA</t>
  </si>
  <si>
    <r>
      <rPr>
        <b/>
        <sz val="10"/>
        <color indexed="10"/>
        <rFont val="Arial"/>
        <family val="2"/>
      </rPr>
      <t xml:space="preserve">70/ </t>
    </r>
    <r>
      <rPr>
        <sz val="10"/>
        <rFont val="Arial"/>
        <family val="2"/>
      </rPr>
      <t>La tasa de interés aplicable de los 16 pagos semestrales será de Libor a 6M + 1,15%, de acuerdo con las políticas de operaciones de la CAF.</t>
    </r>
  </si>
  <si>
    <r>
      <rPr>
        <b/>
        <sz val="10"/>
        <color indexed="10"/>
        <rFont val="Arial"/>
        <family val="2"/>
      </rPr>
      <t>71/</t>
    </r>
    <r>
      <rPr>
        <sz val="10"/>
        <rFont val="Arial"/>
        <family val="2"/>
      </rPr>
      <t xml:space="preserve"> Se pagará en seis cuotas: la primera vencerá el 15/03/2018 y la última15/09/2020.</t>
    </r>
  </si>
  <si>
    <t>71/</t>
  </si>
  <si>
    <r>
      <t>73/</t>
    </r>
    <r>
      <rPr>
        <sz val="10"/>
        <rFont val="Arial"/>
        <family val="2"/>
      </rPr>
      <t xml:space="preserve"> Pago bullet: 15.04.2019</t>
    </r>
  </si>
  <si>
    <r>
      <t>74/</t>
    </r>
    <r>
      <rPr>
        <sz val="10"/>
        <color indexed="10"/>
        <rFont val="Arial"/>
        <family val="2"/>
      </rPr>
      <t xml:space="preserve"> </t>
    </r>
    <r>
      <rPr>
        <sz val="10"/>
        <rFont val="Arial"/>
        <family val="2"/>
      </rPr>
      <t>Pago bullet: 15.03.2020</t>
    </r>
  </si>
  <si>
    <r>
      <t>72/</t>
    </r>
    <r>
      <rPr>
        <sz val="10"/>
        <rFont val="Arial"/>
        <family val="2"/>
      </rPr>
      <t xml:space="preserve"> Pago bullet: 15.03.2019</t>
    </r>
  </si>
  <si>
    <t>74/</t>
  </si>
  <si>
    <t>73/</t>
  </si>
  <si>
    <t>72/</t>
  </si>
  <si>
    <r>
      <t>75/</t>
    </r>
    <r>
      <rPr>
        <sz val="10"/>
        <rFont val="Arial"/>
        <family val="2"/>
      </rPr>
      <t xml:space="preserve"> Pago bullet: 15.03.2021</t>
    </r>
  </si>
  <si>
    <t>75/</t>
  </si>
  <si>
    <t>D.S. Nº 211-2014-EF</t>
  </si>
  <si>
    <t>D.S. Nº 212-2014-EF</t>
  </si>
  <si>
    <t>D.S. Nº 290-2014-EF</t>
  </si>
  <si>
    <t>D.S. Nº 306-2014-EF</t>
  </si>
  <si>
    <t>D.S. Nº 307-2014-EF</t>
  </si>
  <si>
    <t>D.S. Nº 308-2014-EF</t>
  </si>
  <si>
    <t>D.S. Nº 328-2014-EF</t>
  </si>
  <si>
    <t>D.S. Nº 329-2014-EF</t>
  </si>
  <si>
    <t>D.S. Nº 345-2014-EF</t>
  </si>
  <si>
    <t>D.S. Nº 346-2014-EF</t>
  </si>
  <si>
    <t>D.S. Nº 358-2014-EF</t>
  </si>
  <si>
    <t>D.S. Nº 359-2014-EF</t>
  </si>
  <si>
    <t>D.S. Nº 360-2014-EF</t>
  </si>
  <si>
    <t>D.S. Nº 365-2014-EF</t>
  </si>
  <si>
    <t>D.S. Nº 054-2014-EF</t>
  </si>
  <si>
    <t>D.S. Nº 210-2014-EF</t>
  </si>
  <si>
    <t>O.Internc</t>
  </si>
  <si>
    <t>Obras Hidráulicas Mayores del Proyecto Chavimochic Tercera Etapa</t>
  </si>
  <si>
    <t>Proyectos para la Consolidación de la Gestión Tributaria y Aduanera</t>
  </si>
  <si>
    <t>Proyecto  "Mejoramiento del Transporte en la Ciudad del Cusco"</t>
  </si>
  <si>
    <t>Programa de reducción de vulnerabilidad del Estado ante desastres III.</t>
  </si>
  <si>
    <t>Mejoramiento del sistema de información estadística agraria para el desarrollo rural del Perú</t>
  </si>
  <si>
    <t>Programa de Protección de valles y poblaciones rurales vulnerables ante inundaciones</t>
  </si>
  <si>
    <t>Programa de Segunda Generación de Reformas del Sector Saneamiento III</t>
  </si>
  <si>
    <t>Programa para la Mejora de Productividad y la Competitividad III</t>
  </si>
  <si>
    <t>Programa de Reforma de Gestión Municipal II</t>
  </si>
  <si>
    <t>Program de Segunda Generación de Reformas  del Sector Saneamiento III</t>
  </si>
  <si>
    <t>Proyecto Optimización de Sistemas de Agua Potable y Alcantarillado, Sectorización, Rehabilitación Redes y Actualización de Catastro - Área de Influencia Planta Huachipa - Área de Drenaje Oquendo, Sinchi Roca, Puente Piedra y Sectores 84, 83, 85 y 212 -Lima</t>
  </si>
  <si>
    <t>Proyecto Catastro, Titulación y Registro de Tierras Rurales en el Perú, Tercera Etapa - PTRT3</t>
  </si>
  <si>
    <t>GR.La Libertad</t>
  </si>
  <si>
    <t>SUNAT/D.UCP DGETP</t>
  </si>
  <si>
    <t>GR Cusco/COPESCO</t>
  </si>
  <si>
    <t>MEF-DGETP</t>
  </si>
  <si>
    <t>EGESUR</t>
  </si>
  <si>
    <t>MINAGRI</t>
  </si>
  <si>
    <t>MTC - AATE</t>
  </si>
  <si>
    <t>MINAGRI-AGRO RURAL</t>
  </si>
  <si>
    <t>Libor 3 meses+Margen BID</t>
  </si>
  <si>
    <t>Libor 6 meses+Margen BIRF</t>
  </si>
  <si>
    <t>Libor 6 meses+Margen Fijo BIRF</t>
  </si>
  <si>
    <t>G. Regionales</t>
  </si>
  <si>
    <t>EURO</t>
  </si>
  <si>
    <r>
      <t>76/</t>
    </r>
    <r>
      <rPr>
        <sz val="10"/>
        <rFont val="Arial"/>
        <family val="2"/>
      </rPr>
      <t xml:space="preserve"> 0,4% obras civiles; 0,01% servicios de consultoría.</t>
    </r>
  </si>
  <si>
    <t>76/</t>
  </si>
  <si>
    <r>
      <rPr>
        <b/>
        <sz val="10"/>
        <color indexed="10"/>
        <rFont val="Arial"/>
        <family val="2"/>
      </rPr>
      <t>78/</t>
    </r>
    <r>
      <rPr>
        <sz val="10"/>
        <rFont val="Arial"/>
        <family val="2"/>
      </rPr>
      <t xml:space="preserve"> La Fecha de vencimiento del préstamo son el 15 de abril y 15 de octubre de cada año. El pago de la primera cuota de amortización es a los 66 meses de la firma del contrato de préstamo y si esta fecha no coincide con la fecha del 15  de abril o 15 de octubre, la primera cuota será en una de estas dos fechas inmediatamente anterior a los 66 meses a partir de la suscripción del acotado contrato.  </t>
    </r>
  </si>
  <si>
    <t>77/</t>
  </si>
  <si>
    <t>78/</t>
  </si>
  <si>
    <r>
      <t>79/</t>
    </r>
    <r>
      <rPr>
        <sz val="10"/>
        <rFont val="Arial"/>
        <family val="2"/>
      </rPr>
      <t xml:space="preserve"> El plazo de gracia es de 5 años, pudiendo varias este periodo de acuerdo con la fecha de firma del contrato de préstamo.</t>
    </r>
  </si>
  <si>
    <r>
      <rPr>
        <b/>
        <sz val="10"/>
        <color indexed="10"/>
        <rFont val="Arial"/>
        <family val="2"/>
      </rPr>
      <t xml:space="preserve">80/ </t>
    </r>
    <r>
      <rPr>
        <sz val="10"/>
        <rFont val="Arial"/>
        <family val="2"/>
      </rPr>
      <t xml:space="preserve">La Fecha de vencimiento del préstamo son el 15 de mayo y 15 de noviembre de cada año. El pago de la primera cuota de amortización es a los 60 meses de la firma del contrato de préstamo y si esta fecha no coincide con la fecha del 15  de mayo o 15 de noviembre, la primera cuota será en una de estas dos fechas inmediatamente anterior a los 60 meses a partir de la suscripción del acotado contrato.  </t>
    </r>
  </si>
  <si>
    <t>79/</t>
  </si>
  <si>
    <t>80/</t>
  </si>
  <si>
    <r>
      <t>82/</t>
    </r>
    <r>
      <rPr>
        <sz val="10"/>
        <rFont val="Arial"/>
        <family val="2"/>
      </rPr>
      <t xml:space="preserve"> La tasa de interés aplicable para los diesiséis (16) primeros pagos semestrales será de Libor a 6M + 1,35%, de acuerdo con las políticas de operaciones de la CAF.</t>
    </r>
  </si>
  <si>
    <r>
      <t>81/</t>
    </r>
    <r>
      <rPr>
        <sz val="10"/>
        <color indexed="10"/>
        <rFont val="Arial"/>
        <family val="2"/>
      </rPr>
      <t xml:space="preserve"> </t>
    </r>
    <r>
      <rPr>
        <sz val="10"/>
        <rFont val="Arial"/>
        <family val="2"/>
      </rPr>
      <t>Dicha tasa tendrá un descuento de 0,80 puntos porcentuales de acuerdo a la politica de CAF, con lo cual la tasa sería de Libor a 6 meses mas un margen de 1,05% anual.</t>
    </r>
  </si>
  <si>
    <r>
      <rPr>
        <b/>
        <sz val="10"/>
        <color indexed="10"/>
        <rFont val="Arial"/>
        <family val="2"/>
      </rPr>
      <t>77</t>
    </r>
    <r>
      <rPr>
        <b/>
        <sz val="10"/>
        <color indexed="10"/>
        <rFont val="Arial"/>
        <family val="2"/>
      </rPr>
      <t>/</t>
    </r>
    <r>
      <rPr>
        <sz val="10"/>
        <color indexed="10"/>
        <rFont val="Arial"/>
        <family val="2"/>
      </rPr>
      <t xml:space="preserve"> </t>
    </r>
    <r>
      <rPr>
        <sz val="10"/>
        <rFont val="Arial"/>
        <family val="2"/>
      </rPr>
      <t>El plazo de gracia es de 5.5 años, pudiendo varias este periodo de acuerdo con la fecha de firma del contrato de préstamo.</t>
    </r>
  </si>
  <si>
    <t>D.S. Nº 380-2015-EF</t>
  </si>
  <si>
    <t>Programa de Energías Renovables y Eficiencia Energética - Etapa II</t>
  </si>
  <si>
    <t>D.S. Nº 412-2015-EF</t>
  </si>
  <si>
    <t>Proyecto "Optimización de Sistemas de Agua Potable y Alcantarillado, Sectorización, Rehabilitación  Redes y Actualización de Catastro - Área de Influencia Planta Huachipa - Área de Drenaje Oquendo, Sinchi Roca, Puente Piedra y Sectores 84, 83, 85 y 212 - Lima"</t>
  </si>
  <si>
    <t>5años</t>
  </si>
  <si>
    <t>D.S. Nº 365-2015-EF</t>
  </si>
  <si>
    <t>D.S. Nº 413-2015-EF</t>
  </si>
  <si>
    <t>Proyecto "Construcción de la Línea 2 y Ramal Av. Faucett - Gambetta de la Red Básica del Metro de Lima y Callao Provincias de Lima y Callao, Departamento de Lima"</t>
  </si>
  <si>
    <t>Programa de apoyo al transporte subnacional - PATS</t>
  </si>
  <si>
    <t>AATE</t>
  </si>
  <si>
    <t>MTC</t>
  </si>
  <si>
    <t>Lib. 6 M + Marg.  Variable BIRF</t>
  </si>
  <si>
    <t>Libor a 3 M + Margen BID</t>
  </si>
  <si>
    <t>Libor 6 M+Margen Variable BIRF</t>
  </si>
  <si>
    <t>15/</t>
  </si>
  <si>
    <t>D.S. Nº 255-2016-EF</t>
  </si>
  <si>
    <t>Tasa FIDA Variable</t>
  </si>
  <si>
    <t>Emisión de Bonos Globales Apoyo Balanza Pagos</t>
  </si>
  <si>
    <t>D.S. Nº 256-2016-EF</t>
  </si>
  <si>
    <t>D.S. Nº 379-2016-EF</t>
  </si>
  <si>
    <t>AFD</t>
  </si>
  <si>
    <t>Proyecto "Construcción de la Línea 2 y Ramal Elmer Faucett - Gambetta de la Red Básica del Metro de Lima y Callao Provincia de Lima y Callao, Departamento de Lima"</t>
  </si>
  <si>
    <t>D.S. Nº 101-2016-EF</t>
  </si>
  <si>
    <t>Proyecto "Mejoramiento de los servicos de facilitación del comercio exterior a través de la Ventanilla Única del Comercio Exterior (VUCE). Segunda Etapa-San Isidro-Lima-Lima"</t>
  </si>
  <si>
    <t>Comercio</t>
  </si>
  <si>
    <t>9,5 años</t>
  </si>
  <si>
    <t>D.S. Nº 172-2016-EF</t>
  </si>
  <si>
    <t xml:space="preserve">Proyecto "Mejoramiento y ampliación de los Servicios del Centro de Empleo para la inserción laboral formal de los jovenes en la Regiones de Arequipa, Ica, Lambayeque, La Libertad, Piura, San Martín y en Lima Metropolitana". </t>
  </si>
  <si>
    <t>TRABAJO</t>
  </si>
  <si>
    <t>MTPE</t>
  </si>
  <si>
    <t>D.S. Nº 397-2016-EF</t>
  </si>
  <si>
    <t>Proyecto "Mejoramiento y ampliación de los servicios del Sistema Nacional de Ciencia, Tecnología e Innovación Tecnológica"</t>
  </si>
  <si>
    <t>Libor a 6M + Margen Fijo BIRF</t>
  </si>
  <si>
    <t>D.S. Nº 240-2016-EF</t>
  </si>
  <si>
    <t>D.S. Nº 396-2016-EF</t>
  </si>
  <si>
    <t xml:space="preserve">Proyecto "Mejoramiento de los niveles de innovación productiva a nivel nacional". </t>
  </si>
  <si>
    <t>Programa nacional de innovación en Pesca y Acuicultura</t>
  </si>
  <si>
    <t>PRODUCCIÓN</t>
  </si>
  <si>
    <t>PRODUCE</t>
  </si>
  <si>
    <t>D.S. Nº 196-2016-EF</t>
  </si>
  <si>
    <t>D.S. Nº 343-2016-EF</t>
  </si>
  <si>
    <t>Obras hidráulicas mayores del proyecto Chavimochic Tercera Etapa</t>
  </si>
  <si>
    <t>Cofinanciamiento de la Concesión del Primer Componente Obras Mayores de Afianzamiento Hidrico y de Infraestructura para irrigación de las Pampas de Siguas del Proyecto Majes Siguas II Etapa.</t>
  </si>
  <si>
    <t>G.R La Libertad</t>
  </si>
  <si>
    <t>G.R Arequipa</t>
  </si>
  <si>
    <t xml:space="preserve">Libor a 6M+ 2,05% </t>
  </si>
  <si>
    <t>D.S. Nº 398-2016-EF</t>
  </si>
  <si>
    <t>Programa "Mejoramiento y ampliación de los servicios de calidad ambiental a nivel nacional"</t>
  </si>
  <si>
    <t>Libor a 6M + Margen BIRF</t>
  </si>
  <si>
    <t xml:space="preserve">         Ley Nº 30374</t>
  </si>
  <si>
    <r>
      <t>83/</t>
    </r>
    <r>
      <rPr>
        <sz val="10"/>
        <rFont val="Arial"/>
        <family val="2"/>
      </rPr>
      <t xml:space="preserve"> Según el artículo 1 del D.S. Nº 380-2015-EF, préstamo del KfW es en Dólares Americanos equivalentes a € 40,0 millones. Los Dólares Americanos han sido estimados con el Tpo Cruce de la SBS de la fecha de promulgación de citado Decreto Supremo.</t>
    </r>
  </si>
  <si>
    <t>84/</t>
  </si>
  <si>
    <t>85/</t>
  </si>
  <si>
    <r>
      <rPr>
        <b/>
        <sz val="10"/>
        <color indexed="10"/>
        <rFont val="Arial"/>
        <family val="2"/>
      </rPr>
      <t>84/</t>
    </r>
    <r>
      <rPr>
        <sz val="10"/>
        <rFont val="Arial"/>
        <family val="2"/>
      </rPr>
      <t xml:space="preserve"> Tasa de interés nominal anual fijada en la fecha de emisión.</t>
    </r>
  </si>
  <si>
    <r>
      <rPr>
        <b/>
        <sz val="10"/>
        <color indexed="10"/>
        <rFont val="Arial"/>
        <family val="2"/>
      </rPr>
      <t>85/</t>
    </r>
    <r>
      <rPr>
        <b/>
        <sz val="10"/>
        <rFont val="Arial"/>
        <family val="2"/>
      </rPr>
      <t xml:space="preserve"> </t>
    </r>
    <r>
      <rPr>
        <sz val="10"/>
        <rFont val="Arial"/>
        <family val="2"/>
      </rPr>
      <t xml:space="preserve">Se amortizará de acuerdo a las características de la  serie emitida. </t>
    </r>
  </si>
  <si>
    <r>
      <rPr>
        <b/>
        <sz val="10"/>
        <color indexed="10"/>
        <rFont val="Arial"/>
        <family val="2"/>
      </rPr>
      <t>86</t>
    </r>
    <r>
      <rPr>
        <sz val="10"/>
        <color indexed="10"/>
        <rFont val="Arial"/>
        <family val="2"/>
      </rPr>
      <t>/</t>
    </r>
    <r>
      <rPr>
        <sz val="10"/>
        <rFont val="Arial"/>
        <family val="2"/>
      </rPr>
      <t xml:space="preserve"> Cuando la suma de ambas variable (Euribor a 6M + 1,01%) sean menores a 0,25%, la tasa de interés será 0,25% anual.  </t>
    </r>
  </si>
  <si>
    <t>87/</t>
  </si>
  <si>
    <r>
      <rPr>
        <b/>
        <sz val="10"/>
        <color indexed="10"/>
        <rFont val="Arial"/>
        <family val="2"/>
      </rPr>
      <t>87/</t>
    </r>
    <r>
      <rPr>
        <b/>
        <sz val="10"/>
        <rFont val="Arial"/>
        <family val="2"/>
      </rPr>
      <t xml:space="preserve"> </t>
    </r>
    <r>
      <rPr>
        <sz val="10"/>
        <rFont val="Arial"/>
        <family val="2"/>
      </rPr>
      <t>El préstamo será cancelado en una cuota que vencerá el 15/10/2025.</t>
    </r>
  </si>
  <si>
    <t>88/</t>
  </si>
  <si>
    <r>
      <rPr>
        <b/>
        <sz val="10"/>
        <color indexed="10"/>
        <rFont val="Arial"/>
        <family val="2"/>
      </rPr>
      <t>88/</t>
    </r>
    <r>
      <rPr>
        <b/>
        <sz val="10"/>
        <rFont val="Arial"/>
        <family val="2"/>
      </rPr>
      <t xml:space="preserve"> </t>
    </r>
    <r>
      <rPr>
        <sz val="10"/>
        <rFont val="Arial"/>
        <family val="2"/>
      </rPr>
      <t>El préstamo será cancelado en dos (02) cuotas que vencerán el 15/04/2025 y 15/10/2025.</t>
    </r>
  </si>
  <si>
    <r>
      <rPr>
        <b/>
        <sz val="10"/>
        <color indexed="10"/>
        <rFont val="Arial"/>
        <family val="2"/>
      </rPr>
      <t>89/</t>
    </r>
    <r>
      <rPr>
        <b/>
        <sz val="10"/>
        <rFont val="Arial"/>
        <family val="2"/>
      </rPr>
      <t xml:space="preserve"> </t>
    </r>
    <r>
      <rPr>
        <sz val="10"/>
        <rFont val="Arial"/>
        <family val="2"/>
      </rPr>
      <t>El préstamo será cancelado en una (01)) cuota que vencerá el 15/10/2027.</t>
    </r>
  </si>
  <si>
    <t>89/</t>
  </si>
  <si>
    <r>
      <rPr>
        <b/>
        <sz val="10"/>
        <color indexed="10"/>
        <rFont val="Arial"/>
        <family val="2"/>
      </rPr>
      <t>90/</t>
    </r>
    <r>
      <rPr>
        <b/>
        <sz val="10"/>
        <rFont val="Arial"/>
        <family val="2"/>
      </rPr>
      <t xml:space="preserve"> </t>
    </r>
    <r>
      <rPr>
        <sz val="10"/>
        <rFont val="Arial"/>
        <family val="2"/>
      </rPr>
      <t>La tasa aplicable para los primeros 16 pagos semestrales de intereses es tasa Libor a 6M+1,45% anual, aplicable por la CAF de acuerdo a su politica de operaciones.</t>
    </r>
  </si>
  <si>
    <r>
      <t xml:space="preserve">Lobor 6 M+ 2,35% </t>
    </r>
    <r>
      <rPr>
        <b/>
        <sz val="10"/>
        <color indexed="10"/>
        <rFont val="Arial"/>
        <family val="2"/>
      </rPr>
      <t>70/</t>
    </r>
  </si>
  <si>
    <r>
      <t>Libor 6 M+ 1.85%</t>
    </r>
    <r>
      <rPr>
        <b/>
        <sz val="10"/>
        <rFont val="Arial"/>
        <family val="2"/>
      </rPr>
      <t xml:space="preserve"> </t>
    </r>
    <r>
      <rPr>
        <b/>
        <sz val="10"/>
        <color indexed="10"/>
        <rFont val="Arial"/>
        <family val="2"/>
      </rPr>
      <t>81</t>
    </r>
    <r>
      <rPr>
        <sz val="10"/>
        <color indexed="10"/>
        <rFont val="Arial"/>
        <family val="2"/>
      </rPr>
      <t>/</t>
    </r>
  </si>
  <si>
    <r>
      <t>Libor 6 M+ 2,55%</t>
    </r>
    <r>
      <rPr>
        <b/>
        <sz val="10"/>
        <rFont val="Arial"/>
        <family val="2"/>
      </rPr>
      <t xml:space="preserve"> </t>
    </r>
    <r>
      <rPr>
        <b/>
        <sz val="10"/>
        <color indexed="10"/>
        <rFont val="Arial"/>
        <family val="2"/>
      </rPr>
      <t>82/</t>
    </r>
  </si>
  <si>
    <r>
      <t xml:space="preserve">EURIBOR 6M+1,01 </t>
    </r>
    <r>
      <rPr>
        <b/>
        <sz val="10"/>
        <color indexed="10"/>
        <rFont val="Arial"/>
        <family val="2"/>
      </rPr>
      <t>86/</t>
    </r>
  </si>
  <si>
    <r>
      <t xml:space="preserve">Libor a 6M+ 1,95% </t>
    </r>
    <r>
      <rPr>
        <b/>
        <sz val="10"/>
        <color indexed="10"/>
        <rFont val="Arial"/>
        <family val="2"/>
      </rPr>
      <t>90/</t>
    </r>
  </si>
  <si>
    <t>T.C. Del dia de promulgación de la Norma Legal</t>
  </si>
  <si>
    <t>Contratación Garantía  de Crédito Parcial con el BID para asegurar el pago anual de obras que se deriven del Contrato de Concesión de los tramos viales del Eje Multimodal del Amazonas Norte</t>
  </si>
  <si>
    <t>Proyecto "Fortalecimiento de los Mercados, Diversificación de los Ingresos y Mejoramiento de la de las Condiciones de Vida en la Sierra Sur del Perú - II"</t>
  </si>
  <si>
    <t>D.S. Nº 233-2017-EF</t>
  </si>
  <si>
    <t>D.S. Nº 236-2017-EF</t>
  </si>
  <si>
    <t>Proyecto "Gestión integrada de los recursos hídricos en diez cuencas"</t>
  </si>
  <si>
    <t>Proyecto "Mejoramiento de la Carretera Huánuco-Conococha, Sector: Huánuco - La Unión - Huallanca, Ruta PE - 3N".</t>
  </si>
  <si>
    <t>ANA</t>
  </si>
  <si>
    <t>MTC/Provías Nacional</t>
  </si>
  <si>
    <t>Libor 6M+ Margen Fijo BIRF</t>
  </si>
  <si>
    <r>
      <rPr>
        <sz val="9"/>
        <rFont val="Arial"/>
        <family val="2"/>
      </rPr>
      <t xml:space="preserve"> 2 años</t>
    </r>
    <r>
      <rPr>
        <b/>
        <sz val="9"/>
        <color indexed="10"/>
        <rFont val="Arial"/>
        <family val="2"/>
      </rPr>
      <t xml:space="preserve"> 91/</t>
    </r>
  </si>
  <si>
    <t>92/</t>
  </si>
  <si>
    <r>
      <rPr>
        <b/>
        <sz val="10"/>
        <color indexed="10"/>
        <rFont val="Arial"/>
        <family val="2"/>
      </rPr>
      <t>91</t>
    </r>
    <r>
      <rPr>
        <b/>
        <sz val="9"/>
        <color indexed="10"/>
        <rFont val="Arial"/>
        <family val="2"/>
      </rPr>
      <t>/</t>
    </r>
    <r>
      <rPr>
        <sz val="9"/>
        <rFont val="Arial"/>
        <family val="2"/>
      </rPr>
      <t>Cuotas semestrales que vencen el 15/10/2022, 15/04/2023, 15/10/2023, 15/04/2024.</t>
    </r>
  </si>
  <si>
    <r>
      <rPr>
        <b/>
        <sz val="10"/>
        <color indexed="10"/>
        <rFont val="Arial"/>
        <family val="2"/>
      </rPr>
      <t>92</t>
    </r>
    <r>
      <rPr>
        <b/>
        <sz val="9"/>
        <color indexed="10"/>
        <rFont val="Arial"/>
        <family val="2"/>
      </rPr>
      <t>/</t>
    </r>
    <r>
      <rPr>
        <b/>
        <sz val="9"/>
        <rFont val="Arial"/>
        <family val="2"/>
      </rPr>
      <t xml:space="preserve"> </t>
    </r>
    <r>
      <rPr>
        <sz val="9"/>
        <rFont val="Arial"/>
        <family val="2"/>
      </rPr>
      <t>El préstamo será cancelado en una cuota que vencerá el 15/04/2027.</t>
    </r>
  </si>
  <si>
    <t>D.S. Nº 207-2018-EF</t>
  </si>
  <si>
    <t>“Programa de Desarrollo de la Sanidad Agraria y la Inocuidad Agroalimentaria - Fase II”</t>
  </si>
  <si>
    <t>SENASA</t>
  </si>
  <si>
    <t>08 años</t>
  </si>
  <si>
    <r>
      <rPr>
        <b/>
        <sz val="10"/>
        <color indexed="10"/>
        <rFont val="Arial"/>
        <family val="2"/>
      </rPr>
      <t>93</t>
    </r>
    <r>
      <rPr>
        <sz val="10"/>
        <rFont val="Arial"/>
        <family val="2"/>
      </rPr>
      <t>/ El préstamo será cancelado en seis (06) cuotas: 10% el 15/04/2027, 10% el 15/10/2027, 25% el 15/04/2029, 25% el 15/10/2029, 15% el 15/04/2030 y 15% el 15/10/2030.</t>
    </r>
  </si>
  <si>
    <t>93/</t>
  </si>
  <si>
    <t>D.S. Nº 218-2018-EF</t>
  </si>
  <si>
    <t>D. S. Nº 333-2018-EF</t>
  </si>
  <si>
    <t>Programa de Recuperación de Áreas Degradadas por Residuos Sólidos en Zonas Prioritarias</t>
  </si>
  <si>
    <t>Proyecto “Mejoramiento de los Servicios de Apoyo al Aprovechamiento Sostenible de la Biodiversidad de los Ecosistemas en el Paisaje Forestal en los Distritos de Raimondi – Distrito de Sepahua – Distrito de Tahuanía - Provincia de Atalaya - Región Ucayali”.</t>
  </si>
  <si>
    <r>
      <rPr>
        <b/>
        <sz val="10"/>
        <color indexed="10"/>
        <rFont val="Arial"/>
        <family val="2"/>
      </rPr>
      <t>94/</t>
    </r>
    <r>
      <rPr>
        <sz val="10"/>
        <rFont val="Arial"/>
        <family val="2"/>
      </rPr>
      <t xml:space="preserve"> El préstamo será cancelado en una (01) cuota que vence el 15/12/2025.</t>
    </r>
  </si>
  <si>
    <r>
      <rPr>
        <b/>
        <sz val="10"/>
        <color indexed="10"/>
        <rFont val="Arial"/>
        <family val="2"/>
      </rPr>
      <t>95/</t>
    </r>
    <r>
      <rPr>
        <sz val="10"/>
        <rFont val="Arial"/>
        <family val="2"/>
      </rPr>
      <t xml:space="preserve"> El préstamo será cancelado mediante cuotas semestrales y consecutivas, venciendo la primera cuota el 15 de mayo de 2029 y la última el 15 de noviembre de 2058. El monto de cada cuota será: i) las primeras 20 cuotas de amortización serán por un monto equivalente al 1% del saldo deudor del préstamo, y i) las siguientes 40 cuotas serán por un monto equivalente al 2% del saldo deudor del préstamo.</t>
    </r>
  </si>
  <si>
    <t>94/</t>
  </si>
  <si>
    <t>95/</t>
  </si>
  <si>
    <t>D.S. Nº 074-2018-EF</t>
  </si>
  <si>
    <t>D.S. Nº 254-2018-EF</t>
  </si>
  <si>
    <t>D. S. Nº 315-2018-EF</t>
  </si>
  <si>
    <t>D. S. Nº 347-2018-EF</t>
  </si>
  <si>
    <t>Org. Internac.</t>
  </si>
  <si>
    <t>Proyectos "Mejoramiento de la gestión de la inversión pública" y "Mejoramiento de la capacidad para la generación de conocimiento y mejora continua en la gestión de la contratación pública".</t>
  </si>
  <si>
    <t>MEF-UCCTF</t>
  </si>
  <si>
    <t>MEF
DGETP/UCCTF</t>
  </si>
  <si>
    <t>03 años</t>
  </si>
  <si>
    <t>4,5 años</t>
  </si>
  <si>
    <t>3,5 año</t>
  </si>
  <si>
    <r>
      <rPr>
        <b/>
        <sz val="10"/>
        <color indexed="10"/>
        <rFont val="Arial"/>
        <family val="2"/>
      </rPr>
      <t>96/</t>
    </r>
    <r>
      <rPr>
        <sz val="10"/>
        <rFont val="Arial"/>
        <family val="2"/>
      </rPr>
      <t xml:space="preserve"> El préstamo será cancelado en cuatro (04) cuotas que vencerán el 15/04/2029, 15/10/2029, 15/04/2030 y 15/10/2030.</t>
    </r>
  </si>
  <si>
    <r>
      <rPr>
        <b/>
        <sz val="10"/>
        <color indexed="10"/>
        <rFont val="Arial"/>
        <family val="2"/>
      </rPr>
      <t>97/</t>
    </r>
    <r>
      <rPr>
        <b/>
        <sz val="10"/>
        <rFont val="Arial"/>
        <family val="2"/>
      </rPr>
      <t xml:space="preserve"> </t>
    </r>
    <r>
      <rPr>
        <sz val="10"/>
        <rFont val="Arial"/>
        <family val="2"/>
      </rPr>
      <t>El préstamo será cancelado mediante cuotas semestrales y consecutivas, en los siguientes porcentajes del monto del préstamo y fechas: 15% el 15 de junio de 2022, 15% el 15 de diciembre de 2022, 15% el 15 de junio de 2023, 15% 15 de diciembre de 2023, 10% 15 de junio de 2024, 10% 15 de diciembre de 2024, 10% 15 de junio de 2025 y 10% 15 de diciembre de 2025.</t>
    </r>
  </si>
  <si>
    <t>96/</t>
  </si>
  <si>
    <t>97/</t>
  </si>
  <si>
    <t>D.S. Nº 201-2018-EF</t>
  </si>
  <si>
    <t>05 años</t>
  </si>
  <si>
    <r>
      <rPr>
        <b/>
        <sz val="10"/>
        <color indexed="10"/>
        <rFont val="Arial"/>
        <family val="2"/>
      </rPr>
      <t>98/</t>
    </r>
    <r>
      <rPr>
        <sz val="10"/>
        <color indexed="10"/>
        <rFont val="Arial"/>
        <family val="2"/>
      </rPr>
      <t xml:space="preserve"> </t>
    </r>
    <r>
      <rPr>
        <sz val="10"/>
        <rFont val="Arial"/>
        <family val="2"/>
      </rPr>
      <t>El préstamo será cancelado en seis (06) cuotas: el 27% el 15/041/2024, 27% el 15/10/2024, 7% el 15/04/2025, 7% el 15/10/2025, 20% el 15/04/2026 y 12% el 15/10/2026.</t>
    </r>
  </si>
  <si>
    <t>98/</t>
  </si>
  <si>
    <t>D.S. Nº 181-2018-EF</t>
  </si>
  <si>
    <t>Proyecto “Mejoramiento y Ampliación de los Servicios de Soporte para la Provisión de los Servicios a los Ciudadanos y las Empresas, a Nivel Nacional”.</t>
  </si>
  <si>
    <r>
      <rPr>
        <b/>
        <sz val="10"/>
        <color indexed="10"/>
        <rFont val="Arial"/>
        <family val="2"/>
      </rPr>
      <t>99/</t>
    </r>
    <r>
      <rPr>
        <sz val="10"/>
        <rFont val="Arial"/>
        <family val="2"/>
      </rPr>
      <t xml:space="preserve"> El préstamo será cancelado en dos (02) cuotas que vencerán el 15/12/2029 y el 15/12/2030.</t>
    </r>
  </si>
  <si>
    <t>99/</t>
  </si>
  <si>
    <t>D. S. Nº 320-2018-EF</t>
  </si>
  <si>
    <t>Programa de Inversión “Creación de Redes Integradas de Salud”.</t>
  </si>
  <si>
    <t>Libor 6M+ Margen Variable BIRF</t>
  </si>
  <si>
    <t>5,5 años</t>
  </si>
  <si>
    <r>
      <rPr>
        <b/>
        <sz val="10"/>
        <color indexed="10"/>
        <rFont val="Arial"/>
        <family val="2"/>
      </rPr>
      <t>100/</t>
    </r>
    <r>
      <rPr>
        <sz val="10"/>
        <rFont val="Arial"/>
        <family val="2"/>
      </rPr>
      <t xml:space="preserve"> La cancelación de la operación se realizará mediante once (11) cuotas, en los siguientes porcentajes del monto del préstamo y fechas: 12% el 15 mayo de 2025, 12% el 15 de noviembre de 2025, 4% el 15 de mayo de 2026, 4% el 15 de noviembre de 2026, 16% el 15 de mayo de 2027, 16% el 15 de noviembre de 2027, 4% el 15 de mayo de 2028, 4% el 15 de noviembre de 2028, 8% el 15 de mayo de 2029, 8% el 15 de noviembre de 2029, 12% el 15 de mayo de 2030.</t>
    </r>
  </si>
  <si>
    <t>100/</t>
  </si>
  <si>
    <t>101/</t>
  </si>
  <si>
    <r>
      <rPr>
        <b/>
        <sz val="10"/>
        <color indexed="10"/>
        <rFont val="Arial"/>
        <family val="2"/>
      </rPr>
      <t>101/</t>
    </r>
    <r>
      <rPr>
        <sz val="10"/>
        <rFont val="Arial"/>
        <family val="2"/>
      </rPr>
      <t xml:space="preserve"> El préstamo será cancelado  mediante cuotas semestrales, en los siguientes porcentajes del monto del préstamo y fechas: 4% el 15 diciembre 2024, 24% el 15 de junio de junio de 2025, 20% el 15 de diciembre de 2025, 4% el 15 de junio de 2026, 4% el 15 de diciembre de 2026, 12% el 15 de junio de 2027, 12% el 15 de diciembre de 2027, 8% el 15 de junio de 2028, 4% el 15 de diciembre de 2028 y 8% el 15 de junio de 2029.</t>
    </r>
  </si>
  <si>
    <t>D.S. Nº 171-2018-EF</t>
  </si>
  <si>
    <t>D. S. Nº 292-2018-EF</t>
  </si>
  <si>
    <t>D. S. Nº 316-2018-EF</t>
  </si>
  <si>
    <t>Programa “Mejoramiento, Ampliación y Creación del Sistema de Tratamiento de Aguas Residuales en los 7 y 3 (respectivamente) Distritos de Tacna y Huánuco"</t>
  </si>
  <si>
    <t>Programa de Inversión “Modernización de la Prestación de los Servicios de Agua Potable y Saneamiento de las EPS EMAPACOP, SEDACUSCO, SEDAPAR, SEMAPA Barranca, EMAPA Huaral y EMAPA Huacho”</t>
  </si>
  <si>
    <t>MVCS - PNSR</t>
  </si>
  <si>
    <t>MVCS/PNSU</t>
  </si>
  <si>
    <t>MVCS/
PNSU-OTASS</t>
  </si>
  <si>
    <t>D. S. Nº 314-2018-EF</t>
  </si>
  <si>
    <t>D. S. Nº 319-2018-EF</t>
  </si>
  <si>
    <t>D. S. Nº 346-2018-EF</t>
  </si>
  <si>
    <t>Proyecto de Mejoramiento de los Servicios de Control Gubernamental para un Control Efectivo, Preventivo y Facilitador de la Gestión Pública.</t>
  </si>
  <si>
    <t>Proyecto Mejoramiento de los Servicios de Recaudación Tributaria y Aduanera a través de la Transformación Digital.</t>
  </si>
  <si>
    <t>RENIEC</t>
  </si>
  <si>
    <t>06 años</t>
  </si>
  <si>
    <t>04 años</t>
  </si>
  <si>
    <t>10,5 años</t>
  </si>
  <si>
    <r>
      <rPr>
        <b/>
        <sz val="10"/>
        <color indexed="10"/>
        <rFont val="Arial"/>
        <family val="2"/>
      </rPr>
      <t>102/</t>
    </r>
    <r>
      <rPr>
        <sz val="10"/>
        <rFont val="Arial"/>
        <family val="2"/>
      </rPr>
      <t xml:space="preserve"> El préstamo será cancelado en tres (03) cuotas de 10%, 10% y 80%, que vencerán el 15/11/2026, 15/05/2027, y 15/11/2027, respectivamente.</t>
    </r>
  </si>
  <si>
    <t>102/</t>
  </si>
  <si>
    <r>
      <rPr>
        <b/>
        <sz val="10"/>
        <color indexed="10"/>
        <rFont val="Arial"/>
        <family val="2"/>
      </rPr>
      <t xml:space="preserve">103/ </t>
    </r>
    <r>
      <rPr>
        <sz val="10"/>
        <rFont val="Arial"/>
        <family val="2"/>
      </rPr>
      <t>El préstamo será cancelado mediante tres cuotas semestrales y consecutivas en los siguientes porcentajes del monto del préstamo y fechas: 35% el 15 de noviembre de 2029, 35% el 15 de mayo de 2030, y 30% el 15 de noviembre de 2030.</t>
    </r>
  </si>
  <si>
    <t>103/</t>
  </si>
  <si>
    <r>
      <rPr>
        <b/>
        <sz val="10"/>
        <color indexed="10"/>
        <rFont val="Arial"/>
        <family val="2"/>
      </rPr>
      <t xml:space="preserve">104/ </t>
    </r>
    <r>
      <rPr>
        <sz val="10"/>
        <rFont val="Arial"/>
        <family val="2"/>
      </rPr>
      <t xml:space="preserve">El préstamo será cancelado mediante cuotas semestrales y consecutivas, venciendo la primera cuota el 15.05.2025 y la última el 15.11.2027 </t>
    </r>
  </si>
  <si>
    <t>104/</t>
  </si>
  <si>
    <r>
      <rPr>
        <b/>
        <sz val="10"/>
        <color indexed="10"/>
        <rFont val="Arial"/>
        <family val="2"/>
      </rPr>
      <t>105/</t>
    </r>
    <r>
      <rPr>
        <sz val="10"/>
        <rFont val="Arial"/>
        <family val="2"/>
      </rPr>
      <t xml:space="preserve"> El préstamo será cancelado en una cuota que vence el 15/12/2027. </t>
    </r>
  </si>
  <si>
    <t>105/</t>
  </si>
  <si>
    <t>106/</t>
  </si>
  <si>
    <r>
      <rPr>
        <b/>
        <sz val="10"/>
        <color indexed="10"/>
        <rFont val="Arial"/>
        <family val="2"/>
      </rPr>
      <t>106/</t>
    </r>
    <r>
      <rPr>
        <sz val="10"/>
        <rFont val="Arial"/>
        <family val="2"/>
      </rPr>
      <t xml:space="preserve"> El préstamo será cancelado mediante cuotas semestrales y consecutivas, venciendo la primera cuota el 15 de marzo de 2025 y la última el 15 de setiembre de 2027.</t>
    </r>
  </si>
  <si>
    <t>Financiar la Ejecucion del Proy. peq. Empresa</t>
  </si>
  <si>
    <t>L.T. Chiclayo - Olmos</t>
  </si>
  <si>
    <t>Mejoramiento del Saneamiento Básico para Ciudad de Trujillo</t>
  </si>
  <si>
    <t>Proy.  Manejo de Recu. Natu. para el Aliv. Pobr.</t>
  </si>
  <si>
    <t>Proy. de Desarr. del Corredor Puno-Cusco</t>
  </si>
  <si>
    <t>Coop. Técnica Prog. Sect. De Finanzas Públicas</t>
  </si>
  <si>
    <t>Prog. para Recons. Obras de Infraest. Afectadas por Fenóm. Niño</t>
  </si>
  <si>
    <t>Prog. Multisectorial de Inversión Pública 2000-2001</t>
  </si>
  <si>
    <t>Proy de Mej. y  Ampl. de  Agua Pot. y  Alc. Iquitos, Cusco, Sicuani.</t>
  </si>
  <si>
    <t>Proyecto de Agua Potable y Alcantarillado Puno</t>
  </si>
  <si>
    <t>Adq. de 10 Trenes de Asfalto</t>
  </si>
  <si>
    <t>Prog. Sectorial Transp. y Reforma Polit. Social y de Justicia</t>
  </si>
  <si>
    <t>Prog. Atención a la Emergencia por Terremo 23-6-01</t>
  </si>
  <si>
    <t>Prog. de Apoyo Emergencia a la Zona Sur</t>
  </si>
  <si>
    <t>Prog. Multisect. de Inversión Pública 2001</t>
  </si>
  <si>
    <t>Prog. Multisect. de Inversión Pública 2001-2002</t>
  </si>
  <si>
    <t>Prog. Nacion. de Infraestructura Rural de Trans.</t>
  </si>
  <si>
    <t>Inicio de prepar. Prét. Programático de Reforma Social III</t>
  </si>
  <si>
    <t>Proy. Agua Pot. y Alcant.de la C.Huanc.</t>
  </si>
  <si>
    <t>Prog. para  Desarr. Políticas  Comercio Exterior</t>
  </si>
  <si>
    <t>Prep. del Programa de Modern. y Descent. Del Estado</t>
  </si>
  <si>
    <t>Prog. Apoyo a Competi, Gobernabilidad e Inversión Social</t>
  </si>
  <si>
    <t>Programa de Reforma de Competitividad</t>
  </si>
  <si>
    <t>Primer Préstamo Ajuste Estruct. Prog. Descent. y Compet.</t>
  </si>
  <si>
    <t>Integración y Modernización de la SUNAT</t>
  </si>
  <si>
    <t>Prog. Fort. Inst. Apoyo Gestión Ambiental Gas de Camisea</t>
  </si>
  <si>
    <t>Prog.Transp.Urbano Lima Metropol.Sub-Sistema Sur Norte</t>
  </si>
  <si>
    <t>Apoyo al sector Habitacional - Primera Fase</t>
  </si>
  <si>
    <t>Programa de Servicios de Apoyo para Acceder a los Mercados Rurales</t>
  </si>
  <si>
    <t>Programa de Fortalecimiento de la Institucionalidad Fiscal y Mejora del Clima de Negocios</t>
  </si>
  <si>
    <t>Préstamo de Ajuste Estructural Programático de Descentralización y competitividad II</t>
  </si>
  <si>
    <t>Proy. de Fortalecimiento de la Capacidad Institucional en el Marco de la descentralización Fiscal</t>
  </si>
  <si>
    <t>Préstamo Programático de Reforma Social IV</t>
  </si>
  <si>
    <t>Proy. de Asist. Téc. para el Seguimiento y Eval. de los Sect. Sociales en el Marco  descentraliz.</t>
  </si>
  <si>
    <t>Reformas de Prog. de Superación de la Pobreza y Desarrollo de Capital Humano</t>
  </si>
  <si>
    <t>Apoyo a la Reforma de los Prog. de Superación de la Pobreza y Desarrollo del Capital Humano</t>
  </si>
  <si>
    <t>Programa de Infraestructura Económica y Desarrollo Social</t>
  </si>
  <si>
    <t>Programa Linea de Créd. para Pequeñas Microemp. a través de Fcto Créd. Subordinados II</t>
  </si>
  <si>
    <t>Adquisición de Trigo bajo el Programa PL 480</t>
  </si>
  <si>
    <t>Programa de Mejoramiento y Ampliación de los Servicios de Agua Potab.y Alcantar. de Tumbes</t>
  </si>
  <si>
    <t>Proyecto de Agua Potable y Saneamiento de la ciudad de Cajamarca</t>
  </si>
  <si>
    <t>Fortalecimiento de los Merca. Diversificados de los Ingres. y Mjrato. Cond. de vida en la Sierra Sur</t>
  </si>
  <si>
    <t>Reordenamiento y Rehabilitación del Valle del Vilcanota</t>
  </si>
  <si>
    <t>Proyecto Olmos, Etapa I - Obras de Trasvase</t>
  </si>
  <si>
    <t>Modernización de la Contraloría General de la República y Descentraliz. Sist. Nac. de Control</t>
  </si>
  <si>
    <t>Préstamo de ajuste Estructural Programático de Descentraliz. y Comp. II</t>
  </si>
  <si>
    <t>Préstamo para el Desarrollo de políticas de Descentralización y Competitividad III</t>
  </si>
  <si>
    <t>Facilidad Sectorial Instit. para la Mejora de la Calidad de la Gestión y del Gto. Público</t>
  </si>
  <si>
    <t>Programa de Caminos Departamentales</t>
  </si>
  <si>
    <t>Programa "Mejoramiento de la electrific. rural mediante la aplicación de fondos concursables"</t>
  </si>
  <si>
    <t>Programa de Ciencia y Tecnología</t>
  </si>
  <si>
    <t>Rehabilitación Integral del ferrocarril Huancayo - Huancavelica - Com. I Rehabilit. Infraestruct. Ferrov.</t>
  </si>
  <si>
    <t>Recuperación de la Capacidad de Transmisión de la Televisión Estatal</t>
  </si>
  <si>
    <t>Programa de Estudios de Preinversión Región Fronteriza con el Ecuador</t>
  </si>
  <si>
    <t>Programa de Mejoramiento del Nivel de Transitabilidad de la Red Vial Nacional</t>
  </si>
  <si>
    <t>Préstamo Programático Gestión Fiscal y Crecimiento Económico</t>
  </si>
  <si>
    <t>Remotoriz. y Moderniz. del Buque de Investigación Cientifica (BIC) Humboldt</t>
  </si>
  <si>
    <t>FAPEP del Programa "Modernización del Sistema de Administración de Justicia para la Mejora de los Servicios Brindados a la Población Peruana"</t>
  </si>
  <si>
    <t>Programa de Desarrollo Agroambiental en la ceja de Selva- Construcción del Sistema Irrigación Ponaza-Distrito de Tingo de Ponaza-Provincia de Picota-Departamento de San Martín</t>
  </si>
  <si>
    <t>Cierre de Brechas en productos priorizados por el Programa Estratégico Articulado Nutricional</t>
  </si>
  <si>
    <t>Proyecto "Fortalecimiento del Desarrollo Local en Áreas de la Sierra y Selva Alta del Perú"</t>
  </si>
  <si>
    <t>Programa de Desarrollo de Sist. de Gestión de Residuos Sólidos en Zonas Prioritarias de Puno, Piura, Ancash, Tumbes, Apurímac, Ica, Huánuco, Puerto Maldonado, San Martín, Junín, Lambayeque, Loreto, Ayacucho, Amazonas, Lima y Pasco</t>
  </si>
  <si>
    <t>Programa "Mejoramiento de la educación Inicial en Ayacucho, Huancavelica y Huánuco"</t>
  </si>
  <si>
    <t>Proyecto Innovación para la Competitividad</t>
  </si>
  <si>
    <t>Programa de Reforma de Gestión Municipal I</t>
  </si>
  <si>
    <t>Programa de Riego y Manejo de Recursos Hidricos en la Sub Region Chanka - Apurímac</t>
  </si>
  <si>
    <t>Proyecto "Instalación de las centrales hidroeléctricas Moquegua 1 y 3"</t>
  </si>
  <si>
    <t>Proyecto Construcción de la Línea 2 y Ramal Av. Faucett - Gambetta de la Red Básica del Metro de Lima y Callao Provincias de Lima y Callao, Departamento de Lima</t>
  </si>
  <si>
    <t>Proyecto "Mejoramiento de los servicios públicos para el desarrollo territorial sostenible en el área de Influencia de los ríos Apurímac, Ene, y Mantaro: Proyecto de desarrollo territorial sostenible".</t>
  </si>
  <si>
    <t>Programa de Apoyo al NAMA de Transporte Urbano Sostenible en el Perú I</t>
  </si>
  <si>
    <t>Programa de Acompañamiento a las Reformas para Incrementar la Productividad en el Perú</t>
  </si>
  <si>
    <t>Programa de Apoyo a las Medidas de Ampliación de la Base Tributaria y Fomento a la Inversión</t>
  </si>
  <si>
    <t>Programa para la Mejora de la Calidad y Pertinencia de los Servicios de Educación Superior Universitaria y Tecnológica a Nivel Nacional</t>
  </si>
  <si>
    <t>Programa Integral de Agua y Saneamiento Rural – PIASAR</t>
  </si>
  <si>
    <t>Proyecto “Mejoramiento del acceso a los Servicios de Registros Civiles e Identificación de Calidad a Nivel Nacional”</t>
  </si>
  <si>
    <t>Prog. de Reforma de Salud-Primera fase</t>
  </si>
  <si>
    <t>Proy. Paso de Frontera Desagüadero (Perú-Bolivia) y Componentes Transversales en el Marco del Programa "Pasos de Frontera Perú - IIRSA"</t>
  </si>
  <si>
    <t>Proy. "Fortalecimiento de los Activos, Mercados y Políticas para el Desarrollo Rural de la Sierra Norte"</t>
  </si>
  <si>
    <t>Libor 6M + margen de 0,80%</t>
  </si>
  <si>
    <t>D.S. Nº 411-2019-EF</t>
  </si>
  <si>
    <t>“Programa de Apoyo al NAMA de Transporte Urbano Sostenible en el Perú II”.</t>
  </si>
  <si>
    <t>MEF/DGTP</t>
  </si>
  <si>
    <t>110/</t>
  </si>
  <si>
    <t>D.S. Nº 213-2019-EF</t>
  </si>
  <si>
    <t>11.07.2019</t>
  </si>
  <si>
    <t>Proyectos “Mejoramiento de los servicios de apoyo al aprovechamiento sostenible de la biodiversidad de los ecosistemas en el paisaje forestal en el corredor Tarapoto – Yurimaguas, de los Departamentos de San Martín y Loreto”, “Mejoramiento de los servicios de apoyo al aprovechamiento sostenible de la biodiversidad de los ecosistemas en el paisaje forestal en el corredor Puerto Maldonado - Iñapari y en el ámbito de la Reserva Comunal Amarakaeri, en el departamento de Madre de Dios” y “Mejoramiento de los servicios de Información ambiental para el mapeo de la deforestación en los bosques amazónicos del Perú”.</t>
  </si>
  <si>
    <t>10.6 años</t>
  </si>
  <si>
    <t>111/</t>
  </si>
  <si>
    <t>D.S. Nº 336-2019-EF</t>
  </si>
  <si>
    <t>Programa “Mejoramiento de los Servicios de Justicia no Penales a través de la implementación del Expediente Judicial Electrónico (EJE)”.</t>
  </si>
  <si>
    <t>La UE es MINUSDH/Poder Judicial</t>
  </si>
  <si>
    <t>Libor 6M + Margen Variable BIRF</t>
  </si>
  <si>
    <t>112/</t>
  </si>
  <si>
    <t>D.S. Nº 050-2020-EF</t>
  </si>
  <si>
    <r>
      <t xml:space="preserve">Destinada a financiar parcialmente el proyecto “Creación del servicio de </t>
    </r>
    <r>
      <rPr>
        <b/>
        <u/>
        <sz val="10"/>
        <rFont val="Arial"/>
        <family val="2"/>
      </rPr>
      <t>CATASTRO URBANO</t>
    </r>
    <r>
      <rPr>
        <sz val="10"/>
        <rFont val="Arial"/>
        <family val="2"/>
      </rPr>
      <t xml:space="preserve"> en distritos priorizados de las provincias de Chiclayo y Lambayeque del Departamento de Lambayeque; la Provincia de Lima del Departamento de Lima y la Provincia de Piura del Departamento de Piura”.</t>
    </r>
  </si>
  <si>
    <t>La UE es MVCS a través de COFOPRI</t>
  </si>
  <si>
    <t>113/</t>
  </si>
  <si>
    <t>D.S. Nº 114 - 2020-EF</t>
  </si>
  <si>
    <r>
      <t>Destinada a financiar parcialmente el Proyecto “</t>
    </r>
    <r>
      <rPr>
        <b/>
        <u/>
        <sz val="10"/>
        <rFont val="Arial"/>
        <family val="2"/>
      </rPr>
      <t>Ampliación</t>
    </r>
    <r>
      <rPr>
        <sz val="10"/>
        <rFont val="Arial"/>
        <family val="2"/>
      </rPr>
      <t xml:space="preserve"> del Tramo Norte del COSAC I desde la </t>
    </r>
    <r>
      <rPr>
        <b/>
        <u/>
        <sz val="10"/>
        <rFont val="Arial"/>
        <family val="2"/>
      </rPr>
      <t>Estación</t>
    </r>
    <r>
      <rPr>
        <sz val="10"/>
        <rFont val="Arial"/>
        <family val="2"/>
      </rPr>
      <t xml:space="preserve"> </t>
    </r>
    <r>
      <rPr>
        <b/>
        <u/>
        <sz val="10"/>
        <rFont val="Arial"/>
        <family val="2"/>
      </rPr>
      <t xml:space="preserve">El </t>
    </r>
    <r>
      <rPr>
        <b/>
        <sz val="10"/>
        <rFont val="Arial"/>
        <family val="2"/>
      </rPr>
      <t>Nara</t>
    </r>
    <r>
      <rPr>
        <b/>
        <u/>
        <sz val="10"/>
        <rFont val="Arial"/>
        <family val="2"/>
      </rPr>
      <t>njal</t>
    </r>
    <r>
      <rPr>
        <sz val="10"/>
        <rFont val="Arial"/>
        <family val="2"/>
      </rPr>
      <t xml:space="preserve"> hasta la Av. Chimpu Ocllo, Distritos de Comas y Carabayllo, Provincia de Lima - Lima”. </t>
    </r>
  </si>
  <si>
    <t>La UE es MML</t>
  </si>
  <si>
    <t>114/</t>
  </si>
  <si>
    <t>D.S. Nº 122 - 2020-EF</t>
  </si>
  <si>
    <r>
      <t xml:space="preserve">Destinada a financiar parcialmente el Proyecto “Mejoramiento y Ampliación de los Servicios Públicos para el Desarrollo Productivo Local en los Ámbitos de la Sierra y Selva del Perú - </t>
    </r>
    <r>
      <rPr>
        <b/>
        <u/>
        <sz val="10"/>
        <rFont val="Arial"/>
        <family val="2"/>
      </rPr>
      <t>AVANZA RURAL</t>
    </r>
    <r>
      <rPr>
        <sz val="10"/>
        <rFont val="Arial"/>
        <family val="2"/>
      </rPr>
      <t xml:space="preserve"> - 5 Departamentos”.</t>
    </r>
  </si>
  <si>
    <t>La UE es AGRO RURAL.</t>
  </si>
  <si>
    <t>115/</t>
  </si>
  <si>
    <t>D.S. Nº 160 - 2020-EF</t>
  </si>
  <si>
    <r>
      <t xml:space="preserve">Destinada a financiar parcialmente el Proyecto </t>
    </r>
    <r>
      <rPr>
        <b/>
        <sz val="10"/>
        <rFont val="Arial"/>
        <family val="2"/>
      </rPr>
      <t>“Creación de un Sistema de Atención de Emergencias, Urgencias e Información mediante un número único 911 en Lima Metropolitana y Callao"</t>
    </r>
  </si>
  <si>
    <t xml:space="preserve">La UE es PRONATEL </t>
  </si>
  <si>
    <t>116/</t>
  </si>
  <si>
    <t>D.S. Nº 161 - 2020-EF</t>
  </si>
  <si>
    <r>
      <t>Destinada a financiar parcialmente el Proyecto “</t>
    </r>
    <r>
      <rPr>
        <b/>
        <sz val="10"/>
        <rFont val="Arial"/>
        <family val="2"/>
      </rPr>
      <t xml:space="preserve">Mejoramiento, Ampliación y Creación del Servicio de Drenaje Pluvial </t>
    </r>
    <r>
      <rPr>
        <sz val="10"/>
        <rFont val="Arial"/>
        <family val="2"/>
      </rPr>
      <t>en el ambito urbano de los distritos de Cuzco, Wanchaq, Santiago y San Sebastian de la Provincia y Departamento de Cuzco y los distritos de Zarumilla y Aguas Verdes de las Provincia de Zarumilla - Departamento de Tumbes”</t>
    </r>
  </si>
  <si>
    <t>La UE es Programa Nacional de Saneamiento Urbano</t>
  </si>
  <si>
    <t>117/</t>
  </si>
  <si>
    <t>D.S. Nº 172 - 2020-EF</t>
  </si>
  <si>
    <r>
      <t>Destinada a financiar parcialmente el Programa “</t>
    </r>
    <r>
      <rPr>
        <b/>
        <sz val="10"/>
        <rFont val="Arial"/>
        <family val="2"/>
      </rPr>
      <t>Mejoramiento de los Servicios de Justicia en Materia Penal en el Perú</t>
    </r>
    <r>
      <rPr>
        <sz val="10"/>
        <rFont val="Arial"/>
        <family val="2"/>
      </rPr>
      <t>”</t>
    </r>
  </si>
  <si>
    <t>Las UE es: El Poder Judicial, Ministerio Público y MINJUSDH</t>
  </si>
  <si>
    <t>D.S. Nº 049-2020-EF</t>
  </si>
  <si>
    <r>
      <t>Denominada "</t>
    </r>
    <r>
      <rPr>
        <b/>
        <sz val="10"/>
        <rFont val="Arial"/>
        <family val="2"/>
      </rPr>
      <t>Programa de Mejoramiento de la Productividad y Competitividad</t>
    </r>
    <r>
      <rPr>
        <sz val="10"/>
        <rFont val="Arial"/>
        <family val="2"/>
      </rPr>
      <t>”</t>
    </r>
  </si>
  <si>
    <t>La UE es DGTP - MEF</t>
  </si>
  <si>
    <t>119/</t>
  </si>
  <si>
    <t>D.S. Nº 368-2019-EF</t>
  </si>
  <si>
    <t>Proyecto “Mejoramiento de los Servicios de Prevención del Delito en la Población más Vulnerable al Crimen y la Violencia en el Perú”.</t>
  </si>
  <si>
    <t>120/</t>
  </si>
  <si>
    <t>Interior</t>
  </si>
  <si>
    <t>G. Local</t>
  </si>
  <si>
    <t>Gobierno Local</t>
  </si>
  <si>
    <r>
      <t>111</t>
    </r>
    <r>
      <rPr>
        <sz val="9"/>
        <color theme="1"/>
        <rFont val="Arial"/>
        <family val="2"/>
      </rPr>
      <t>/ La cancelación del  préstamo es mediante cinco cuotas semestrales y consecutivas en los siguientes porcentajes del monto del préstamo y fechas: 6% el 15 de setiembre de 2025, 12% el 15 de marzo de 2026, 12% el 15 de setiembre de 2026, 35% el 15 de marzo de 2027, y 35% el 15 de setiembre de 2027.</t>
    </r>
  </si>
  <si>
    <r>
      <t>113</t>
    </r>
    <r>
      <rPr>
        <sz val="9"/>
        <color theme="1"/>
        <rFont val="Arial"/>
        <family val="2"/>
      </rPr>
      <t>/ La cancelación del préstamo se realizará en las siguientes fechas y porcentajes del monto del préstamo: 12,5% el 15 de noviembre de 2025, 6,25% el 15 de mayo de 2026, 6,25% el 15 de noviembre de 2026, 15,0% el 15 de mayo de 2027, 15,0% el 15 de noviembre de 2027, 15,0% el 15 de mayo de 2028, 15,0% el 15 de noviembre de 2028 y 15,0% el 15 de mayo de 2029.</t>
    </r>
  </si>
  <si>
    <t>107/</t>
  </si>
  <si>
    <t>108/</t>
  </si>
  <si>
    <t>109/</t>
  </si>
  <si>
    <r>
      <rPr>
        <b/>
        <sz val="10"/>
        <color rgb="FFC00000"/>
        <rFont val="Arial"/>
        <family val="2"/>
      </rPr>
      <t>107/</t>
    </r>
    <r>
      <rPr>
        <b/>
        <sz val="10"/>
        <rFont val="Arial"/>
        <family val="2"/>
      </rPr>
      <t xml:space="preserve"> </t>
    </r>
    <r>
      <rPr>
        <sz val="10"/>
        <rFont val="Arial"/>
        <family val="2"/>
      </rPr>
      <t>La cancelación de dicha operación de endeudamiento externo se realiza en cuatro (04) cuotas en las siguientes fechas y porcentajes del monto del préstamo: 26% el 15 de enero de 2025, 26% el 15 de julio de 2025, 24% el 15 de enero de 2027 y 24% el 15 de julio de 2027. Devenga una tasa de interés basada en la tasa LIBOR a tres (03) meses, más un margen a ser determinado por el BID, de acuerdo con su política sobre tasas de interés.</t>
    </r>
  </si>
  <si>
    <r>
      <t>108</t>
    </r>
    <r>
      <rPr>
        <sz val="9"/>
        <color theme="1"/>
        <rFont val="Arial"/>
        <family val="2"/>
      </rPr>
      <t>/ Fija a ser determinada en la fecha de firma del Contrato de Préstamo.</t>
    </r>
  </si>
  <si>
    <r>
      <rPr>
        <b/>
        <sz val="10"/>
        <color indexed="10"/>
        <rFont val="Arial"/>
        <family val="2"/>
      </rPr>
      <t>109/</t>
    </r>
    <r>
      <rPr>
        <b/>
        <sz val="10"/>
        <rFont val="Arial"/>
        <family val="2"/>
      </rPr>
      <t xml:space="preserve"> </t>
    </r>
    <r>
      <rPr>
        <sz val="10"/>
        <rFont val="Arial"/>
        <family val="2"/>
      </rPr>
      <t>La cancelación de dicha operación de endeudamiento externo es mediante ocho (08) cuotas semestrales, consecutivas y en lo posible iguales, venciendo la primera el 15 de julio de 2024 y la última el 15 de enero de 2028. Devengan una tasa de interés basada en la Tasa LIBOR a seis (06) meses, más un margen variable a ser determinado por el BIRF de acuerdo con su política sobre tasas de interés.</t>
    </r>
  </si>
  <si>
    <r>
      <rPr>
        <b/>
        <sz val="10"/>
        <color indexed="10"/>
        <rFont val="Arial"/>
        <family val="2"/>
      </rPr>
      <t>110/</t>
    </r>
    <r>
      <rPr>
        <b/>
        <sz val="10"/>
        <rFont val="Arial"/>
        <family val="2"/>
      </rPr>
      <t xml:space="preserve"> </t>
    </r>
    <r>
      <rPr>
        <sz val="10"/>
        <rFont val="Arial"/>
        <family val="2"/>
      </rPr>
      <t>La citada operación de endeudamiento externo es amortizada mediante doce (12) cuotas semestrales y consecutivas en los siguientes porcentajes del monto del préstamo y fechas: 8,33% del 15 de junio de 2025 hasta el 15 de junio de 2030 correspondiente a las primeras once (11) cuotas, y 8,37% el 15 de diciembre de 2030 referido a la última cuota. Devenga una tasa de interés basada en la tasa LIBOR a tres (03) meses, más un margen a ser determinado por el BID, de acuerdo con su política sobre tasas de interés.</t>
    </r>
  </si>
  <si>
    <r>
      <rPr>
        <b/>
        <sz val="10"/>
        <color rgb="FFFF0000"/>
        <rFont val="Arial"/>
        <family val="2"/>
      </rPr>
      <t>112/</t>
    </r>
    <r>
      <rPr>
        <b/>
        <sz val="10"/>
        <rFont val="Arial"/>
        <family val="2"/>
      </rPr>
      <t xml:space="preserve"> </t>
    </r>
    <r>
      <rPr>
        <sz val="10"/>
        <rFont val="Arial"/>
        <family val="2"/>
      </rPr>
      <t>La cancelación de dicha operación de endeudamiento externo es mediante dieciséis (16) cuotas semestrales y consecutivas en los siguientes porcentajes del monto del préstamo y fechas: 6,45% del 15 de julio de 2023 hasta el 15 de julio de 2030 correspondiente a las primeras quince (15) cuotas, y 3,25% el 15 de enero de 2031 referido a la última cuota. Devengan una tasa de interés basada en la Tasa LIBOR a seis (06) meses, más un margen variable a ser determinado por el BIRF de acuerdo con su política sobre tasas de interés.</t>
    </r>
  </si>
  <si>
    <r>
      <rPr>
        <b/>
        <sz val="10"/>
        <color indexed="10"/>
        <rFont val="Arial"/>
        <family val="2"/>
      </rPr>
      <t>114/</t>
    </r>
    <r>
      <rPr>
        <b/>
        <sz val="10"/>
        <rFont val="Arial"/>
        <family val="2"/>
      </rPr>
      <t xml:space="preserve"> </t>
    </r>
    <r>
      <rPr>
        <sz val="10"/>
        <rFont val="Arial"/>
        <family val="2"/>
      </rPr>
      <t>La citada operación de endeudamiento externo es amortizada en seis (6) cuotas semestrales consecutivas y en lo posible iguales, venciendo la primera cuota a los cinco (5) años contados de la fecha de cumplimiento de las condiciones previas para el retiro de fondos del préstamo, de acuerdo a la política del Fondo Internacional de Desarrollo Agrícola - FIDA. La operación de endeudamiento externo devenga una tasa de interés variable de referencia del FIDA con un margen variable proporcionado por este último de acuerdo con su política sobre tasa de interés.</t>
    </r>
  </si>
  <si>
    <r>
      <rPr>
        <b/>
        <sz val="10"/>
        <color indexed="10"/>
        <rFont val="Arial"/>
        <family val="2"/>
      </rPr>
      <t>115/</t>
    </r>
    <r>
      <rPr>
        <b/>
        <sz val="10"/>
        <rFont val="Arial"/>
        <family val="2"/>
      </rPr>
      <t xml:space="preserve"> </t>
    </r>
    <r>
      <rPr>
        <sz val="10"/>
        <rFont val="Arial"/>
        <family val="2"/>
      </rPr>
      <t xml:space="preserve">La cancelación de dicha operación de endeudamiento externo es mediante seis (06) cuotas semestrales y consecutivas en los siguientes porcentajes del monto del préstamo y fechas: 10% el 01 de agosto de 2026, 10% el 01 de febrero de 2027, 20% el 01 de agosto 2027, 20% el 01 de febrero 2028, 20% el 01 de agosto 2028 y 20% el 01 de febrero 2029. Devengan una tasa de interés basada en la tasa LIBOR a seis meses, más un margen variable a ser determinado por el BIRF de acuerdo con su política sobre tasa de interés. </t>
    </r>
  </si>
  <si>
    <r>
      <rPr>
        <b/>
        <sz val="10"/>
        <color indexed="10"/>
        <rFont val="Arial"/>
        <family val="2"/>
      </rPr>
      <t>116/</t>
    </r>
    <r>
      <rPr>
        <b/>
        <sz val="10"/>
        <rFont val="Arial"/>
        <family val="2"/>
      </rPr>
      <t xml:space="preserve"> </t>
    </r>
    <r>
      <rPr>
        <sz val="10"/>
        <rFont val="Arial"/>
        <family val="2"/>
      </rPr>
      <t>La citada operación de endeudamiento externo es amortizada mediante catorce (14) cuotas semestrales y consecutivas en los siguientes porcentajes del monto de préstamo y fechas: 7,14% del 15 de agosto de 2025 hasta el 15 de agosto de 2031 correspondiente a las primeras trece (13) cuotas, y 7,18% el 15 de febrero de 2032 referido a la última cuota. Devenga una tasa de interés basada en la tasa LIBOR a tres (03) meses, más un margen a ser determinado por el BID, de acuerdo con su política sobre tasas de interés.</t>
    </r>
  </si>
  <si>
    <r>
      <rPr>
        <b/>
        <sz val="9"/>
        <color theme="1"/>
        <rFont val="Arial"/>
        <family val="2"/>
      </rPr>
      <t>117</t>
    </r>
    <r>
      <rPr>
        <sz val="9"/>
        <color theme="1"/>
        <rFont val="Arial"/>
        <family val="2"/>
      </rPr>
      <t>/  La cancelación del préstamo es cuotas semestrales y consecutivas, venciendo la primera cuota a los diez (10) años y seis (6) meses contados a partir de la fecha de suscripción del contrato de préstamo, y la última, a más tardar, a los cuarenta (40) años contados a partir de esa misma fecha.El monto de cada cuota será: i) las primeras 20 cuotas de amortización serán por un monto equivalente al 1% del saldo deudor del préstamo, y ii) las siguientes 40 cuotas serán por un monto equivalente al 2% del saldo deudor del préstamo.</t>
    </r>
  </si>
  <si>
    <t>Destinada para financiar parcialmente el Programa “Fomento y Gestión Sostenible de la Producción Forestal en el Perú”.</t>
  </si>
  <si>
    <t xml:space="preserve">La UE SERFOR </t>
  </si>
  <si>
    <t>122/</t>
  </si>
  <si>
    <t>5 años 6 meses</t>
  </si>
  <si>
    <t>Euros</t>
  </si>
  <si>
    <t>D.S. Nº 018-2021-EF</t>
  </si>
  <si>
    <t>Destinada a financiar parcialmente los Proyectos de “Mejoramiento del Centro Histórico del Rímac, distrito de Rímac – provincia de Lima – departamento de Lima” y “Mejoramiento del Centro Histórico de Huamanga - Ayacucho, distrito de Ayacucho – provincia de Huamanga – departamento de Ayacucho” de la primera fase del Programa “Mejoramiento de los Centros Históricos de Lima, Arequipa, Trujillo y Ayacucho”.</t>
  </si>
  <si>
    <t>Cultura</t>
  </si>
  <si>
    <t>La UE 008: Proyectos Especiales del Pliego 003: Ministerio de Cultura</t>
  </si>
  <si>
    <t>123/</t>
  </si>
  <si>
    <t xml:space="preserve">La UE 008: Proyectos Especiales del Pliego 003: Ministerio de Cultura </t>
  </si>
  <si>
    <t>2.42% anual</t>
  </si>
  <si>
    <t xml:space="preserve">D.S. Nº 099-2021-EF </t>
  </si>
  <si>
    <t>Destinada a financiar parcialmente el Programa de Infraestructura Vial para la Competitividad Regional–PROREGIÓN 1.</t>
  </si>
  <si>
    <t>La UE MTC - PROVIAS DESCENTRALIZADO.</t>
  </si>
  <si>
    <t>Libor 6M+ 1.8% anual</t>
  </si>
  <si>
    <t xml:space="preserve">D.S. Nº 122-2021-EF </t>
  </si>
  <si>
    <t>Apruébase la operación de endeudamiento externo, con cargo a los recursos provenientes del Fondo Fiduciario para una Tecnología Limpia (FTL), destinada a financiar parcialmente el programa “Financiamiento de Soluciones Sostenibles del Transporte Eléctrico en Perú.</t>
  </si>
  <si>
    <t>La UE COFIDE.</t>
  </si>
  <si>
    <t>Apruébase la operación de endeudamiento externo, destinada a financiar parcialmente el programa “Financiamiento de Soluciones Sostenibles del Transporte Eléctrico en Perú”.</t>
  </si>
  <si>
    <t>D.S. Nº 368 - 2020-EF</t>
  </si>
  <si>
    <t>Operación de endeudamiento externo, con el BIRF denominada “Programa de Desarrollo del Capital Humano”.</t>
  </si>
  <si>
    <t>La UE MEF a través de la DGTP.</t>
  </si>
  <si>
    <t xml:space="preserve">     9% el 15 de noviembre de 2026, 20% el 15 de mayo de 2027 y 20% el 15 de noviembre de 2027.</t>
  </si>
  <si>
    <r>
      <t xml:space="preserve">D.S. Nº 080-2021-EF  </t>
    </r>
    <r>
      <rPr>
        <b/>
        <sz val="10"/>
        <rFont val="Arial"/>
        <family val="2"/>
      </rPr>
      <t>118</t>
    </r>
    <r>
      <rPr>
        <b/>
        <sz val="11"/>
        <rFont val="Arial"/>
        <family val="2"/>
      </rPr>
      <t>/</t>
    </r>
  </si>
  <si>
    <t>121/</t>
  </si>
  <si>
    <r>
      <rPr>
        <b/>
        <sz val="10"/>
        <color theme="1"/>
        <rFont val="Arial"/>
        <family val="2"/>
      </rPr>
      <t xml:space="preserve">118/ </t>
    </r>
    <r>
      <rPr>
        <sz val="10"/>
        <color theme="1"/>
        <rFont val="Arial"/>
        <family val="2"/>
      </rPr>
      <t xml:space="preserve"> El prestamo comprende dos tramos. El tramo I hasta por Euros 30 000 000 y el Tramo II hasta por Euros 24 000 000.</t>
    </r>
  </si>
  <si>
    <r>
      <rPr>
        <b/>
        <sz val="10"/>
        <color theme="1"/>
        <rFont val="Arial"/>
        <family val="2"/>
      </rPr>
      <t>119</t>
    </r>
    <r>
      <rPr>
        <sz val="10"/>
        <color theme="1"/>
        <rFont val="Arial"/>
        <family val="2"/>
      </rPr>
      <t>/  Devenga una tasa de interés fija anual a ser determinadas por el KfW en la fecha de la firma del contrato de préstamo, de acuerdo a sus políticas sobre tasas de interés.</t>
    </r>
  </si>
  <si>
    <r>
      <rPr>
        <b/>
        <sz val="10"/>
        <color theme="1"/>
        <rFont val="Arial"/>
        <family val="2"/>
      </rPr>
      <t>120</t>
    </r>
    <r>
      <rPr>
        <sz val="10"/>
        <color theme="1"/>
        <rFont val="Arial"/>
        <family val="2"/>
      </rPr>
      <t>/  La cancelación de la citada operación de endeudamiento externo es mediante siete (07) cuotas semestrales y consecutivas en los siguientes porcentajes del monto del préstamo y fechas: 8% el 15 de noviembre de 2024, 17% el 15 de mayo de 2025, 18% el 15 de noviembre de 2025, 8% el 15 de mayo de 2026,</t>
    </r>
  </si>
  <si>
    <r>
      <rPr>
        <b/>
        <sz val="10"/>
        <color theme="1"/>
        <rFont val="Arial"/>
        <family val="2"/>
      </rPr>
      <t>121</t>
    </r>
    <r>
      <rPr>
        <sz val="10"/>
        <color theme="1"/>
        <rFont val="Arial"/>
        <family val="2"/>
      </rPr>
      <t xml:space="preserve">/  La amortización es de 18 cuotas semestrales, consecutivas y en lo posible iguales, venciendo la primera cuota el 15 de setiembre de 2027 y última el 15 de marzo de 2036. </t>
    </r>
  </si>
  <si>
    <r>
      <rPr>
        <b/>
        <sz val="10"/>
        <color theme="1"/>
        <rFont val="Arial"/>
        <family val="2"/>
      </rPr>
      <t>122</t>
    </r>
    <r>
      <rPr>
        <sz val="10"/>
        <color theme="1"/>
        <rFont val="Arial"/>
        <family val="2"/>
      </rPr>
      <t>/  La cancelación de la citada operación de endeudamiento externo es mediante cuotas semestrales, consecutivas y en lo posible iguales, empezando el primer pago el día 15 de septiembre de 2027 y el último pago el día 15 de septiembre de 2041.</t>
    </r>
  </si>
  <si>
    <r>
      <rPr>
        <b/>
        <sz val="10"/>
        <color rgb="FFC00000"/>
        <rFont val="Arial"/>
        <family val="2"/>
      </rPr>
      <t>123</t>
    </r>
    <r>
      <rPr>
        <b/>
        <sz val="10"/>
        <color rgb="FFFF0000"/>
        <rFont val="Arial"/>
        <family val="2"/>
      </rPr>
      <t>/</t>
    </r>
    <r>
      <rPr>
        <b/>
        <sz val="10"/>
        <rFont val="Arial"/>
        <family val="2"/>
      </rPr>
      <t xml:space="preserve"> </t>
    </r>
    <r>
      <rPr>
        <sz val="10"/>
        <rFont val="Arial"/>
        <family val="2"/>
      </rPr>
      <t>La cancelación de la citada operación de endeudamiento externo es mediante trece (13) cuotas semestrales y consecutivas, en los siguientes porcentajes del monto de préstamo y fechas: 8% del 15 de febrero 2025 hasta el 15 de agosto de 2030 correspondiente a las primeras doce (12) cuotas, y 4% el 15 de febrero 2031 referida a la última cuota. Devengan una tasa de interés basada en la tasa LIBOR a seis (06) meses, más un margen variable a ser determinado por el BIRF de acuerdo con su política sobre tasa de interés.</t>
    </r>
  </si>
  <si>
    <t>D.S. Nº 114-2015-EF</t>
  </si>
  <si>
    <t>D.S. Nº 398-2015-EF</t>
  </si>
  <si>
    <t>Programa de Gestión de Resultados para la Inclusión Social II</t>
  </si>
  <si>
    <t>Programa de Modernización de la Gestión para la Cobertura Universal de Salud</t>
  </si>
  <si>
    <t>Programa "Consolidación y Diversificación del Producto Turístico Cusco-Valle Sagrado de Los Incas, entre las Provincias del Cusco, Calca y Urubamba"</t>
  </si>
  <si>
    <t xml:space="preserve">D.S. Nº 190-2021-EF </t>
  </si>
  <si>
    <t xml:space="preserve">D.S. Nº 191-2021-EF </t>
  </si>
  <si>
    <r>
      <t xml:space="preserve">D. S. N° 339-2021-EF   </t>
    </r>
    <r>
      <rPr>
        <b/>
        <sz val="10"/>
        <color theme="1"/>
        <rFont val="Arial"/>
        <family val="2"/>
      </rPr>
      <t xml:space="preserve"> </t>
    </r>
  </si>
  <si>
    <r>
      <t xml:space="preserve">D. S. N° 377-2021-EF   </t>
    </r>
    <r>
      <rPr>
        <b/>
        <sz val="10"/>
        <color theme="1"/>
        <rFont val="Arial"/>
        <family val="2"/>
      </rPr>
      <t xml:space="preserve"> </t>
    </r>
  </si>
  <si>
    <t xml:space="preserve">D.S. Nº 376-2021-EF </t>
  </si>
  <si>
    <t xml:space="preserve">D.S. Nº 280-2021-EF </t>
  </si>
  <si>
    <r>
      <t xml:space="preserve">D. S. N° 058-2021-EF </t>
    </r>
    <r>
      <rPr>
        <b/>
        <sz val="10"/>
        <rFont val="Arial"/>
        <family val="2"/>
      </rPr>
      <t>(DL 1437)</t>
    </r>
    <r>
      <rPr>
        <sz val="10"/>
        <rFont val="Arial"/>
        <family val="2"/>
      </rPr>
      <t xml:space="preserve">  </t>
    </r>
    <r>
      <rPr>
        <b/>
        <sz val="10"/>
        <rFont val="Arial"/>
        <family val="2"/>
      </rPr>
      <t xml:space="preserve"> </t>
    </r>
  </si>
  <si>
    <r>
      <t xml:space="preserve">D. S. N° 114-2021-EF  </t>
    </r>
    <r>
      <rPr>
        <b/>
        <sz val="10"/>
        <rFont val="Arial"/>
        <family val="2"/>
      </rPr>
      <t>(DL 1437)</t>
    </r>
  </si>
  <si>
    <r>
      <t xml:space="preserve">D. S. N° 121-2021-EF </t>
    </r>
    <r>
      <rPr>
        <b/>
        <sz val="10"/>
        <rFont val="Arial"/>
        <family val="2"/>
      </rPr>
      <t>(DU 031-2021)</t>
    </r>
    <r>
      <rPr>
        <sz val="10"/>
        <rFont val="Arial"/>
        <family val="2"/>
      </rPr>
      <t xml:space="preserve">  </t>
    </r>
    <r>
      <rPr>
        <b/>
        <sz val="10"/>
        <rFont val="Arial"/>
        <family val="2"/>
      </rPr>
      <t xml:space="preserve"> </t>
    </r>
  </si>
  <si>
    <r>
      <t xml:space="preserve">D. S. N° 142-2021-EF </t>
    </r>
    <r>
      <rPr>
        <b/>
        <sz val="10"/>
        <color theme="1"/>
        <rFont val="Arial"/>
        <family val="2"/>
      </rPr>
      <t>(DL 1437)</t>
    </r>
    <r>
      <rPr>
        <sz val="10"/>
        <color theme="1"/>
        <rFont val="Arial"/>
        <family val="2"/>
      </rPr>
      <t xml:space="preserve">   </t>
    </r>
    <r>
      <rPr>
        <b/>
        <sz val="10"/>
        <color theme="1"/>
        <rFont val="Arial"/>
        <family val="2"/>
      </rPr>
      <t xml:space="preserve"> </t>
    </r>
  </si>
  <si>
    <r>
      <t xml:space="preserve">D. S. N° 166-2021-EF </t>
    </r>
    <r>
      <rPr>
        <b/>
        <sz val="10"/>
        <rFont val="Arial"/>
        <family val="2"/>
      </rPr>
      <t>(DU 031-2021)</t>
    </r>
    <r>
      <rPr>
        <sz val="10"/>
        <rFont val="Arial"/>
        <family val="2"/>
      </rPr>
      <t xml:space="preserve">     </t>
    </r>
    <r>
      <rPr>
        <b/>
        <sz val="10"/>
        <rFont val="Arial"/>
        <family val="2"/>
      </rPr>
      <t xml:space="preserve"> </t>
    </r>
  </si>
  <si>
    <r>
      <t xml:space="preserve">D. S. N° 338-2021-EF </t>
    </r>
    <r>
      <rPr>
        <b/>
        <sz val="10"/>
        <rFont val="Arial"/>
        <family val="2"/>
      </rPr>
      <t xml:space="preserve"> (DU 031-2021) </t>
    </r>
    <r>
      <rPr>
        <sz val="10"/>
        <rFont val="Arial"/>
        <family val="2"/>
      </rPr>
      <t xml:space="preserve"> </t>
    </r>
    <r>
      <rPr>
        <b/>
        <sz val="10"/>
        <rFont val="Arial"/>
        <family val="2"/>
      </rPr>
      <t xml:space="preserve"> </t>
    </r>
  </si>
  <si>
    <r>
      <t xml:space="preserve">D. S. N° 337-2021-EF </t>
    </r>
    <r>
      <rPr>
        <b/>
        <sz val="10"/>
        <color theme="1"/>
        <rFont val="Arial"/>
        <family val="2"/>
      </rPr>
      <t xml:space="preserve">(DL 1437)      </t>
    </r>
  </si>
  <si>
    <t>D.S. Nª 019-2022-EF</t>
  </si>
  <si>
    <t>D.S. Nª 023-2022-EF</t>
  </si>
  <si>
    <t>D.S. Nª 050-2022-EF</t>
  </si>
  <si>
    <t>D.S. Nª 054-2022-EF</t>
  </si>
  <si>
    <t>D.S. Nª 111-2022-EF</t>
  </si>
  <si>
    <t>D.S. Nª 280-2022-EF</t>
  </si>
  <si>
    <t>D.S. Nª 281-2022-EF</t>
  </si>
  <si>
    <t>D.S. Nª 282-2022-EF</t>
  </si>
  <si>
    <t>D.S. Nª 300-2022-EF</t>
  </si>
  <si>
    <t>D.S. Nª 205-2022-EF</t>
  </si>
  <si>
    <t>D.S. Nª 279-2022-EF</t>
  </si>
  <si>
    <t>D.S. Nª 102-2022-EF</t>
  </si>
  <si>
    <t>D.S. Nª 225-2022-EF</t>
  </si>
  <si>
    <t>D.S. Nª 322-2022-EF</t>
  </si>
  <si>
    <t>Apruébase la operación de endeudamiento externo, destinada a financiar parcialmente el "Programa de Innovación, Modernización Tecnologica y Emprendimiento”.</t>
  </si>
  <si>
    <t>Apruébase la operación de endeudamiento externo, destinada a financiar parcialmente el "Proyecto de inversion Mejoramiento de la Adminstración Financiera del Sector Público (AFSP) a traves de la transformacion digital”.</t>
  </si>
  <si>
    <t>Apruébase la operación de endeudamiento externo, para financiar parcialmente el Proyecto de Inversión "Mejoramiento y Ampliación de los Servicios Brindados por el Sistema Nacional de Vigilancia en Salud Pública 25 departamentos"</t>
  </si>
  <si>
    <t>Apruébase la operación de endeudamiento externo, para financiar parcialmente el Programa Plan de Inversiones de Transmisión (PIT) Recuperación Economica COVID-19 en Perú</t>
  </si>
  <si>
    <t>Apruébase la operación de endeudamiento externo, destinada a financiar el "Programa para implusar el Financiamiento Sostenible en la Amazonia Peruana - Oportunidad para apalancar los bionegocios (Programa para Bionegocios)”.</t>
  </si>
  <si>
    <t>Apruébase la operación de endeudamiento externo, denominada Programa “Cumplir con los estándares de la OCDE: Gobernabilidad con Integridad I”</t>
  </si>
  <si>
    <t>Apruébese el préstamo contingente bajo la modalidad de Préstamo en Apoyo de Reformas de Política con Opción de Retiro Diferido, denominado “Programa de Reformas en Apoyo a la Reactivación Económica y a la Competitividad”.</t>
  </si>
  <si>
    <t>Apruébese el préstamo contingente denominado “Préstamo Contingente de Apoyo para Atender los Efectos Generados por el Covid-19 en el Perú”.</t>
  </si>
  <si>
    <t>Apruébase la operación de endeudamiento externo, denominada “Programa de Fortalecimiento de las bases para el préstamo para políticas de desarrollo de recuperación posterior a COVID-19”.</t>
  </si>
  <si>
    <t>Apruébese el préstamo contingente en apoyo de reformas de política con opción de retiro diferido,  denominado “Programa para Mejorar las Políticas Sociales que Protegen a la Población Vulnerable en el Perú”.</t>
  </si>
  <si>
    <t>Apruébase la operación de endeudamiento externo, denominada “Programa de Desarrollo del Capital Humano II”.</t>
  </si>
  <si>
    <t>Apruébase la operación de endeudamiento externo, denominada “Programa de Apoyo al Gobierno Peruano en el Marco de la Emergencia Sanitaria”.</t>
  </si>
  <si>
    <t>Apruébese el préstamo contingente en apoyo de reformas de política con opción de retiro diferido,  denominado “Programa para Apoyo a la Recuperación Fiscal y Economica del Perú”.</t>
  </si>
  <si>
    <t>Destinado a financiar parcialmente el Programa de Inversión “Mejoramiento y ampliación del servicio de limpieza pública en las provincias de Arequipa, Coronel Portillo y Tacna”.</t>
  </si>
  <si>
    <t>Destinada a financiar parcialmente el proyecto de inversión “Mejoramiento y Ampliación del Servicio de Drenaje Pluvial de la ciudad de Puerto Maldonado y C.P. Mayor El Triunfo - Madre de Dios”</t>
  </si>
  <si>
    <t>Destinada a financiar parcialmente la Etapa 1 - Frente 2 del Proyecto de Inversión “Ampliación y Mejoramiento de los Sistemas de Agua Potable y Alcantarillado de los Sectores 311 - 313 - 330 - 310 - 312 - 314 - 300 - 307 - 319 - 324 y 301 - Nueva Rinconada - Distritos de SJM, VMT y VS”</t>
  </si>
  <si>
    <t>Destinado para financiar parcialmente el Proyecto “Mejoramiento y Ampliación de los servicios de CTI para fortalecer el Sistema Nacional de Ciencia, Tecnología e Innovación”</t>
  </si>
  <si>
    <t>Financiar parcialmente el Programa “Recuperación de Áreas Degradadas por Residuos Sólidos en Zonas Prioritarias”.</t>
  </si>
  <si>
    <t>Financiar parcialmente el PI “Mejoramiento del servicio de Transporte Urbano de Pasajeros a través de un corredor troncal Norte – Sur y Rutas Alimentadoras, en 5 distritos de la Provincia de Trujillo, Departamento de
La Libertad”.</t>
  </si>
  <si>
    <t>Financiar parcialmente el PI “Mejoramiento y Ampliación del Servicio de
Alcantarillado y Tratamiento de Aguas Residuales en los Distritos de Nuevo Chimbote y Chimbote de la Provincia de Santa - Departamento de Áncash”.</t>
  </si>
  <si>
    <t>Destinada a financiar parcialmente el Programa de Inversión “Programa Integral de Agua y Saneamiento Rural Segunda Fase - PIASAR II”.</t>
  </si>
  <si>
    <t>Destinada a financiar el Programa de Financiamiento de Mujeres Emprendedoras en el Perú.</t>
  </si>
  <si>
    <t>Programa de Apoyo Presupuestal Habilitando un Desarrollo Verde y Resiliente</t>
  </si>
  <si>
    <t>Programa “Cumplir con los estándares de la OCDE: Gobernabilidad con Integridad, Fase II y Fase III”</t>
  </si>
  <si>
    <t>Destinada a atender el gasto a la adquisición de vacunas contra la COVID-19, en el marco de lo dispuesto en el numeral 2.1 del artículo 2 del DU Nº 031-2021.</t>
  </si>
  <si>
    <t>Prestamo Sectorial Contingente, de libre disponibilidad para el apoyo y el fortalecimiento sectorial de los sistemas sanitarios en el marco de la pandemia en Perú</t>
  </si>
  <si>
    <t>Préstamo contingente en apoyo de reformas de política con opción de retiro diferido, denominado “Programa de Mejoramiento de la Productividad y Competitividad II”.</t>
  </si>
  <si>
    <t>Energia</t>
  </si>
  <si>
    <t>CONCYTEC</t>
  </si>
  <si>
    <t>PRODUCE - PROINNOVATE</t>
  </si>
  <si>
    <t>MEF - OGIP</t>
  </si>
  <si>
    <t>INS</t>
  </si>
  <si>
    <t>MINEM</t>
  </si>
  <si>
    <t>MINAM, pero quien lo ejecute es COFIDE</t>
  </si>
  <si>
    <t>DGTP - MEF</t>
  </si>
  <si>
    <t>MVCS - PNSU</t>
  </si>
  <si>
    <t>PROCIENCIA</t>
  </si>
  <si>
    <t>MINAM - GICA</t>
  </si>
  <si>
    <t>MTC- PROMOVILIDAD</t>
  </si>
  <si>
    <t>MEF - DGTP</t>
  </si>
  <si>
    <t>127/</t>
  </si>
  <si>
    <t>128/</t>
  </si>
  <si>
    <t>129/</t>
  </si>
  <si>
    <t>130/</t>
  </si>
  <si>
    <t>131/</t>
  </si>
  <si>
    <t>132/</t>
  </si>
  <si>
    <t>133/</t>
  </si>
  <si>
    <t>134/</t>
  </si>
  <si>
    <t>5 1/2 años</t>
  </si>
  <si>
    <t>135/</t>
  </si>
  <si>
    <t>Tasa Fija</t>
  </si>
  <si>
    <t>136/</t>
  </si>
  <si>
    <t>137/</t>
  </si>
  <si>
    <t>Libor 6M+ 1.75% anual</t>
  </si>
  <si>
    <t xml:space="preserve">12 años </t>
  </si>
  <si>
    <t>138/</t>
  </si>
  <si>
    <t>139/</t>
  </si>
  <si>
    <t>Libor 6M+ Margen KfW</t>
  </si>
  <si>
    <t>LIBOR a 6 meses + margen KfW</t>
  </si>
  <si>
    <t>140/</t>
  </si>
  <si>
    <t>LIBOR a 3 meses + margen BID</t>
  </si>
  <si>
    <t>6 1/2 años</t>
  </si>
  <si>
    <t>141/</t>
  </si>
  <si>
    <t>SOFR a plazo + margen 1.95% anual</t>
  </si>
  <si>
    <t>142/</t>
  </si>
  <si>
    <t>LIBOR a 6 meses + margen variable BIRF</t>
  </si>
  <si>
    <t>143/</t>
  </si>
  <si>
    <t>LIBOR a 6 meses + margen variable JICA</t>
  </si>
  <si>
    <t>145/</t>
  </si>
  <si>
    <t>EUROIBOR a 6 meses + margen KfW</t>
  </si>
  <si>
    <t>SOFR + margen BID</t>
  </si>
  <si>
    <t xml:space="preserve"> -</t>
  </si>
  <si>
    <t>SOFR + margen BIRF</t>
  </si>
  <si>
    <t>146/</t>
  </si>
  <si>
    <t xml:space="preserve"> - </t>
  </si>
  <si>
    <t>SOFR en US$ + margen variable BIRF</t>
  </si>
  <si>
    <t>144/</t>
  </si>
  <si>
    <t>SOFR + margen 1.75% anual</t>
  </si>
  <si>
    <t>Produccion</t>
  </si>
  <si>
    <t>124/</t>
  </si>
  <si>
    <t>126/</t>
  </si>
  <si>
    <t>125/</t>
  </si>
  <si>
    <t>124/ La cancelación de la citada operación de endeudamiento externo es mediante cuotas semestrales, empezando el primer pago el día 15 de diciembre de 2027 y el último pago el día 15 de diciembre de 2035.</t>
  </si>
  <si>
    <t>125/ La cancelación de la citada operación de endeudamiento externo es mediante cuotas semestrales, empezando el primer pago el día 15 de enero de 2029 y el último pago el día 15 de julio de 2038</t>
  </si>
  <si>
    <t>126/ La cancelación de la citada operación de endeudamiento externo es mediante quince (15) cuotas semestrales y consecutivas, en los siguientes porcentajes del monto del préstamo y fechas: 6,67% del 15.12.25 hasta el 15.06.32 correspondiente a las primeras catorce (14) cuotas, y 6,62% el 15.12.32 correspondiente a la última cuota.</t>
  </si>
  <si>
    <t xml:space="preserve">127/ La cancelación de la citada operación de endeudamiento externo es mediante diez (10) cuotas semestrales y consecutivas, en los siguientes porcentajes del monto del préstamo y fechas: 9,09% del 15.02.2027 hasta el 15.08.2031 y una última cuota de 9,10% el 15.02.2032. </t>
  </si>
  <si>
    <t>128/ La cancelación de la citada operación de endeudamiento externo es mediante cuotas semestrales consecutivas y en lo posible iguales, realizándose el primer pago el 15.10.27 y el último pago el 15.10.31.</t>
  </si>
  <si>
    <t>129/ La cancelación de la citada operación de endeudamiento externo es en 6 años a partir de la fecha de suscripción del contrato de préstamo, mediante cuotas semestrales consecutivas y en lo posible iguales, venciendo la primera cuota de amortización el 15 de mayo de 2022, de acuerdo con la política del KfW sobre plazos de cancelación de sus operaciones.</t>
  </si>
  <si>
    <t xml:space="preserve">130/  En cada solicitud de desembolso, se determinará el cronograma de amortización que no excederá de 20 (veinte) años a partir de la fecha de suscripción del contrato de préstamo, pudiendo ser modificado de acuerdo con las políticas del BID. </t>
  </si>
  <si>
    <t>131/  La cancelación de la citada operación de endeudamiento externo es mediante 17 cuotas semestrales y consecutivas, en los siguientes porcentajes del monto de préstamo y fechas: 5,88% del 15 de marzo 2025 hasta el 15 de setiembre de 2032 correspondiente
a las primeras dieciséis (16) cuotas, y 5,92% el 15 de marzo 2033 referida a la última cuota.</t>
  </si>
  <si>
    <t>132/ La cancelación de la citada operación de endeudamiento externo es mediante 18 cuotas semestrales y consecutivas, en los siguientes porcentajes del monto de préstamo y fechas: 5,6% del 15 de diciembre de 2024 hasta el 15 de diciembre de 2032 correspondiente a las primeras 17 cuotas, y 4,8% el 15 de junio de 2033 referida a la última cuota.</t>
  </si>
  <si>
    <t>133/ La cancelación de la citada operación de endeudamiento externo es mediante 21 cuotas semestrales, consecutivas y en lo posible iguales.</t>
  </si>
  <si>
    <t>134/ La cancelación de la citada operación de endeudamiento externo es mediante cuotas semestrales de acuerdo a las siguientes fechas y porcentajes: el 15.08.2028 y el 15.02.2029: 8,11%; del 15.08.2029 al 15.02.2031: 6,76%; del 15.08.2033 al 15.02.2036: 8,11% y el 15.08.2036: 8,08%.</t>
  </si>
  <si>
    <t xml:space="preserve">135/ La cancelación de la citada operación de endeudamiento externo con la CAF, está prevista en
once (11) años, mediante cuotas semestrales, consecutivas y en lo posible iguales. </t>
  </si>
  <si>
    <t xml:space="preserve">136/ La cancelación de la citada operación de endeudamiento externo es mediante quince (15) cuotas
semestrales y consecutivas, en los siguientes porcentajes del monto del préstamo y fechas: 6,67% del 15 de junio de 2027 hasta el 15 de diciembre de 2033 y una última cuota de 6,62% correspondiente al 15 de junio de 2034. </t>
  </si>
  <si>
    <t xml:space="preserve">137/ La cancelación de la citada operación de endeudamiento externo es mediante 19 cuotas semestrales y consecutivas, en los siguientes porcentajes del monto de préstamo y fechas: 10% el 15 de junio de 2027 correspondiente a la primera cuota y 5% del 15 de diciembre de 2027 hasta el 15 de junio de 2036 correspondientes a las siguientes 18 cuotas. </t>
  </si>
  <si>
    <t>138/ La cancelación de la citada operación de endeudamiento externo es mediante cuotas semestrales consecutivas, las mismas que empezarán a vencer el 10 de abril de 2029 por la suma de US$
1 216 440, seguida por cuotas que vencerán el 10 de abril y el 10 de octubre de cada año, por la suma de US$ 1 216 210, hasta el 10 de
abril de 2047.</t>
  </si>
  <si>
    <t xml:space="preserve">139/ La cancelación de la citada operación de endeudamiento externo es mediante 19 cuotas semestrales y consecutivas, en los siguientes porcentajes del monto de préstamo y fechas: 5,26% del 15.06.2027 al 15.12.2035 correspondiente a las primeras 18 cuotas y 5,32% el 15.06.2036 correspondiente a la última cuota. </t>
  </si>
  <si>
    <t>140/ La cancelación del citado préstamo contingente con la CAF es en 09 años, mediante el pago de 07 cuotas semestrales y consecutivas, venciendo la primera cuota a los 72 meses contados a partir de la fecha de suscripción del contrato de préstamo. Durante los primeros ocho (08) años contados a partir de la Fecha de Entrada en Vigencia del contrato, la CAF financiará con carácter no reembolsable, en ochenta y cinco (85) puntos básicos de la Tasa de Interés. Dicho financiamiento se realizará con cargo al Fondo de Financiamiento Compensatorio de la CAF</t>
  </si>
  <si>
    <t>141/ La cancelación de la citada operación de endeudamiento externo es mediante veinte (20) cuotas semestrales consecutivas y en lo posible iguales, venciendo la primera cuota de amortización el 15 de mayo de 2028 y finalizando el 15 de noviembre de 2037, de acuerdo con la política del KfW sobre plazos de cancelación de sus operaciones.</t>
  </si>
  <si>
    <t xml:space="preserve">142/ La cancelación de la citada operación de endeudamiento externo con el KfW, está previsto en quince (15) años contados a partir de la fecha de
suscripción del Contrato de Préstamo, mediante cuotas semestrales, consecutivas y en lo posible iguales. </t>
  </si>
  <si>
    <t xml:space="preserve">143/ El plazo de cancelación de la citada operación de endeudamiento externo es de quince (15) años y medio contados a partir de la fecha de suscripción del Contrato de Préstamo, mediante cuotas semestrales
y consecutivas y en lo posible iguales.
</t>
  </si>
  <si>
    <t>144/ El plazo de cancelación de la citada operación de endeudamiento externo es de quince (15) años contados a partir de la fecha de suscripción del Contrato de Préstamo, mediante cuotas semestrales, consecutivas y en lo posible iguales.</t>
  </si>
  <si>
    <t xml:space="preserve">145/ La cancelación de la citada operación de endeudamiento externo es mediante cuotas semestrales, consecutivas y en lo posible iguales, empezando el primer pago el día 15 de febrero de 2029 y el último pago el día 15 de febrero de 2047. </t>
  </si>
  <si>
    <t xml:space="preserve">146/  El préstamo contingente puede ser utilizado en un plazo de tres (03) años, contados a partir de la fecha de entrada en vigencia del respectivo contrato de préstamo, renovable por tres (03) años adicionales. En cada solicitud de desembolso durante el periodo mencionado, se determina el cronograma de amortización que no excede el plazo de veinte (20) años, contados a partir de la fecha
de suscripción del contrato de préstamo correspondiente, pudiendo ser modificado de acuerdo con las políticas del BID. </t>
  </si>
  <si>
    <t>CONCERTACIONES DE DEUDA PUBLICA EXTERNA   - 1990  - 2022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</si>
</sst>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00_);_(* \(#,##0.00\);_(* &quot;-&quot;??_);_(@_)"/>
    <numFmt numFmtId="165" formatCode="#,##0.0"/>
    <numFmt numFmtId="166" formatCode="d\-mmm\-yyyy"/>
    <numFmt numFmtId="167" formatCode="_ * #,##0_ ;_ * \-#,##0_ ;_ * &quot;-&quot;??_ ;_ @_ "/>
    <numFmt numFmtId="168" formatCode="0.000%"/>
    <numFmt numFmtId="169" formatCode="0.0%"/>
    <numFmt numFmtId="170" formatCode="[$-C0A]d\-mmm\-yyyy;@"/>
  </numFmts>
  <fonts count="38" x14ac:knownFonts="1">
    <font>
      <sz val="10"/>
      <name val="Arial"/>
    </font>
    <font>
      <sz val="10"/>
      <name val="Arial"/>
      <family val="2"/>
    </font>
    <font>
      <b/>
      <sz val="10"/>
      <name val="Arial"/>
      <family val="2"/>
    </font>
    <font>
      <b/>
      <u/>
      <sz val="10"/>
      <name val="Arial"/>
      <family val="2"/>
    </font>
    <font>
      <sz val="10"/>
      <color indexed="12"/>
      <name val="Arial"/>
      <family val="2"/>
    </font>
    <font>
      <b/>
      <u/>
      <sz val="10"/>
      <color indexed="12"/>
      <name val="Arial"/>
      <family val="2"/>
    </font>
    <font>
      <b/>
      <sz val="10"/>
      <color indexed="12"/>
      <name val="Arial"/>
      <family val="2"/>
    </font>
    <font>
      <sz val="10"/>
      <color indexed="10"/>
      <name val="Arial"/>
      <family val="2"/>
    </font>
    <font>
      <b/>
      <sz val="10"/>
      <color indexed="10"/>
      <name val="Arial"/>
      <family val="2"/>
    </font>
    <font>
      <b/>
      <sz val="10"/>
      <color indexed="20"/>
      <name val="Arial"/>
      <family val="2"/>
    </font>
    <font>
      <sz val="10"/>
      <color indexed="8"/>
      <name val="Arial"/>
      <family val="2"/>
    </font>
    <font>
      <b/>
      <u/>
      <sz val="14"/>
      <color indexed="12"/>
      <name val="Arial"/>
      <family val="2"/>
    </font>
    <font>
      <b/>
      <sz val="9"/>
      <name val="Arial"/>
      <family val="2"/>
    </font>
    <font>
      <sz val="10"/>
      <name val="Helv"/>
    </font>
    <font>
      <sz val="10"/>
      <name val="Times New Roman"/>
      <family val="1"/>
    </font>
    <font>
      <u/>
      <sz val="10"/>
      <name val="Arial"/>
      <family val="2"/>
    </font>
    <font>
      <b/>
      <sz val="14"/>
      <color indexed="12"/>
      <name val="Arial"/>
      <family val="2"/>
    </font>
    <font>
      <sz val="14"/>
      <name val="Arial"/>
      <family val="2"/>
    </font>
    <font>
      <sz val="14"/>
      <name val="Times New Roman"/>
      <family val="1"/>
    </font>
    <font>
      <sz val="9"/>
      <name val="Arial"/>
      <family val="2"/>
    </font>
    <font>
      <b/>
      <sz val="9"/>
      <color indexed="10"/>
      <name val="Arial"/>
      <family val="2"/>
    </font>
    <font>
      <b/>
      <sz val="10"/>
      <color rgb="FFFF0000"/>
      <name val="Arial"/>
      <family val="2"/>
    </font>
    <font>
      <sz val="10"/>
      <color rgb="FFFF0000"/>
      <name val="Arial"/>
      <family val="2"/>
    </font>
    <font>
      <b/>
      <sz val="9"/>
      <color rgb="FFFF0000"/>
      <name val="Arial"/>
      <family val="2"/>
    </font>
    <font>
      <sz val="10"/>
      <color theme="1"/>
      <name val="Arial"/>
      <family val="2"/>
    </font>
    <font>
      <b/>
      <u/>
      <sz val="12"/>
      <color indexed="12"/>
      <name val="Arial"/>
      <family val="2"/>
    </font>
    <font>
      <sz val="9"/>
      <color theme="1"/>
      <name val="Arial"/>
      <family val="2"/>
    </font>
    <font>
      <b/>
      <sz val="9"/>
      <color theme="1"/>
      <name val="Arial"/>
      <family val="2"/>
    </font>
    <font>
      <b/>
      <sz val="10"/>
      <color rgb="FFC00000"/>
      <name val="Arial"/>
      <family val="2"/>
    </font>
    <font>
      <b/>
      <sz val="11"/>
      <name val="Arial"/>
      <family val="2"/>
    </font>
    <font>
      <b/>
      <sz val="10"/>
      <color theme="1"/>
      <name val="Arial"/>
      <family val="2"/>
    </font>
    <font>
      <b/>
      <sz val="12"/>
      <name val="Arial"/>
      <family val="2"/>
    </font>
    <font>
      <sz val="11"/>
      <color theme="1"/>
      <name val="Arial"/>
      <family val="2"/>
    </font>
    <font>
      <b/>
      <u/>
      <sz val="11"/>
      <color indexed="12"/>
      <name val="Arial"/>
      <family val="2"/>
    </font>
    <font>
      <sz val="11"/>
      <name val="Arial"/>
      <family val="2"/>
    </font>
    <font>
      <sz val="12"/>
      <name val="Times New Roman"/>
      <family val="1"/>
    </font>
    <font>
      <sz val="11"/>
      <color indexed="8"/>
      <name val="Calibri"/>
      <family val="2"/>
    </font>
    <font>
      <sz val="11"/>
      <color rgb="FFFF0000"/>
      <name val="Arial"/>
      <family val="2"/>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indexed="9"/>
        <bgColor indexed="64"/>
      </patternFill>
    </fill>
  </fills>
  <borders count="28">
    <border>
      <left/>
      <right/>
      <top/>
      <bottom/>
      <diagonal/>
    </border>
    <border>
      <left style="double">
        <color indexed="64"/>
      </left>
      <right style="double">
        <color indexed="64"/>
      </right>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style="double">
        <color indexed="64"/>
      </top>
      <bottom style="double">
        <color indexed="64"/>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top/>
      <bottom style="double">
        <color indexed="64"/>
      </bottom>
      <diagonal/>
    </border>
    <border>
      <left/>
      <right style="double">
        <color indexed="64"/>
      </right>
      <top/>
      <bottom style="double">
        <color indexed="64"/>
      </bottom>
      <diagonal/>
    </border>
    <border>
      <left style="double">
        <color theme="1"/>
      </left>
      <right/>
      <top/>
      <bottom/>
      <diagonal/>
    </border>
    <border>
      <left style="double">
        <color auto="1"/>
      </left>
      <right style="double">
        <color auto="1"/>
      </right>
      <top style="double">
        <color auto="1"/>
      </top>
      <bottom/>
      <diagonal/>
    </border>
    <border>
      <left/>
      <right/>
      <top style="double">
        <color indexed="64"/>
      </top>
      <bottom/>
      <diagonal/>
    </border>
    <border>
      <left style="double">
        <color auto="1"/>
      </left>
      <right/>
      <top style="double">
        <color auto="1"/>
      </top>
      <bottom/>
      <diagonal/>
    </border>
    <border>
      <left/>
      <right style="double">
        <color auto="1"/>
      </right>
      <top style="double">
        <color auto="1"/>
      </top>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5" fillId="0" borderId="0"/>
    <xf numFmtId="9" fontId="36" fillId="0" borderId="0" applyFont="0" applyFill="0" applyBorder="0" applyAlignment="0" applyProtection="0"/>
  </cellStyleXfs>
  <cellXfs count="654">
    <xf numFmtId="0" fontId="0" fillId="0" borderId="0" xfId="0"/>
    <xf numFmtId="0" fontId="2" fillId="0" borderId="0" xfId="0" applyFont="1" applyFill="1"/>
    <xf numFmtId="15" fontId="6" fillId="0" borderId="1" xfId="0" applyNumberFormat="1" applyFont="1" applyFill="1" applyBorder="1" applyAlignment="1" applyProtection="1">
      <alignment horizontal="center"/>
    </xf>
    <xf numFmtId="0" fontId="5" fillId="0" borderId="1" xfId="0" applyFont="1" applyFill="1" applyBorder="1" applyAlignment="1" applyProtection="1">
      <alignment horizontal="center"/>
    </xf>
    <xf numFmtId="10" fontId="6" fillId="0" borderId="3" xfId="0" applyNumberFormat="1" applyFont="1" applyFill="1" applyBorder="1" applyAlignment="1" applyProtection="1">
      <alignment horizontal="center"/>
    </xf>
    <xf numFmtId="0" fontId="6" fillId="0" borderId="0" xfId="0" applyFont="1" applyFill="1" applyBorder="1" applyAlignment="1" applyProtection="1">
      <alignment horizontal="center"/>
    </xf>
    <xf numFmtId="0" fontId="6" fillId="0" borderId="2" xfId="0" applyFont="1" applyFill="1" applyBorder="1" applyAlignment="1" applyProtection="1">
      <alignment horizontal="center"/>
    </xf>
    <xf numFmtId="3" fontId="6" fillId="0" borderId="0" xfId="0" applyNumberFormat="1" applyFont="1" applyFill="1" applyBorder="1" applyProtection="1"/>
    <xf numFmtId="0" fontId="6" fillId="0" borderId="0" xfId="0" applyFont="1" applyFill="1"/>
    <xf numFmtId="15" fontId="5" fillId="0" borderId="1" xfId="0" applyNumberFormat="1" applyFont="1" applyFill="1" applyBorder="1" applyAlignment="1" applyProtection="1">
      <alignment horizontal="center"/>
    </xf>
    <xf numFmtId="10" fontId="5" fillId="0" borderId="3" xfId="0" applyNumberFormat="1" applyFont="1" applyFill="1" applyBorder="1" applyAlignment="1" applyProtection="1">
      <alignment horizontal="center"/>
    </xf>
    <xf numFmtId="0" fontId="5" fillId="0" borderId="0" xfId="0" applyFont="1" applyFill="1" applyBorder="1" applyAlignment="1" applyProtection="1">
      <alignment horizontal="center"/>
    </xf>
    <xf numFmtId="0" fontId="5" fillId="0" borderId="2" xfId="0" applyFont="1" applyFill="1" applyBorder="1" applyAlignment="1" applyProtection="1">
      <alignment horizontal="center"/>
    </xf>
    <xf numFmtId="3" fontId="5" fillId="0" borderId="0" xfId="0" applyNumberFormat="1" applyFont="1" applyFill="1" applyBorder="1" applyProtection="1"/>
    <xf numFmtId="0" fontId="5" fillId="0" borderId="0" xfId="0" applyFont="1" applyFill="1"/>
    <xf numFmtId="0" fontId="4" fillId="0" borderId="3" xfId="0" applyFont="1" applyFill="1" applyBorder="1" applyAlignment="1" applyProtection="1">
      <alignment horizontal="left"/>
    </xf>
    <xf numFmtId="0" fontId="2" fillId="0" borderId="3" xfId="0" applyFont="1" applyFill="1" applyBorder="1" applyAlignment="1" applyProtection="1">
      <alignment horizontal="left"/>
    </xf>
    <xf numFmtId="0" fontId="2" fillId="0" borderId="4" xfId="0" applyFont="1" applyFill="1" applyBorder="1" applyAlignment="1" applyProtection="1">
      <alignment horizontal="left"/>
    </xf>
    <xf numFmtId="15" fontId="5" fillId="0" borderId="0" xfId="0" applyNumberFormat="1" applyFont="1" applyFill="1" applyBorder="1" applyAlignment="1" applyProtection="1">
      <alignment horizontal="center"/>
    </xf>
    <xf numFmtId="10" fontId="8" fillId="0" borderId="3" xfId="0" applyNumberFormat="1" applyFont="1" applyFill="1" applyBorder="1" applyAlignment="1" applyProtection="1">
      <alignment horizontal="center"/>
    </xf>
    <xf numFmtId="0" fontId="4" fillId="0" borderId="1" xfId="0" applyFont="1" applyFill="1" applyBorder="1" applyAlignment="1" applyProtection="1">
      <alignment horizontal="left"/>
    </xf>
    <xf numFmtId="0" fontId="2" fillId="0" borderId="1" xfId="0" applyFont="1" applyFill="1" applyBorder="1" applyAlignment="1" applyProtection="1">
      <alignment horizontal="left"/>
    </xf>
    <xf numFmtId="0" fontId="2" fillId="0" borderId="1" xfId="0" applyFont="1" applyFill="1" applyBorder="1"/>
    <xf numFmtId="3" fontId="3" fillId="0" borderId="2" xfId="0" applyNumberFormat="1" applyFont="1" applyFill="1" applyBorder="1"/>
    <xf numFmtId="0" fontId="2" fillId="0" borderId="1" xfId="0" applyFont="1" applyFill="1" applyBorder="1" applyAlignment="1">
      <alignment horizontal="left"/>
    </xf>
    <xf numFmtId="0" fontId="8" fillId="0" borderId="1" xfId="0" applyFont="1" applyFill="1" applyBorder="1"/>
    <xf numFmtId="0" fontId="8" fillId="0" borderId="0" xfId="0" applyFont="1" applyFill="1" applyBorder="1"/>
    <xf numFmtId="0" fontId="3" fillId="0" borderId="1" xfId="0" applyFont="1" applyFill="1" applyBorder="1"/>
    <xf numFmtId="0" fontId="11" fillId="0" borderId="1" xfId="0" applyFont="1" applyFill="1" applyBorder="1" applyAlignment="1">
      <alignment horizontal="center"/>
    </xf>
    <xf numFmtId="0" fontId="8" fillId="0" borderId="2" xfId="0" applyFont="1" applyFill="1" applyBorder="1" applyAlignment="1"/>
    <xf numFmtId="3" fontId="2" fillId="0" borderId="2" xfId="0" applyNumberFormat="1" applyFont="1" applyFill="1" applyBorder="1"/>
    <xf numFmtId="0" fontId="8" fillId="0" borderId="6" xfId="0" applyFont="1" applyFill="1" applyBorder="1"/>
    <xf numFmtId="0" fontId="4" fillId="0" borderId="0" xfId="0" applyFont="1" applyFill="1" applyBorder="1" applyAlignment="1">
      <alignment horizontal="left"/>
    </xf>
    <xf numFmtId="0" fontId="8" fillId="0" borderId="0" xfId="0" quotePrefix="1" applyFont="1" applyFill="1" applyBorder="1"/>
    <xf numFmtId="0" fontId="8" fillId="0" borderId="0" xfId="0" applyFont="1" applyFill="1"/>
    <xf numFmtId="0" fontId="8" fillId="0" borderId="0" xfId="0" quotePrefix="1" applyFont="1" applyFill="1" applyAlignment="1">
      <alignment horizontal="left"/>
    </xf>
    <xf numFmtId="0" fontId="8" fillId="0" borderId="0" xfId="0" quotePrefix="1" applyFont="1" applyFill="1"/>
    <xf numFmtId="9" fontId="2" fillId="0" borderId="0" xfId="2" applyFont="1" applyBorder="1" applyAlignment="1">
      <alignment horizontal="center"/>
    </xf>
    <xf numFmtId="9" fontId="2" fillId="0" borderId="2" xfId="2" applyFont="1" applyBorder="1" applyAlignment="1">
      <alignment horizontal="center"/>
    </xf>
    <xf numFmtId="9" fontId="8" fillId="0" borderId="2" xfId="2" applyFont="1" applyBorder="1" applyAlignment="1">
      <alignment horizontal="center"/>
    </xf>
    <xf numFmtId="9" fontId="8" fillId="0" borderId="0" xfId="2" applyFont="1" applyBorder="1" applyAlignment="1">
      <alignment horizontal="center"/>
    </xf>
    <xf numFmtId="10" fontId="8" fillId="0" borderId="0" xfId="0" applyNumberFormat="1" applyFont="1" applyBorder="1" applyAlignment="1">
      <alignment horizontal="center"/>
    </xf>
    <xf numFmtId="0" fontId="8" fillId="0" borderId="0" xfId="0" applyFont="1" applyBorder="1" applyAlignment="1">
      <alignment horizontal="center"/>
    </xf>
    <xf numFmtId="0" fontId="8" fillId="0" borderId="0" xfId="0" applyFont="1"/>
    <xf numFmtId="0" fontId="8" fillId="0" borderId="0" xfId="0" applyFont="1" applyBorder="1"/>
    <xf numFmtId="0" fontId="3" fillId="0" borderId="3" xfId="0" applyFont="1" applyBorder="1" applyAlignment="1"/>
    <xf numFmtId="0" fontId="1" fillId="0" borderId="3" xfId="0" applyFont="1" applyBorder="1" applyAlignment="1">
      <alignment horizontal="center"/>
    </xf>
    <xf numFmtId="9" fontId="1" fillId="0" borderId="0" xfId="2" applyFont="1" applyBorder="1" applyAlignment="1">
      <alignment horizontal="center"/>
    </xf>
    <xf numFmtId="3" fontId="1" fillId="0" borderId="2" xfId="0" applyNumberFormat="1" applyFont="1" applyBorder="1"/>
    <xf numFmtId="3" fontId="1" fillId="0" borderId="2" xfId="0" applyNumberFormat="1" applyFont="1" applyBorder="1" applyAlignment="1">
      <alignment horizontal="right" vertical="center"/>
    </xf>
    <xf numFmtId="3" fontId="3" fillId="0" borderId="2" xfId="0" applyNumberFormat="1" applyFont="1" applyBorder="1"/>
    <xf numFmtId="0" fontId="11" fillId="0" borderId="3" xfId="0" applyFont="1" applyFill="1" applyBorder="1" applyAlignment="1">
      <alignment horizontal="center"/>
    </xf>
    <xf numFmtId="0" fontId="1" fillId="0" borderId="0" xfId="0" applyFont="1"/>
    <xf numFmtId="0" fontId="8" fillId="0" borderId="7" xfId="0" applyFont="1" applyFill="1" applyBorder="1"/>
    <xf numFmtId="0" fontId="1" fillId="0" borderId="1" xfId="0" applyFont="1" applyFill="1" applyBorder="1" applyAlignment="1">
      <alignment horizontal="center"/>
    </xf>
    <xf numFmtId="0" fontId="1" fillId="0" borderId="3" xfId="0" applyFont="1" applyFill="1" applyBorder="1" applyAlignment="1">
      <alignment horizontal="center"/>
    </xf>
    <xf numFmtId="0" fontId="1" fillId="0" borderId="3" xfId="0" applyFont="1" applyFill="1" applyBorder="1" applyAlignment="1" applyProtection="1">
      <alignment horizontal="left"/>
    </xf>
    <xf numFmtId="9" fontId="21" fillId="0" borderId="0" xfId="2" applyFont="1" applyBorder="1" applyAlignment="1">
      <alignment horizontal="center"/>
    </xf>
    <xf numFmtId="9" fontId="21" fillId="0" borderId="2" xfId="2" applyFont="1" applyBorder="1" applyAlignment="1">
      <alignment horizontal="center"/>
    </xf>
    <xf numFmtId="0" fontId="7" fillId="0" borderId="0" xfId="0" applyFont="1" applyFill="1"/>
    <xf numFmtId="0" fontId="1" fillId="0" borderId="1" xfId="0" applyFont="1" applyBorder="1" applyAlignment="1">
      <alignment horizontal="center"/>
    </xf>
    <xf numFmtId="15" fontId="1" fillId="0" borderId="0" xfId="0" applyNumberFormat="1" applyFont="1" applyFill="1"/>
    <xf numFmtId="0" fontId="1" fillId="0" borderId="0" xfId="0" applyFont="1" applyFill="1"/>
    <xf numFmtId="0" fontId="1" fillId="0" borderId="0" xfId="0" applyFont="1" applyFill="1" applyAlignment="1">
      <alignment horizontal="center"/>
    </xf>
    <xf numFmtId="15" fontId="1" fillId="0" borderId="0" xfId="0" applyNumberFormat="1" applyFont="1" applyFill="1" applyAlignment="1">
      <alignment horizontal="left"/>
    </xf>
    <xf numFmtId="0" fontId="1" fillId="0" borderId="0" xfId="0" applyFont="1" applyFill="1" applyAlignment="1">
      <alignment horizontal="left"/>
    </xf>
    <xf numFmtId="0" fontId="13" fillId="0" borderId="0" xfId="0" applyFont="1" applyFill="1" applyAlignment="1">
      <alignment horizontal="centerContinuous"/>
    </xf>
    <xf numFmtId="15" fontId="13" fillId="0" borderId="0" xfId="0" applyNumberFormat="1" applyFont="1" applyFill="1" applyAlignment="1">
      <alignment horizontal="centerContinuous"/>
    </xf>
    <xf numFmtId="0" fontId="1" fillId="0" borderId="5" xfId="0" applyFont="1" applyFill="1" applyBorder="1"/>
    <xf numFmtId="15" fontId="1" fillId="0" borderId="5" xfId="0" applyNumberFormat="1" applyFont="1" applyFill="1" applyBorder="1"/>
    <xf numFmtId="0" fontId="1" fillId="0" borderId="5" xfId="0" applyFont="1" applyFill="1" applyBorder="1" applyAlignment="1">
      <alignment horizontal="center"/>
    </xf>
    <xf numFmtId="0" fontId="1" fillId="0" borderId="18" xfId="0" applyFont="1" applyFill="1" applyBorder="1"/>
    <xf numFmtId="15" fontId="1" fillId="0" borderId="7" xfId="0" applyNumberFormat="1" applyFont="1" applyFill="1" applyBorder="1" applyAlignment="1">
      <alignment horizontal="center"/>
    </xf>
    <xf numFmtId="0" fontId="1" fillId="0" borderId="7" xfId="0" applyFont="1" applyFill="1" applyBorder="1"/>
    <xf numFmtId="0" fontId="1" fillId="0" borderId="19" xfId="0" applyFont="1" applyFill="1" applyBorder="1"/>
    <xf numFmtId="0" fontId="1" fillId="0" borderId="20" xfId="0" applyFont="1" applyFill="1" applyBorder="1"/>
    <xf numFmtId="0" fontId="1" fillId="0" borderId="18" xfId="0" applyFont="1" applyFill="1" applyBorder="1" applyAlignment="1">
      <alignment horizontal="center"/>
    </xf>
    <xf numFmtId="0" fontId="1" fillId="0" borderId="19" xfId="0" applyFont="1" applyFill="1" applyBorder="1" applyAlignment="1">
      <alignment horizontal="center"/>
    </xf>
    <xf numFmtId="0" fontId="1" fillId="0" borderId="20" xfId="0" applyFont="1" applyFill="1" applyBorder="1" applyAlignment="1">
      <alignment horizontal="center"/>
    </xf>
    <xf numFmtId="0" fontId="3" fillId="0" borderId="3" xfId="0" applyFont="1" applyFill="1" applyBorder="1" applyAlignment="1" applyProtection="1"/>
    <xf numFmtId="0" fontId="3" fillId="0" borderId="2" xfId="0" applyFont="1" applyFill="1" applyBorder="1" applyAlignment="1" applyProtection="1"/>
    <xf numFmtId="15" fontId="1" fillId="0" borderId="1" xfId="0" applyNumberFormat="1" applyFont="1" applyFill="1" applyBorder="1" applyAlignment="1" applyProtection="1">
      <alignment horizontal="center"/>
    </xf>
    <xf numFmtId="0" fontId="1" fillId="0" borderId="1" xfId="0" applyFont="1" applyFill="1" applyBorder="1" applyAlignment="1" applyProtection="1">
      <alignment horizontal="left"/>
    </xf>
    <xf numFmtId="10" fontId="1" fillId="0" borderId="3" xfId="0" applyNumberFormat="1" applyFont="1" applyFill="1" applyBorder="1" applyAlignment="1" applyProtection="1">
      <alignment horizontal="center"/>
    </xf>
    <xf numFmtId="0" fontId="1" fillId="0" borderId="0" xfId="0" applyFont="1" applyFill="1" applyBorder="1"/>
    <xf numFmtId="0" fontId="1" fillId="0" borderId="0" xfId="0" applyFont="1" applyFill="1" applyBorder="1" applyAlignment="1" applyProtection="1">
      <alignment horizontal="center"/>
    </xf>
    <xf numFmtId="0" fontId="1" fillId="0" borderId="2" xfId="0" applyFont="1" applyFill="1" applyBorder="1" applyAlignment="1" applyProtection="1">
      <alignment horizontal="center"/>
    </xf>
    <xf numFmtId="3" fontId="1" fillId="0" borderId="0" xfId="0" applyNumberFormat="1" applyFont="1" applyFill="1" applyBorder="1" applyProtection="1"/>
    <xf numFmtId="3" fontId="1" fillId="0" borderId="2" xfId="0" applyNumberFormat="1" applyFont="1" applyFill="1" applyBorder="1" applyProtection="1"/>
    <xf numFmtId="3" fontId="3" fillId="0" borderId="2" xfId="0" applyNumberFormat="1" applyFont="1" applyFill="1" applyBorder="1" applyAlignment="1" applyProtection="1"/>
    <xf numFmtId="0" fontId="1" fillId="0" borderId="0" xfId="0" quotePrefix="1" applyFont="1" applyFill="1" applyBorder="1" applyAlignment="1" applyProtection="1">
      <alignment horizontal="center"/>
    </xf>
    <xf numFmtId="18" fontId="1" fillId="0" borderId="2" xfId="0" applyNumberFormat="1" applyFont="1" applyFill="1" applyBorder="1" applyAlignment="1" applyProtection="1">
      <alignment horizontal="center"/>
    </xf>
    <xf numFmtId="0" fontId="1" fillId="0" borderId="0" xfId="0" applyFont="1" applyFill="1" applyBorder="1" applyAlignment="1">
      <alignment horizontal="center"/>
    </xf>
    <xf numFmtId="0" fontId="1" fillId="0" borderId="3" xfId="0" applyFont="1" applyFill="1" applyBorder="1" applyAlignment="1" applyProtection="1">
      <alignment horizontal="center"/>
    </xf>
    <xf numFmtId="15" fontId="1" fillId="0" borderId="6" xfId="0" applyNumberFormat="1" applyFont="1" applyFill="1" applyBorder="1" applyAlignment="1" applyProtection="1">
      <alignment horizontal="center"/>
    </xf>
    <xf numFmtId="0" fontId="1" fillId="0" borderId="6" xfId="0" applyFont="1" applyFill="1" applyBorder="1" applyAlignment="1" applyProtection="1">
      <alignment horizontal="left"/>
    </xf>
    <xf numFmtId="10" fontId="1" fillId="0" borderId="4" xfId="0" applyNumberFormat="1" applyFont="1" applyFill="1" applyBorder="1" applyAlignment="1" applyProtection="1">
      <alignment horizontal="center"/>
    </xf>
    <xf numFmtId="0" fontId="1" fillId="0" borderId="21" xfId="0" applyFont="1" applyFill="1" applyBorder="1"/>
    <xf numFmtId="0" fontId="1" fillId="0" borderId="21" xfId="0" applyFont="1" applyFill="1" applyBorder="1" applyAlignment="1" applyProtection="1">
      <alignment horizontal="center"/>
    </xf>
    <xf numFmtId="0" fontId="1" fillId="0" borderId="22" xfId="0" applyFont="1" applyFill="1" applyBorder="1" applyAlignment="1" applyProtection="1">
      <alignment horizontal="center"/>
    </xf>
    <xf numFmtId="3" fontId="1" fillId="0" borderId="21" xfId="0" applyNumberFormat="1" applyFont="1" applyFill="1" applyBorder="1" applyProtection="1"/>
    <xf numFmtId="3" fontId="1" fillId="0" borderId="22" xfId="0" applyNumberFormat="1" applyFont="1" applyFill="1" applyBorder="1" applyProtection="1"/>
    <xf numFmtId="0" fontId="3" fillId="0" borderId="1" xfId="0" applyFont="1" applyFill="1" applyBorder="1" applyAlignment="1" applyProtection="1"/>
    <xf numFmtId="15" fontId="1" fillId="0" borderId="0" xfId="0" applyNumberFormat="1" applyFont="1" applyFill="1" applyBorder="1" applyAlignment="1" applyProtection="1">
      <alignment horizontal="center"/>
    </xf>
    <xf numFmtId="0" fontId="1" fillId="0" borderId="1" xfId="0" quotePrefix="1" applyFont="1" applyFill="1" applyBorder="1" applyAlignment="1">
      <alignment horizontal="center"/>
    </xf>
    <xf numFmtId="0" fontId="1" fillId="0" borderId="0" xfId="0" quotePrefix="1" applyFont="1" applyFill="1" applyBorder="1" applyAlignment="1">
      <alignment horizontal="center"/>
    </xf>
    <xf numFmtId="15" fontId="1" fillId="0" borderId="21" xfId="0" applyNumberFormat="1" applyFont="1" applyFill="1" applyBorder="1" applyAlignment="1" applyProtection="1">
      <alignment horizontal="center"/>
    </xf>
    <xf numFmtId="10" fontId="1" fillId="0" borderId="3" xfId="0" quotePrefix="1" applyNumberFormat="1" applyFont="1" applyFill="1" applyBorder="1" applyAlignment="1" applyProtection="1">
      <alignment horizontal="center"/>
    </xf>
    <xf numFmtId="10" fontId="1" fillId="0" borderId="0" xfId="0" applyNumberFormat="1" applyFont="1" applyFill="1" applyBorder="1" applyAlignment="1" applyProtection="1">
      <alignment horizontal="center"/>
    </xf>
    <xf numFmtId="0" fontId="1" fillId="0" borderId="4" xfId="0" applyFont="1" applyFill="1" applyBorder="1" applyAlignment="1" applyProtection="1">
      <alignment horizontal="left"/>
    </xf>
    <xf numFmtId="0" fontId="1" fillId="0" borderId="21" xfId="0" quotePrefix="1" applyFont="1" applyFill="1" applyBorder="1" applyAlignment="1" applyProtection="1">
      <alignment horizontal="center"/>
    </xf>
    <xf numFmtId="0" fontId="1" fillId="0" borderId="0" xfId="0" applyFont="1" applyFill="1" applyBorder="1" applyAlignment="1">
      <alignment horizontal="left"/>
    </xf>
    <xf numFmtId="0" fontId="1" fillId="0" borderId="1" xfId="0" applyFont="1" applyFill="1" applyBorder="1" applyAlignment="1" applyProtection="1"/>
    <xf numFmtId="15" fontId="1" fillId="0" borderId="1" xfId="0" applyNumberFormat="1" applyFont="1" applyFill="1" applyBorder="1" applyAlignment="1">
      <alignment horizontal="center"/>
    </xf>
    <xf numFmtId="3" fontId="1" fillId="0" borderId="0" xfId="0" applyNumberFormat="1" applyFont="1" applyFill="1"/>
    <xf numFmtId="0" fontId="1" fillId="0" borderId="1" xfId="0" applyFont="1" applyFill="1" applyBorder="1"/>
    <xf numFmtId="15" fontId="1" fillId="0" borderId="1" xfId="0" applyNumberFormat="1" applyFont="1" applyFill="1" applyBorder="1"/>
    <xf numFmtId="0" fontId="1" fillId="0" borderId="2" xfId="0" applyFont="1" applyFill="1" applyBorder="1" applyAlignment="1">
      <alignment horizontal="center"/>
    </xf>
    <xf numFmtId="3" fontId="1" fillId="0" borderId="0" xfId="0" applyNumberFormat="1" applyFont="1" applyFill="1" applyBorder="1" applyAlignment="1">
      <alignment horizontal="center"/>
    </xf>
    <xf numFmtId="3" fontId="1" fillId="0" borderId="0" xfId="0" applyNumberFormat="1" applyFont="1" applyFill="1" applyBorder="1"/>
    <xf numFmtId="3" fontId="1" fillId="0" borderId="2" xfId="0" applyNumberFormat="1" applyFont="1" applyFill="1" applyBorder="1"/>
    <xf numFmtId="0" fontId="1" fillId="0" borderId="1" xfId="0" applyFont="1" applyFill="1" applyBorder="1" applyAlignment="1"/>
    <xf numFmtId="3" fontId="1" fillId="0" borderId="2" xfId="1" applyNumberFormat="1" applyFont="1" applyFill="1" applyBorder="1"/>
    <xf numFmtId="9" fontId="1" fillId="0" borderId="3" xfId="0" applyNumberFormat="1" applyFont="1" applyFill="1" applyBorder="1" applyAlignment="1" applyProtection="1">
      <alignment horizontal="center"/>
    </xf>
    <xf numFmtId="0" fontId="1" fillId="0" borderId="1" xfId="0" applyFont="1" applyFill="1" applyBorder="1" applyAlignment="1">
      <alignment horizontal="left"/>
    </xf>
    <xf numFmtId="10" fontId="1" fillId="0" borderId="3" xfId="0" applyNumberFormat="1" applyFont="1" applyFill="1" applyBorder="1" applyAlignment="1">
      <alignment horizontal="center"/>
    </xf>
    <xf numFmtId="0" fontId="1" fillId="0" borderId="6" xfId="0" applyFont="1" applyFill="1" applyBorder="1"/>
    <xf numFmtId="15" fontId="1" fillId="0" borderId="6" xfId="0" applyNumberFormat="1" applyFont="1" applyFill="1" applyBorder="1" applyAlignment="1">
      <alignment horizontal="center"/>
    </xf>
    <xf numFmtId="0" fontId="1" fillId="0" borderId="6" xfId="0" applyFont="1" applyFill="1" applyBorder="1" applyAlignment="1"/>
    <xf numFmtId="0" fontId="1" fillId="0" borderId="6" xfId="0" applyFont="1" applyFill="1" applyBorder="1" applyAlignment="1">
      <alignment horizontal="left"/>
    </xf>
    <xf numFmtId="0" fontId="1" fillId="0" borderId="4" xfId="0" applyFont="1" applyFill="1" applyBorder="1" applyAlignment="1">
      <alignment horizontal="center"/>
    </xf>
    <xf numFmtId="0" fontId="1" fillId="0" borderId="21" xfId="0" applyFont="1" applyFill="1" applyBorder="1" applyAlignment="1">
      <alignment horizontal="center"/>
    </xf>
    <xf numFmtId="0" fontId="1" fillId="0" borderId="22" xfId="0" applyFont="1" applyFill="1" applyBorder="1" applyAlignment="1">
      <alignment horizontal="center"/>
    </xf>
    <xf numFmtId="3" fontId="1" fillId="0" borderId="0" xfId="1" applyNumberFormat="1" applyFont="1" applyFill="1" applyBorder="1"/>
    <xf numFmtId="3" fontId="1" fillId="0" borderId="21" xfId="0" applyNumberFormat="1" applyFont="1" applyFill="1" applyBorder="1"/>
    <xf numFmtId="3" fontId="1" fillId="0" borderId="22" xfId="0" applyNumberFormat="1" applyFont="1" applyFill="1" applyBorder="1"/>
    <xf numFmtId="0" fontId="3" fillId="0" borderId="1" xfId="0" applyFont="1" applyFill="1" applyBorder="1" applyAlignment="1" applyProtection="1">
      <alignment horizontal="left"/>
    </xf>
    <xf numFmtId="0" fontId="1" fillId="0" borderId="6" xfId="0" applyFont="1" applyFill="1" applyBorder="1" applyAlignment="1">
      <alignment horizontal="center"/>
    </xf>
    <xf numFmtId="10" fontId="1" fillId="0" borderId="4" xfId="0" applyNumberFormat="1" applyFont="1" applyFill="1" applyBorder="1" applyAlignment="1">
      <alignment horizontal="center"/>
    </xf>
    <xf numFmtId="165" fontId="1" fillId="0" borderId="0" xfId="0" applyNumberFormat="1" applyFont="1" applyFill="1" applyBorder="1" applyAlignment="1">
      <alignment horizontal="center"/>
    </xf>
    <xf numFmtId="10" fontId="1" fillId="0" borderId="0" xfId="0" applyNumberFormat="1" applyFont="1" applyFill="1" applyBorder="1" applyAlignment="1">
      <alignment horizontal="center"/>
    </xf>
    <xf numFmtId="167" fontId="1" fillId="0" borderId="2" xfId="1"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2" xfId="0" applyNumberFormat="1" applyFont="1" applyFill="1" applyBorder="1" applyAlignment="1">
      <alignment horizontal="right"/>
    </xf>
    <xf numFmtId="3" fontId="1" fillId="0" borderId="21" xfId="0" applyNumberFormat="1" applyFont="1" applyFill="1" applyBorder="1" applyAlignment="1">
      <alignment horizontal="right"/>
    </xf>
    <xf numFmtId="3" fontId="1" fillId="0" borderId="22" xfId="0" applyNumberFormat="1" applyFont="1" applyFill="1" applyBorder="1" applyAlignment="1">
      <alignment horizontal="right"/>
    </xf>
    <xf numFmtId="0" fontId="3" fillId="0" borderId="1" xfId="0" applyFont="1" applyFill="1" applyBorder="1" applyAlignment="1">
      <alignment horizontal="left"/>
    </xf>
    <xf numFmtId="165" fontId="1" fillId="0" borderId="3" xfId="0" applyNumberFormat="1" applyFont="1" applyFill="1" applyBorder="1" applyAlignment="1">
      <alignment horizontal="center"/>
    </xf>
    <xf numFmtId="168" fontId="1" fillId="0" borderId="3" xfId="0" applyNumberFormat="1" applyFont="1" applyFill="1" applyBorder="1" applyAlignment="1">
      <alignment horizontal="center"/>
    </xf>
    <xf numFmtId="9" fontId="1" fillId="0" borderId="3" xfId="2" applyFont="1" applyFill="1" applyBorder="1" applyAlignment="1">
      <alignment horizontal="center"/>
    </xf>
    <xf numFmtId="168" fontId="1" fillId="0" borderId="3" xfId="2" applyNumberFormat="1" applyFont="1" applyFill="1" applyBorder="1" applyAlignment="1">
      <alignment horizontal="center"/>
    </xf>
    <xf numFmtId="10" fontId="1" fillId="0" borderId="3" xfId="2" applyNumberFormat="1" applyFont="1" applyFill="1" applyBorder="1" applyAlignment="1">
      <alignment horizontal="center"/>
    </xf>
    <xf numFmtId="9" fontId="1" fillId="0" borderId="4" xfId="2" applyFont="1" applyFill="1" applyBorder="1" applyAlignment="1">
      <alignment horizontal="center"/>
    </xf>
    <xf numFmtId="3" fontId="5" fillId="0" borderId="2" xfId="0" applyNumberFormat="1" applyFont="1" applyFill="1" applyBorder="1"/>
    <xf numFmtId="3" fontId="1" fillId="0" borderId="3" xfId="0" applyNumberFormat="1" applyFont="1" applyFill="1" applyBorder="1" applyAlignment="1">
      <alignment horizontal="center"/>
    </xf>
    <xf numFmtId="3" fontId="1" fillId="0" borderId="0" xfId="2" applyNumberFormat="1" applyFont="1" applyFill="1" applyBorder="1" applyAlignment="1">
      <alignment horizontal="center"/>
    </xf>
    <xf numFmtId="0" fontId="1" fillId="0" borderId="6" xfId="0" applyFont="1" applyFill="1" applyBorder="1" applyAlignment="1" applyProtection="1"/>
    <xf numFmtId="3" fontId="1" fillId="0" borderId="21" xfId="2" applyNumberFormat="1" applyFont="1" applyFill="1" applyBorder="1" applyAlignment="1">
      <alignment horizontal="center"/>
    </xf>
    <xf numFmtId="0" fontId="1" fillId="0" borderId="7" xfId="0" applyFont="1" applyFill="1" applyBorder="1" applyAlignment="1" applyProtection="1"/>
    <xf numFmtId="15" fontId="1" fillId="0" borderId="2" xfId="0" applyNumberFormat="1" applyFont="1" applyFill="1" applyBorder="1" applyAlignment="1">
      <alignment horizontal="center"/>
    </xf>
    <xf numFmtId="0" fontId="1" fillId="0" borderId="2" xfId="0" applyFont="1" applyFill="1" applyBorder="1"/>
    <xf numFmtId="0" fontId="5" fillId="0" borderId="1" xfId="0" applyFont="1" applyFill="1" applyBorder="1" applyAlignment="1">
      <alignment horizontal="center"/>
    </xf>
    <xf numFmtId="166" fontId="1" fillId="0" borderId="2" xfId="0" applyNumberFormat="1" applyFont="1" applyFill="1" applyBorder="1" applyAlignment="1">
      <alignment horizontal="center"/>
    </xf>
    <xf numFmtId="9" fontId="1" fillId="0" borderId="0" xfId="2" applyFont="1" applyFill="1" applyBorder="1" applyAlignment="1">
      <alignment horizontal="center"/>
    </xf>
    <xf numFmtId="4" fontId="1" fillId="0" borderId="0" xfId="0" applyNumberFormat="1" applyFont="1" applyFill="1" applyBorder="1" applyAlignment="1">
      <alignment horizontal="right"/>
    </xf>
    <xf numFmtId="165" fontId="1" fillId="0" borderId="1" xfId="0" applyNumberFormat="1" applyFont="1" applyFill="1" applyBorder="1" applyAlignment="1">
      <alignment horizontal="center"/>
    </xf>
    <xf numFmtId="168" fontId="1" fillId="0" borderId="0" xfId="2" applyNumberFormat="1" applyFont="1" applyFill="1" applyBorder="1" applyAlignment="1">
      <alignment horizontal="center"/>
    </xf>
    <xf numFmtId="169" fontId="1" fillId="0" borderId="0" xfId="2" applyNumberFormat="1" applyFont="1" applyFill="1" applyBorder="1" applyAlignment="1">
      <alignment horizontal="center"/>
    </xf>
    <xf numFmtId="9" fontId="1" fillId="0" borderId="0" xfId="0" applyNumberFormat="1" applyFont="1" applyFill="1" applyBorder="1" applyAlignment="1">
      <alignment horizontal="center"/>
    </xf>
    <xf numFmtId="169" fontId="8" fillId="0" borderId="0" xfId="2" applyNumberFormat="1" applyFont="1" applyFill="1" applyBorder="1" applyAlignment="1">
      <alignment horizontal="center"/>
    </xf>
    <xf numFmtId="9" fontId="8" fillId="0" borderId="2" xfId="2" applyFont="1" applyFill="1" applyBorder="1" applyAlignment="1">
      <alignment horizontal="center"/>
    </xf>
    <xf numFmtId="166" fontId="1" fillId="0" borderId="22" xfId="0" applyNumberFormat="1" applyFont="1" applyFill="1" applyBorder="1" applyAlignment="1">
      <alignment horizontal="center"/>
    </xf>
    <xf numFmtId="9" fontId="1" fillId="0" borderId="21" xfId="2" applyFont="1" applyFill="1" applyBorder="1" applyAlignment="1">
      <alignment horizontal="center"/>
    </xf>
    <xf numFmtId="4" fontId="1" fillId="0" borderId="21" xfId="0" applyNumberFormat="1" applyFont="1" applyFill="1" applyBorder="1" applyAlignment="1">
      <alignment horizontal="right"/>
    </xf>
    <xf numFmtId="0" fontId="1" fillId="0" borderId="7" xfId="0" applyFont="1" applyFill="1" applyBorder="1" applyAlignment="1"/>
    <xf numFmtId="166" fontId="1" fillId="0" borderId="7" xfId="0" applyNumberFormat="1" applyFont="1" applyFill="1" applyBorder="1" applyAlignment="1">
      <alignment horizontal="center"/>
    </xf>
    <xf numFmtId="0" fontId="1" fillId="0" borderId="7" xfId="0" applyFont="1" applyFill="1" applyBorder="1" applyAlignment="1">
      <alignment horizontal="center"/>
    </xf>
    <xf numFmtId="166" fontId="1" fillId="0" borderId="1" xfId="0" applyNumberFormat="1" applyFont="1" applyFill="1" applyBorder="1" applyAlignment="1">
      <alignment horizontal="center"/>
    </xf>
    <xf numFmtId="9" fontId="1" fillId="0" borderId="2" xfId="2" applyFont="1" applyFill="1" applyBorder="1" applyAlignment="1">
      <alignment horizontal="center"/>
    </xf>
    <xf numFmtId="166" fontId="1" fillId="0" borderId="6" xfId="0" applyNumberFormat="1" applyFont="1" applyFill="1" applyBorder="1" applyAlignment="1">
      <alignment horizontal="center"/>
    </xf>
    <xf numFmtId="9" fontId="1" fillId="0" borderId="22" xfId="2" applyFont="1" applyFill="1" applyBorder="1" applyAlignment="1">
      <alignment horizontal="center"/>
    </xf>
    <xf numFmtId="0" fontId="1" fillId="0" borderId="0" xfId="0" applyFont="1" applyBorder="1" applyAlignment="1">
      <alignment horizontal="center"/>
    </xf>
    <xf numFmtId="4" fontId="1" fillId="0" borderId="0" xfId="0" applyNumberFormat="1" applyFont="1" applyBorder="1" applyAlignment="1">
      <alignment horizontal="right"/>
    </xf>
    <xf numFmtId="9" fontId="1" fillId="0" borderId="2" xfId="2" applyFont="1" applyBorder="1" applyAlignment="1">
      <alignment horizontal="center"/>
    </xf>
    <xf numFmtId="10" fontId="1" fillId="0" borderId="0" xfId="0" applyNumberFormat="1" applyFont="1" applyBorder="1" applyAlignment="1">
      <alignment horizontal="center"/>
    </xf>
    <xf numFmtId="0" fontId="1" fillId="0" borderId="3" xfId="0" applyFont="1" applyFill="1" applyBorder="1" applyAlignment="1">
      <alignment horizontal="left"/>
    </xf>
    <xf numFmtId="166" fontId="1" fillId="0" borderId="1" xfId="0" applyNumberFormat="1" applyFont="1" applyBorder="1" applyAlignment="1">
      <alignment horizontal="center"/>
    </xf>
    <xf numFmtId="0" fontId="1" fillId="0" borderId="3" xfId="0" applyFont="1" applyBorder="1" applyAlignment="1">
      <alignment horizontal="center" vertical="center"/>
    </xf>
    <xf numFmtId="0" fontId="14" fillId="0" borderId="0" xfId="0" applyFont="1" applyAlignment="1">
      <alignment horizontal="center" vertical="center"/>
    </xf>
    <xf numFmtId="4" fontId="1" fillId="0" borderId="2" xfId="0" applyNumberFormat="1" applyFont="1" applyBorder="1" applyAlignment="1">
      <alignment horizontal="right"/>
    </xf>
    <xf numFmtId="0" fontId="1" fillId="0" borderId="0" xfId="0" applyFont="1" applyAlignment="1">
      <alignment horizontal="center" vertical="center"/>
    </xf>
    <xf numFmtId="0" fontId="22" fillId="0" borderId="3" xfId="0" applyFont="1" applyFill="1" applyBorder="1" applyAlignment="1">
      <alignment horizontal="center"/>
    </xf>
    <xf numFmtId="0" fontId="21" fillId="0" borderId="3" xfId="0" applyFont="1" applyBorder="1" applyAlignment="1">
      <alignment horizontal="center"/>
    </xf>
    <xf numFmtId="0" fontId="1" fillId="0" borderId="3" xfId="0" applyFont="1" applyBorder="1" applyAlignment="1">
      <alignment horizontal="center" vertical="center" wrapText="1"/>
    </xf>
    <xf numFmtId="166" fontId="1" fillId="0" borderId="1" xfId="0" applyNumberFormat="1" applyFont="1" applyBorder="1" applyAlignment="1">
      <alignment horizontal="center" vertical="center"/>
    </xf>
    <xf numFmtId="0" fontId="21" fillId="0" borderId="3" xfId="0" applyFont="1" applyBorder="1" applyAlignment="1">
      <alignment horizontal="center" vertical="center"/>
    </xf>
    <xf numFmtId="9" fontId="1" fillId="0" borderId="0" xfId="2" applyFont="1" applyBorder="1" applyAlignment="1">
      <alignment horizontal="center" vertical="center"/>
    </xf>
    <xf numFmtId="9" fontId="1" fillId="0" borderId="2" xfId="2" applyFont="1" applyBorder="1" applyAlignment="1">
      <alignment horizontal="center" vertical="center"/>
    </xf>
    <xf numFmtId="0" fontId="2" fillId="0" borderId="3" xfId="0" applyFont="1" applyBorder="1" applyAlignment="1">
      <alignment horizontal="center" vertical="center"/>
    </xf>
    <xf numFmtId="0" fontId="1" fillId="0" borderId="4" xfId="0" applyFont="1" applyBorder="1" applyAlignment="1">
      <alignment horizontal="center"/>
    </xf>
    <xf numFmtId="166" fontId="1" fillId="0" borderId="6" xfId="0" applyNumberFormat="1" applyFont="1" applyBorder="1" applyAlignment="1">
      <alignment horizontal="center"/>
    </xf>
    <xf numFmtId="0" fontId="1" fillId="0" borderId="4" xfId="0" applyFont="1" applyBorder="1" applyAlignment="1">
      <alignment horizontal="center" vertical="center"/>
    </xf>
    <xf numFmtId="0" fontId="1" fillId="0" borderId="6" xfId="0" applyFont="1" applyBorder="1" applyAlignment="1">
      <alignment horizontal="center"/>
    </xf>
    <xf numFmtId="0" fontId="1" fillId="0" borderId="21" xfId="0" applyFont="1" applyBorder="1" applyAlignment="1">
      <alignment horizontal="center"/>
    </xf>
    <xf numFmtId="9" fontId="1" fillId="0" borderId="22" xfId="2" applyFont="1" applyBorder="1" applyAlignment="1">
      <alignment horizontal="center"/>
    </xf>
    <xf numFmtId="0" fontId="14" fillId="0" borderId="21" xfId="0" applyFont="1" applyBorder="1" applyAlignment="1">
      <alignment horizontal="center" vertical="center"/>
    </xf>
    <xf numFmtId="4" fontId="1" fillId="0" borderId="21" xfId="0" applyNumberFormat="1" applyFont="1" applyBorder="1" applyAlignment="1">
      <alignment horizontal="right"/>
    </xf>
    <xf numFmtId="4" fontId="1" fillId="0" borderId="22" xfId="0" applyNumberFormat="1" applyFont="1" applyBorder="1" applyAlignment="1">
      <alignment horizontal="right"/>
    </xf>
    <xf numFmtId="0" fontId="1" fillId="0" borderId="7" xfId="0" applyFont="1" applyBorder="1" applyAlignment="1">
      <alignment horizontal="center"/>
    </xf>
    <xf numFmtId="166" fontId="1" fillId="0" borderId="7" xfId="0" applyNumberFormat="1" applyFont="1" applyBorder="1" applyAlignment="1">
      <alignment horizontal="center"/>
    </xf>
    <xf numFmtId="0" fontId="1" fillId="0" borderId="7" xfId="0" applyFont="1" applyBorder="1" applyAlignment="1">
      <alignment horizontal="center" vertical="center"/>
    </xf>
    <xf numFmtId="0" fontId="1" fillId="0" borderId="18" xfId="0" applyFont="1" applyBorder="1" applyAlignment="1">
      <alignment horizontal="center"/>
    </xf>
    <xf numFmtId="0" fontId="1" fillId="0" borderId="19" xfId="0" applyFont="1" applyBorder="1" applyAlignment="1">
      <alignment horizontal="center"/>
    </xf>
    <xf numFmtId="9" fontId="1" fillId="0" borderId="20" xfId="2" applyFont="1" applyBorder="1" applyAlignment="1">
      <alignment horizontal="center"/>
    </xf>
    <xf numFmtId="0" fontId="14" fillId="0" borderId="18" xfId="0" applyFont="1" applyBorder="1" applyAlignment="1">
      <alignment horizontal="center" vertical="center"/>
    </xf>
    <xf numFmtId="4" fontId="1" fillId="0" borderId="19" xfId="0" applyNumberFormat="1" applyFont="1" applyBorder="1" applyAlignment="1">
      <alignment horizontal="right"/>
    </xf>
    <xf numFmtId="4" fontId="1" fillId="0" borderId="20" xfId="0" applyNumberFormat="1" applyFont="1" applyBorder="1" applyAlignment="1">
      <alignment horizontal="right"/>
    </xf>
    <xf numFmtId="0" fontId="1" fillId="0" borderId="1" xfId="0" applyFont="1" applyBorder="1" applyAlignment="1">
      <alignment horizontal="center" vertical="center"/>
    </xf>
    <xf numFmtId="0" fontId="14" fillId="0" borderId="3" xfId="0" applyFont="1" applyBorder="1" applyAlignment="1">
      <alignment horizontal="center" vertical="center"/>
    </xf>
    <xf numFmtId="9" fontId="1" fillId="0" borderId="3" xfId="0" applyNumberFormat="1" applyFont="1" applyBorder="1" applyAlignment="1">
      <alignment horizontal="center"/>
    </xf>
    <xf numFmtId="3" fontId="1" fillId="0" borderId="0" xfId="0" applyNumberFormat="1" applyFont="1" applyBorder="1" applyAlignment="1">
      <alignment horizontal="right"/>
    </xf>
    <xf numFmtId="0" fontId="21" fillId="0" borderId="0" xfId="0" applyFont="1" applyBorder="1" applyAlignment="1">
      <alignment horizontal="center"/>
    </xf>
    <xf numFmtId="0" fontId="21" fillId="0" borderId="2" xfId="0" applyFont="1" applyBorder="1" applyAlignment="1">
      <alignment horizontal="center"/>
    </xf>
    <xf numFmtId="0" fontId="1" fillId="0" borderId="3" xfId="0" applyFont="1" applyBorder="1" applyAlignment="1">
      <alignment horizontal="center" wrapText="1"/>
    </xf>
    <xf numFmtId="0" fontId="21" fillId="0" borderId="3" xfId="0" applyFont="1" applyBorder="1" applyAlignment="1">
      <alignment horizontal="center" wrapText="1"/>
    </xf>
    <xf numFmtId="9" fontId="21" fillId="0" borderId="2" xfId="2" applyFont="1" applyFill="1" applyBorder="1" applyAlignment="1">
      <alignment horizontal="center"/>
    </xf>
    <xf numFmtId="3" fontId="1" fillId="0" borderId="19" xfId="2" applyNumberFormat="1" applyFont="1" applyFill="1" applyBorder="1" applyAlignment="1">
      <alignment horizontal="center"/>
    </xf>
    <xf numFmtId="3" fontId="1" fillId="0" borderId="20" xfId="0" applyNumberFormat="1" applyFont="1" applyFill="1" applyBorder="1"/>
    <xf numFmtId="0" fontId="1" fillId="0" borderId="0" xfId="0" applyFont="1" applyBorder="1" applyAlignment="1">
      <alignment horizontal="center" wrapText="1"/>
    </xf>
    <xf numFmtId="3" fontId="1" fillId="0" borderId="0" xfId="2" applyNumberFormat="1" applyFont="1" applyFill="1" applyBorder="1" applyAlignment="1">
      <alignment horizontal="right"/>
    </xf>
    <xf numFmtId="3" fontId="1" fillId="0" borderId="2" xfId="0" applyNumberFormat="1" applyFont="1" applyBorder="1" applyAlignment="1">
      <alignment horizontal="right"/>
    </xf>
    <xf numFmtId="12" fontId="1" fillId="0" borderId="0" xfId="2" applyNumberFormat="1" applyFont="1" applyBorder="1" applyAlignment="1">
      <alignment horizontal="center"/>
    </xf>
    <xf numFmtId="9" fontId="1" fillId="0" borderId="0" xfId="0" applyNumberFormat="1" applyFont="1" applyBorder="1" applyAlignment="1">
      <alignment horizontal="center" wrapText="1"/>
    </xf>
    <xf numFmtId="0" fontId="21" fillId="0" borderId="0" xfId="0" applyFont="1" applyBorder="1" applyAlignment="1">
      <alignment horizontal="center" wrapText="1"/>
    </xf>
    <xf numFmtId="15" fontId="1" fillId="0" borderId="0" xfId="0" applyNumberFormat="1" applyFont="1" applyFill="1" applyBorder="1" applyAlignment="1">
      <alignment horizontal="center"/>
    </xf>
    <xf numFmtId="167" fontId="1" fillId="0" borderId="0" xfId="1" applyNumberFormat="1" applyFont="1" applyFill="1" applyBorder="1" applyAlignment="1">
      <alignment horizontal="left"/>
    </xf>
    <xf numFmtId="3" fontId="15" fillId="0" borderId="0" xfId="0" applyNumberFormat="1" applyFont="1" applyFill="1" applyBorder="1"/>
    <xf numFmtId="15" fontId="1" fillId="0" borderId="0" xfId="0" applyNumberFormat="1" applyFont="1" applyFill="1" applyBorder="1"/>
    <xf numFmtId="0" fontId="1" fillId="0" borderId="0" xfId="0" quotePrefix="1" applyFont="1" applyFill="1" applyAlignment="1">
      <alignment horizontal="left"/>
    </xf>
    <xf numFmtId="0" fontId="2" fillId="0" borderId="0" xfId="0" applyFont="1"/>
    <xf numFmtId="9" fontId="1" fillId="0" borderId="0" xfId="0" applyNumberFormat="1" applyFont="1" applyFill="1" applyBorder="1" applyAlignment="1">
      <alignment horizontal="left"/>
    </xf>
    <xf numFmtId="0" fontId="1" fillId="0" borderId="0" xfId="0" applyFont="1" applyBorder="1" applyAlignment="1"/>
    <xf numFmtId="0" fontId="2" fillId="0" borderId="0" xfId="0" applyFont="1" applyBorder="1"/>
    <xf numFmtId="3" fontId="1" fillId="0" borderId="0" xfId="0" applyNumberFormat="1" applyFont="1"/>
    <xf numFmtId="0" fontId="21" fillId="0" borderId="0" xfId="0" quotePrefix="1" applyFont="1"/>
    <xf numFmtId="15" fontId="1" fillId="0" borderId="0" xfId="0" applyNumberFormat="1" applyFont="1"/>
    <xf numFmtId="0" fontId="1" fillId="0" borderId="0" xfId="0" applyFont="1" applyAlignment="1">
      <alignment horizontal="center"/>
    </xf>
    <xf numFmtId="0" fontId="14" fillId="0" borderId="0" xfId="0" applyFont="1"/>
    <xf numFmtId="3" fontId="11" fillId="0" borderId="2" xfId="0" applyNumberFormat="1" applyFont="1" applyFill="1" applyBorder="1"/>
    <xf numFmtId="0" fontId="11" fillId="0" borderId="3" xfId="0" applyFont="1" applyFill="1" applyBorder="1" applyAlignment="1" applyProtection="1">
      <alignment horizontal="center"/>
    </xf>
    <xf numFmtId="3" fontId="11" fillId="0" borderId="2" xfId="0" applyNumberFormat="1" applyFont="1" applyFill="1" applyBorder="1" applyProtection="1"/>
    <xf numFmtId="15" fontId="16" fillId="0" borderId="0" xfId="0" applyNumberFormat="1" applyFont="1" applyFill="1" applyBorder="1" applyAlignment="1" applyProtection="1">
      <alignment horizontal="center"/>
    </xf>
    <xf numFmtId="10" fontId="16" fillId="0" borderId="3" xfId="0" applyNumberFormat="1" applyFont="1" applyFill="1" applyBorder="1" applyAlignment="1" applyProtection="1">
      <alignment horizontal="center"/>
    </xf>
    <xf numFmtId="0" fontId="16" fillId="0" borderId="0" xfId="0" applyFont="1" applyFill="1" applyBorder="1" applyAlignment="1" applyProtection="1">
      <alignment horizontal="center"/>
    </xf>
    <xf numFmtId="0" fontId="16" fillId="0" borderId="2" xfId="0" applyFont="1" applyFill="1" applyBorder="1" applyAlignment="1" applyProtection="1">
      <alignment horizontal="center"/>
    </xf>
    <xf numFmtId="3" fontId="16" fillId="0" borderId="0" xfId="0" applyNumberFormat="1" applyFont="1" applyFill="1" applyBorder="1" applyProtection="1"/>
    <xf numFmtId="0" fontId="16" fillId="0" borderId="0" xfId="0" applyFont="1" applyFill="1"/>
    <xf numFmtId="0" fontId="11" fillId="0" borderId="1" xfId="0" applyFont="1" applyFill="1" applyBorder="1" applyAlignment="1" applyProtection="1">
      <alignment horizontal="center"/>
    </xf>
    <xf numFmtId="15" fontId="16" fillId="0" borderId="1" xfId="0" applyNumberFormat="1" applyFont="1" applyFill="1" applyBorder="1" applyAlignment="1" applyProtection="1">
      <alignment horizontal="center"/>
    </xf>
    <xf numFmtId="0" fontId="17" fillId="0" borderId="0" xfId="0" applyFont="1" applyFill="1"/>
    <xf numFmtId="15" fontId="17" fillId="0" borderId="2" xfId="0" applyNumberFormat="1" applyFont="1" applyFill="1" applyBorder="1" applyAlignment="1">
      <alignment horizontal="center"/>
    </xf>
    <xf numFmtId="0" fontId="17" fillId="0" borderId="0" xfId="0" applyFont="1" applyFill="1" applyBorder="1"/>
    <xf numFmtId="9" fontId="17" fillId="0" borderId="3" xfId="2" applyFont="1" applyFill="1" applyBorder="1" applyAlignment="1">
      <alignment horizontal="center"/>
    </xf>
    <xf numFmtId="0" fontId="17" fillId="0" borderId="0" xfId="0" applyFont="1" applyFill="1" applyBorder="1" applyAlignment="1">
      <alignment horizontal="center"/>
    </xf>
    <xf numFmtId="0" fontId="17" fillId="0" borderId="2" xfId="0" applyFont="1" applyFill="1" applyBorder="1" applyAlignment="1">
      <alignment horizontal="center"/>
    </xf>
    <xf numFmtId="3" fontId="17" fillId="0" borderId="0" xfId="2" applyNumberFormat="1" applyFont="1" applyFill="1" applyBorder="1" applyAlignment="1">
      <alignment horizontal="center"/>
    </xf>
    <xf numFmtId="166" fontId="17" fillId="0" borderId="2" xfId="0" applyNumberFormat="1" applyFont="1" applyFill="1" applyBorder="1" applyAlignment="1">
      <alignment horizontal="center"/>
    </xf>
    <xf numFmtId="0" fontId="17" fillId="0" borderId="1" xfId="0" applyFont="1" applyFill="1" applyBorder="1" applyAlignment="1">
      <alignment horizontal="center"/>
    </xf>
    <xf numFmtId="9" fontId="17" fillId="0" borderId="0" xfId="2" applyFont="1" applyFill="1" applyBorder="1" applyAlignment="1">
      <alignment horizontal="center"/>
    </xf>
    <xf numFmtId="9" fontId="17" fillId="0" borderId="2" xfId="2" applyFont="1" applyFill="1" applyBorder="1" applyAlignment="1">
      <alignment horizontal="center"/>
    </xf>
    <xf numFmtId="4" fontId="17" fillId="0" borderId="0" xfId="0" applyNumberFormat="1" applyFont="1" applyFill="1" applyBorder="1" applyAlignment="1">
      <alignment horizontal="right"/>
    </xf>
    <xf numFmtId="0" fontId="17" fillId="0" borderId="3" xfId="0" applyFont="1" applyFill="1" applyBorder="1" applyAlignment="1">
      <alignment horizontal="center"/>
    </xf>
    <xf numFmtId="166" fontId="17" fillId="0" borderId="1" xfId="0" applyNumberFormat="1" applyFont="1" applyFill="1" applyBorder="1" applyAlignment="1">
      <alignment horizontal="center"/>
    </xf>
    <xf numFmtId="166" fontId="17" fillId="0" borderId="1" xfId="0" applyNumberFormat="1" applyFont="1" applyBorder="1" applyAlignment="1">
      <alignment horizontal="center"/>
    </xf>
    <xf numFmtId="0" fontId="17" fillId="0" borderId="1" xfId="0" applyFont="1" applyBorder="1" applyAlignment="1">
      <alignment horizontal="center" vertical="center"/>
    </xf>
    <xf numFmtId="0" fontId="17" fillId="0" borderId="1" xfId="0" applyFont="1" applyBorder="1" applyAlignment="1">
      <alignment horizontal="center"/>
    </xf>
    <xf numFmtId="0" fontId="17" fillId="0" borderId="3" xfId="0" applyFont="1" applyBorder="1" applyAlignment="1">
      <alignment horizontal="center"/>
    </xf>
    <xf numFmtId="0" fontId="17" fillId="0" borderId="0" xfId="0" applyFont="1" applyBorder="1" applyAlignment="1">
      <alignment horizontal="center"/>
    </xf>
    <xf numFmtId="9" fontId="17" fillId="0" borderId="2" xfId="2" applyFont="1" applyBorder="1" applyAlignment="1">
      <alignment horizontal="center"/>
    </xf>
    <xf numFmtId="0" fontId="18" fillId="0" borderId="3" xfId="0" applyFont="1" applyBorder="1" applyAlignment="1">
      <alignment horizontal="center" vertical="center"/>
    </xf>
    <xf numFmtId="4" fontId="17" fillId="0" borderId="0" xfId="0" applyNumberFormat="1" applyFont="1" applyBorder="1" applyAlignment="1">
      <alignment horizontal="right"/>
    </xf>
    <xf numFmtId="9" fontId="17" fillId="0" borderId="0" xfId="2" applyFont="1" applyBorder="1" applyAlignment="1">
      <alignment horizontal="center"/>
    </xf>
    <xf numFmtId="0" fontId="1" fillId="0" borderId="21" xfId="0" applyFont="1" applyBorder="1" applyAlignment="1">
      <alignment horizontal="center" wrapText="1"/>
    </xf>
    <xf numFmtId="9" fontId="1" fillId="0" borderId="21" xfId="2" applyFont="1" applyBorder="1" applyAlignment="1">
      <alignment horizontal="center"/>
    </xf>
    <xf numFmtId="3" fontId="1" fillId="0" borderId="21" xfId="0" applyNumberFormat="1" applyFont="1" applyBorder="1" applyAlignment="1">
      <alignment horizontal="right"/>
    </xf>
    <xf numFmtId="3" fontId="1" fillId="0" borderId="22" xfId="0" applyNumberFormat="1" applyFont="1" applyBorder="1" applyAlignment="1">
      <alignment horizontal="right"/>
    </xf>
    <xf numFmtId="0" fontId="19" fillId="0" borderId="0" xfId="0" applyFont="1" applyFill="1" applyBorder="1" applyAlignment="1">
      <alignment horizontal="center"/>
    </xf>
    <xf numFmtId="0" fontId="19" fillId="0" borderId="1" xfId="0" applyFont="1" applyFill="1" applyBorder="1" applyAlignment="1">
      <alignment horizontal="center"/>
    </xf>
    <xf numFmtId="166" fontId="19" fillId="0" borderId="1" xfId="0" quotePrefix="1" applyNumberFormat="1" applyFont="1" applyFill="1" applyBorder="1" applyAlignment="1">
      <alignment horizontal="center"/>
    </xf>
    <xf numFmtId="0" fontId="19" fillId="0" borderId="1" xfId="0" applyFont="1" applyBorder="1" applyAlignment="1">
      <alignment horizontal="center"/>
    </xf>
    <xf numFmtId="9" fontId="19" fillId="0" borderId="2" xfId="2" applyFont="1" applyFill="1" applyBorder="1" applyAlignment="1">
      <alignment horizontal="center"/>
    </xf>
    <xf numFmtId="4" fontId="1" fillId="0" borderId="0" xfId="0" applyNumberFormat="1" applyFont="1"/>
    <xf numFmtId="0" fontId="2" fillId="0" borderId="0" xfId="0" quotePrefix="1" applyFont="1"/>
    <xf numFmtId="0" fontId="19" fillId="0" borderId="3" xfId="0" applyFont="1" applyBorder="1" applyAlignment="1">
      <alignment horizontal="center" wrapText="1"/>
    </xf>
    <xf numFmtId="166" fontId="19" fillId="0" borderId="2" xfId="0" quotePrefix="1" applyNumberFormat="1" applyFont="1" applyFill="1" applyBorder="1" applyAlignment="1">
      <alignment horizontal="center"/>
    </xf>
    <xf numFmtId="9" fontId="19" fillId="0" borderId="0" xfId="2" applyFont="1" applyFill="1" applyBorder="1" applyAlignment="1">
      <alignment horizontal="center"/>
    </xf>
    <xf numFmtId="0" fontId="19" fillId="0" borderId="0" xfId="0" applyFont="1"/>
    <xf numFmtId="10" fontId="19" fillId="0" borderId="0" xfId="0" applyNumberFormat="1" applyFont="1"/>
    <xf numFmtId="10" fontId="1" fillId="0" borderId="0" xfId="0" applyNumberFormat="1" applyFont="1" applyFill="1" applyBorder="1" applyAlignment="1">
      <alignment horizontal="right"/>
    </xf>
    <xf numFmtId="3" fontId="1" fillId="0" borderId="0" xfId="0" applyNumberFormat="1" applyFont="1" applyFill="1" applyAlignment="1">
      <alignment horizontal="right"/>
    </xf>
    <xf numFmtId="3" fontId="1" fillId="0" borderId="0" xfId="0" applyNumberFormat="1" applyFont="1" applyBorder="1" applyAlignment="1">
      <alignment horizontal="right" vertical="center"/>
    </xf>
    <xf numFmtId="166" fontId="1" fillId="0" borderId="1" xfId="0" quotePrefix="1" applyNumberFormat="1" applyFont="1" applyFill="1" applyBorder="1" applyAlignment="1">
      <alignment horizontal="center"/>
    </xf>
    <xf numFmtId="0" fontId="1" fillId="0" borderId="3" xfId="0" applyFont="1" applyFill="1" applyBorder="1" applyAlignment="1">
      <alignment horizontal="center" wrapText="1"/>
    </xf>
    <xf numFmtId="9" fontId="1" fillId="0" borderId="3" xfId="2" applyFont="1" applyBorder="1" applyAlignment="1">
      <alignment horizontal="center"/>
    </xf>
    <xf numFmtId="166" fontId="1" fillId="0" borderId="0" xfId="0" quotePrefix="1" applyNumberFormat="1" applyFont="1" applyFill="1" applyBorder="1" applyAlignment="1">
      <alignment horizontal="center"/>
    </xf>
    <xf numFmtId="166" fontId="1" fillId="0" borderId="2" xfId="0" quotePrefix="1" applyNumberFormat="1" applyFont="1" applyFill="1" applyBorder="1" applyAlignment="1">
      <alignment horizontal="center"/>
    </xf>
    <xf numFmtId="10" fontId="1" fillId="0" borderId="3" xfId="0" applyNumberFormat="1" applyFont="1" applyBorder="1" applyAlignment="1">
      <alignment horizontal="center" wrapText="1"/>
    </xf>
    <xf numFmtId="166" fontId="1" fillId="0" borderId="21" xfId="0" quotePrefix="1" applyNumberFormat="1" applyFont="1" applyFill="1" applyBorder="1" applyAlignment="1">
      <alignment horizontal="center"/>
    </xf>
    <xf numFmtId="10" fontId="1" fillId="0" borderId="4" xfId="0" applyNumberFormat="1" applyFont="1" applyBorder="1" applyAlignment="1">
      <alignment horizontal="center" wrapText="1"/>
    </xf>
    <xf numFmtId="0" fontId="3" fillId="0" borderId="23" xfId="0" applyFont="1" applyFill="1" applyBorder="1" applyAlignment="1">
      <alignment horizontal="left"/>
    </xf>
    <xf numFmtId="2" fontId="19" fillId="0" borderId="1" xfId="0" applyNumberFormat="1" applyFont="1" applyFill="1" applyBorder="1" applyAlignment="1">
      <alignment horizontal="center" wrapText="1"/>
    </xf>
    <xf numFmtId="4" fontId="19" fillId="0" borderId="0" xfId="0" applyNumberFormat="1" applyFont="1" applyBorder="1" applyAlignment="1">
      <alignment horizontal="center" wrapText="1"/>
    </xf>
    <xf numFmtId="10" fontId="19" fillId="0" borderId="0" xfId="0" quotePrefix="1" applyNumberFormat="1" applyFont="1" applyBorder="1" applyAlignment="1">
      <alignment horizontal="center"/>
    </xf>
    <xf numFmtId="9" fontId="23" fillId="0" borderId="0" xfId="2" applyFont="1" applyBorder="1" applyAlignment="1">
      <alignment horizontal="center"/>
    </xf>
    <xf numFmtId="166" fontId="19" fillId="0" borderId="22" xfId="0" quotePrefix="1" applyNumberFormat="1" applyFont="1" applyFill="1" applyBorder="1" applyAlignment="1">
      <alignment horizontal="center"/>
    </xf>
    <xf numFmtId="0" fontId="19" fillId="0" borderId="6" xfId="0" applyFont="1" applyBorder="1" applyAlignment="1">
      <alignment horizontal="center"/>
    </xf>
    <xf numFmtId="2" fontId="19" fillId="0" borderId="6" xfId="0" applyNumberFormat="1" applyFont="1" applyFill="1" applyBorder="1" applyAlignment="1">
      <alignment horizontal="center" wrapText="1"/>
    </xf>
    <xf numFmtId="4" fontId="19" fillId="0" borderId="21" xfId="0" applyNumberFormat="1" applyFont="1" applyBorder="1" applyAlignment="1">
      <alignment horizontal="center" wrapText="1"/>
    </xf>
    <xf numFmtId="10" fontId="19" fillId="0" borderId="21" xfId="0" quotePrefix="1" applyNumberFormat="1" applyFont="1" applyBorder="1" applyAlignment="1">
      <alignment horizontal="center"/>
    </xf>
    <xf numFmtId="9" fontId="23" fillId="0" borderId="21" xfId="2" applyFont="1" applyBorder="1" applyAlignment="1">
      <alignment horizontal="center"/>
    </xf>
    <xf numFmtId="166" fontId="19" fillId="0" borderId="6" xfId="0" applyNumberFormat="1" applyFont="1" applyFill="1" applyBorder="1" applyAlignment="1">
      <alignment horizontal="center"/>
    </xf>
    <xf numFmtId="166" fontId="19" fillId="0" borderId="1" xfId="0" applyNumberFormat="1" applyFont="1" applyFill="1" applyBorder="1" applyAlignment="1">
      <alignment horizontal="center"/>
    </xf>
    <xf numFmtId="166" fontId="19" fillId="0" borderId="1" xfId="0" applyNumberFormat="1" applyFont="1" applyFill="1" applyBorder="1" applyAlignment="1">
      <alignment horizontal="center" vertical="center"/>
    </xf>
    <xf numFmtId="0" fontId="1" fillId="0" borderId="3" xfId="0" applyFont="1" applyBorder="1" applyAlignment="1">
      <alignment horizontal="center" vertical="center" wrapText="1"/>
    </xf>
    <xf numFmtId="0" fontId="1" fillId="0" borderId="3" xfId="0" applyFont="1" applyBorder="1" applyAlignment="1">
      <alignment horizontal="center" vertical="center"/>
    </xf>
    <xf numFmtId="170" fontId="1" fillId="0" borderId="1" xfId="0" applyNumberFormat="1" applyFont="1" applyBorder="1" applyAlignment="1">
      <alignment horizontal="center" vertical="center" wrapText="1"/>
    </xf>
    <xf numFmtId="166" fontId="1" fillId="0" borderId="1" xfId="0" applyNumberFormat="1"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horizontal="center" vertical="center"/>
    </xf>
    <xf numFmtId="3" fontId="1" fillId="0" borderId="0" xfId="0" applyNumberFormat="1" applyFont="1" applyBorder="1" applyAlignment="1">
      <alignment horizontal="right" vertical="center"/>
    </xf>
    <xf numFmtId="0" fontId="21" fillId="0" borderId="3" xfId="0" applyFont="1" applyBorder="1" applyAlignment="1">
      <alignment horizontal="center" vertical="center" wrapText="1"/>
    </xf>
    <xf numFmtId="0" fontId="1" fillId="0" borderId="25" xfId="0" applyFont="1" applyFill="1" applyBorder="1" applyAlignment="1" applyProtection="1">
      <alignment horizontal="center"/>
    </xf>
    <xf numFmtId="3" fontId="1" fillId="0" borderId="25" xfId="0" applyNumberFormat="1" applyFont="1" applyFill="1" applyBorder="1" applyProtection="1"/>
    <xf numFmtId="0" fontId="1" fillId="0" borderId="26" xfId="0" applyFont="1" applyFill="1" applyBorder="1" applyAlignment="1" applyProtection="1">
      <alignment horizontal="left"/>
    </xf>
    <xf numFmtId="3" fontId="1" fillId="0" borderId="27" xfId="0" applyNumberFormat="1" applyFont="1" applyFill="1" applyBorder="1" applyProtection="1"/>
    <xf numFmtId="15" fontId="1" fillId="0" borderId="24" xfId="0" applyNumberFormat="1" applyFont="1" applyFill="1" applyBorder="1" applyAlignment="1" applyProtection="1">
      <alignment horizontal="center"/>
    </xf>
    <xf numFmtId="0" fontId="1" fillId="0" borderId="24" xfId="0" applyFont="1" applyFill="1" applyBorder="1" applyAlignment="1" applyProtection="1">
      <alignment horizontal="left"/>
    </xf>
    <xf numFmtId="10" fontId="1" fillId="0" borderId="26" xfId="0" applyNumberFormat="1" applyFont="1" applyFill="1" applyBorder="1" applyAlignment="1" applyProtection="1">
      <alignment horizontal="center"/>
    </xf>
    <xf numFmtId="0" fontId="1" fillId="0" borderId="27" xfId="0" applyFont="1" applyFill="1" applyBorder="1" applyAlignment="1" applyProtection="1">
      <alignment horizontal="center"/>
    </xf>
    <xf numFmtId="0" fontId="1" fillId="0" borderId="26" xfId="0" applyFont="1" applyFill="1" applyBorder="1" applyAlignment="1" applyProtection="1">
      <alignment horizontal="center"/>
    </xf>
    <xf numFmtId="166" fontId="1" fillId="0" borderId="2"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1" fillId="0" borderId="1" xfId="0" applyFont="1" applyFill="1" applyBorder="1" applyAlignment="1">
      <alignment vertical="center"/>
    </xf>
    <xf numFmtId="0" fontId="1" fillId="0" borderId="2" xfId="0" applyFont="1" applyFill="1" applyBorder="1" applyAlignment="1">
      <alignment horizontal="center" vertical="center"/>
    </xf>
    <xf numFmtId="9" fontId="1" fillId="0" borderId="0" xfId="2" applyFont="1" applyFill="1" applyBorder="1" applyAlignment="1">
      <alignment horizontal="center" vertical="center"/>
    </xf>
    <xf numFmtId="3" fontId="1" fillId="0" borderId="0" xfId="0" applyNumberFormat="1" applyFont="1" applyFill="1" applyBorder="1" applyAlignment="1">
      <alignment horizontal="right" vertical="center"/>
    </xf>
    <xf numFmtId="3" fontId="1" fillId="0" borderId="0" xfId="0" applyNumberFormat="1" applyFont="1" applyFill="1" applyBorder="1" applyAlignment="1">
      <alignment vertical="center"/>
    </xf>
    <xf numFmtId="3" fontId="1" fillId="0" borderId="2" xfId="0" applyNumberFormat="1" applyFont="1" applyFill="1" applyBorder="1" applyAlignment="1">
      <alignment vertical="center"/>
    </xf>
    <xf numFmtId="165"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9" fontId="1" fillId="0" borderId="0" xfId="0" applyNumberFormat="1" applyFont="1" applyFill="1" applyBorder="1" applyAlignment="1">
      <alignment horizontal="center" vertical="center"/>
    </xf>
    <xf numFmtId="9" fontId="8" fillId="0" borderId="0" xfId="2" applyFont="1" applyFill="1" applyBorder="1" applyAlignment="1">
      <alignment horizontal="center" vertical="center"/>
    </xf>
    <xf numFmtId="0" fontId="1" fillId="0" borderId="3" xfId="0" applyFont="1" applyFill="1" applyBorder="1" applyAlignment="1">
      <alignment horizontal="center" vertical="center"/>
    </xf>
    <xf numFmtId="0" fontId="1" fillId="0" borderId="1" xfId="0" applyFont="1" applyFill="1" applyBorder="1" applyAlignment="1">
      <alignment horizontal="left" vertical="center"/>
    </xf>
    <xf numFmtId="0" fontId="8" fillId="0" borderId="0" xfId="0" applyFont="1" applyBorder="1" applyAlignment="1">
      <alignment horizontal="center" vertical="center"/>
    </xf>
    <xf numFmtId="0" fontId="8" fillId="0" borderId="2" xfId="0" applyFont="1" applyBorder="1" applyAlignment="1">
      <alignment horizontal="center" vertical="center"/>
    </xf>
    <xf numFmtId="0" fontId="1" fillId="0" borderId="0" xfId="0" applyFont="1" applyFill="1" applyAlignment="1">
      <alignment vertical="center"/>
    </xf>
    <xf numFmtId="9" fontId="1" fillId="0" borderId="2" xfId="2" applyFont="1" applyFill="1" applyBorder="1" applyAlignment="1">
      <alignment horizontal="center" vertical="center"/>
    </xf>
    <xf numFmtId="166" fontId="1" fillId="0" borderId="1" xfId="0" applyNumberFormat="1" applyFont="1" applyFill="1" applyBorder="1" applyAlignment="1">
      <alignment horizontal="center" vertical="center"/>
    </xf>
    <xf numFmtId="0" fontId="1" fillId="0" borderId="0"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3" fontId="1" fillId="0" borderId="0" xfId="0" applyNumberFormat="1" applyFont="1" applyBorder="1" applyAlignment="1">
      <alignment vertical="center" wrapText="1"/>
    </xf>
    <xf numFmtId="0" fontId="1" fillId="0" borderId="0" xfId="0" applyFont="1" applyBorder="1" applyAlignment="1">
      <alignment vertical="center"/>
    </xf>
    <xf numFmtId="3" fontId="1" fillId="0" borderId="0" xfId="0" applyNumberFormat="1" applyFont="1" applyBorder="1" applyAlignment="1">
      <alignment vertical="center"/>
    </xf>
    <xf numFmtId="3" fontId="1" fillId="0" borderId="2" xfId="0" applyNumberFormat="1" applyFont="1" applyBorder="1" applyAlignment="1">
      <alignment vertical="center"/>
    </xf>
    <xf numFmtId="0" fontId="19" fillId="0" borderId="1" xfId="0" applyFont="1" applyBorder="1" applyAlignment="1">
      <alignment horizontal="center" vertical="center"/>
    </xf>
    <xf numFmtId="4" fontId="1" fillId="0" borderId="0" xfId="0" applyNumberFormat="1" applyFont="1" applyBorder="1" applyAlignment="1">
      <alignment horizontal="right" vertical="center"/>
    </xf>
    <xf numFmtId="4" fontId="1" fillId="0" borderId="0" xfId="0" applyNumberFormat="1" applyFont="1" applyBorder="1" applyAlignment="1">
      <alignment horizontal="center" wrapText="1"/>
    </xf>
    <xf numFmtId="10" fontId="1" fillId="0" borderId="0" xfId="0" quotePrefix="1" applyNumberFormat="1" applyFont="1" applyBorder="1" applyAlignment="1">
      <alignment horizontal="center"/>
    </xf>
    <xf numFmtId="2" fontId="19" fillId="0" borderId="1" xfId="0" applyNumberFormat="1" applyFont="1" applyFill="1" applyBorder="1" applyAlignment="1">
      <alignment horizontal="center" vertical="center" wrapText="1"/>
    </xf>
    <xf numFmtId="0" fontId="1" fillId="0" borderId="1" xfId="0" quotePrefix="1" applyFont="1" applyFill="1" applyBorder="1" applyAlignment="1">
      <alignment horizontal="center" vertical="center"/>
    </xf>
    <xf numFmtId="10" fontId="1" fillId="0" borderId="3" xfId="2" applyNumberFormat="1" applyFont="1" applyBorder="1" applyAlignment="1">
      <alignment horizontal="center" vertical="center" wrapText="1"/>
    </xf>
    <xf numFmtId="3" fontId="1" fillId="0" borderId="2" xfId="0" applyNumberFormat="1" applyFont="1" applyFill="1" applyBorder="1" applyAlignment="1">
      <alignment horizontal="right" vertical="center"/>
    </xf>
    <xf numFmtId="9" fontId="21" fillId="0" borderId="0" xfId="2" applyFont="1" applyBorder="1" applyAlignment="1">
      <alignment horizontal="center" vertical="center"/>
    </xf>
    <xf numFmtId="3" fontId="1" fillId="0" borderId="2" xfId="0" applyNumberFormat="1" applyFont="1" applyBorder="1" applyAlignment="1">
      <alignment horizontal="right" vertical="center" wrapText="1"/>
    </xf>
    <xf numFmtId="3" fontId="1" fillId="0" borderId="0" xfId="2" applyNumberFormat="1" applyFont="1" applyFill="1" applyBorder="1" applyAlignment="1">
      <alignment horizontal="right" vertical="center"/>
    </xf>
    <xf numFmtId="9" fontId="1" fillId="0" borderId="3" xfId="0" applyNumberFormat="1" applyFont="1" applyBorder="1" applyAlignment="1">
      <alignment horizontal="center" vertical="center" wrapText="1"/>
    </xf>
    <xf numFmtId="9" fontId="8" fillId="0" borderId="0" xfId="2" applyFont="1" applyBorder="1" applyAlignment="1">
      <alignment horizontal="center" vertical="center"/>
    </xf>
    <xf numFmtId="0" fontId="11" fillId="0" borderId="1" xfId="0" applyFont="1" applyFill="1" applyBorder="1" applyAlignment="1">
      <alignment vertical="center"/>
    </xf>
    <xf numFmtId="166" fontId="19" fillId="0" borderId="1" xfId="0" quotePrefix="1" applyNumberFormat="1" applyFont="1" applyFill="1" applyBorder="1" applyAlignment="1">
      <alignment horizontal="center" vertical="center"/>
    </xf>
    <xf numFmtId="0" fontId="19" fillId="0" borderId="1" xfId="0" applyFont="1" applyFill="1" applyBorder="1" applyAlignment="1">
      <alignment horizontal="left" vertical="center" wrapText="1" indent="1"/>
    </xf>
    <xf numFmtId="4" fontId="19" fillId="0" borderId="0" xfId="0" applyNumberFormat="1" applyFont="1" applyBorder="1" applyAlignment="1">
      <alignment horizontal="center" vertical="center" wrapText="1"/>
    </xf>
    <xf numFmtId="10" fontId="19" fillId="0" borderId="0" xfId="0" quotePrefix="1" applyNumberFormat="1" applyFont="1" applyBorder="1" applyAlignment="1">
      <alignment horizontal="center" vertical="center"/>
    </xf>
    <xf numFmtId="9" fontId="23" fillId="0" borderId="0" xfId="2" applyFont="1" applyBorder="1" applyAlignment="1">
      <alignment horizontal="center" vertical="center"/>
    </xf>
    <xf numFmtId="3" fontId="25" fillId="0" borderId="2" xfId="0" applyNumberFormat="1" applyFont="1" applyFill="1" applyBorder="1" applyAlignment="1">
      <alignment vertical="center"/>
    </xf>
    <xf numFmtId="4" fontId="1" fillId="0" borderId="0" xfId="0" applyNumberFormat="1" applyFont="1" applyBorder="1" applyAlignment="1">
      <alignment horizontal="center" vertical="center" wrapText="1"/>
    </xf>
    <xf numFmtId="10" fontId="1" fillId="0" borderId="0" xfId="0" quotePrefix="1" applyNumberFormat="1" applyFont="1" applyFill="1" applyBorder="1" applyAlignment="1">
      <alignment horizontal="center" vertical="center"/>
    </xf>
    <xf numFmtId="0" fontId="26" fillId="0" borderId="0" xfId="0" applyFont="1" applyAlignment="1"/>
    <xf numFmtId="0" fontId="27" fillId="0" borderId="0" xfId="0" quotePrefix="1" applyFont="1"/>
    <xf numFmtId="0" fontId="24" fillId="0" borderId="0" xfId="0" applyFont="1" applyAlignment="1"/>
    <xf numFmtId="0" fontId="2" fillId="3" borderId="8" xfId="0" applyFont="1" applyFill="1" applyBorder="1" applyAlignment="1">
      <alignment horizontal="center" vertical="center"/>
    </xf>
    <xf numFmtId="15" fontId="2" fillId="3" borderId="9" xfId="0" applyNumberFormat="1"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15" fontId="2" fillId="3" borderId="14" xfId="0" applyNumberFormat="1"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7" xfId="0" applyFont="1" applyFill="1" applyBorder="1" applyAlignment="1">
      <alignment horizontal="center" vertical="center"/>
    </xf>
    <xf numFmtId="0" fontId="21" fillId="0" borderId="0" xfId="0" applyFont="1" applyBorder="1" applyAlignment="1">
      <alignment horizontal="center" vertical="center" wrapText="1"/>
    </xf>
    <xf numFmtId="10" fontId="1" fillId="0" borderId="0" xfId="0" applyNumberFormat="1" applyFont="1" applyBorder="1" applyAlignment="1">
      <alignment horizontal="center" vertical="center"/>
    </xf>
    <xf numFmtId="9" fontId="21" fillId="0" borderId="0" xfId="2" applyFont="1" applyFill="1" applyBorder="1" applyAlignment="1">
      <alignment horizontal="center" vertical="center"/>
    </xf>
    <xf numFmtId="0" fontId="1" fillId="0" borderId="0" xfId="0" applyFont="1" applyFill="1" applyBorder="1" applyAlignment="1">
      <alignment horizontal="center" wrapText="1"/>
    </xf>
    <xf numFmtId="0" fontId="1" fillId="0" borderId="0" xfId="0" quotePrefix="1" applyFont="1" applyBorder="1" applyAlignment="1">
      <alignment horizontal="center"/>
    </xf>
    <xf numFmtId="9" fontId="21" fillId="0" borderId="0" xfId="2" applyFont="1" applyFill="1" applyBorder="1" applyAlignment="1">
      <alignment horizontal="center"/>
    </xf>
    <xf numFmtId="0" fontId="21" fillId="0" borderId="0" xfId="0" applyFont="1" applyFill="1" applyBorder="1" applyAlignment="1">
      <alignment horizontal="center" wrapText="1"/>
    </xf>
    <xf numFmtId="0" fontId="21" fillId="0" borderId="0" xfId="0" applyFont="1" applyFill="1" applyBorder="1" applyAlignment="1">
      <alignment horizontal="center" vertical="center" wrapText="1"/>
    </xf>
    <xf numFmtId="166" fontId="1" fillId="0" borderId="1" xfId="0" quotePrefix="1" applyNumberFormat="1" applyFont="1" applyFill="1" applyBorder="1" applyAlignment="1">
      <alignment horizontal="center" vertical="center"/>
    </xf>
    <xf numFmtId="9" fontId="1" fillId="0" borderId="2" xfId="0" applyNumberFormat="1" applyFont="1" applyBorder="1" applyAlignment="1">
      <alignment horizontal="center"/>
    </xf>
    <xf numFmtId="0" fontId="1" fillId="0" borderId="1" xfId="0" applyFont="1" applyBorder="1" applyAlignment="1">
      <alignment horizontal="center" vertical="center" wrapText="1"/>
    </xf>
    <xf numFmtId="0" fontId="1" fillId="0" borderId="0" xfId="0" applyFont="1" applyFill="1" applyBorder="1" applyAlignment="1">
      <alignment horizontal="center" vertical="center" wrapText="1"/>
    </xf>
    <xf numFmtId="9" fontId="1" fillId="0" borderId="0" xfId="2" applyFont="1" applyFill="1" applyBorder="1" applyAlignment="1">
      <alignment horizontal="center" vertical="center" wrapText="1"/>
    </xf>
    <xf numFmtId="3" fontId="1" fillId="0" borderId="0" xfId="0" applyNumberFormat="1" applyFont="1" applyBorder="1" applyAlignment="1">
      <alignment horizontal="right" vertical="center" wrapText="1"/>
    </xf>
    <xf numFmtId="9" fontId="1" fillId="0" borderId="3" xfId="0" applyNumberFormat="1" applyFont="1" applyBorder="1" applyAlignment="1">
      <alignment horizontal="center" wrapText="1"/>
    </xf>
    <xf numFmtId="9" fontId="21" fillId="0" borderId="3" xfId="2" applyFont="1" applyFill="1" applyBorder="1" applyAlignment="1">
      <alignment horizontal="center"/>
    </xf>
    <xf numFmtId="0" fontId="21" fillId="0" borderId="0" xfId="0" applyFont="1" applyFill="1" applyBorder="1" applyAlignment="1">
      <alignment horizontal="center" vertical="center"/>
    </xf>
    <xf numFmtId="9" fontId="21" fillId="0" borderId="2" xfId="2" applyFont="1" applyFill="1" applyBorder="1" applyAlignment="1">
      <alignment horizontal="center" vertical="center"/>
    </xf>
    <xf numFmtId="0" fontId="21" fillId="0" borderId="3" xfId="0" applyFont="1" applyFill="1" applyBorder="1" applyAlignment="1">
      <alignment horizontal="center" wrapText="1"/>
    </xf>
    <xf numFmtId="0" fontId="1" fillId="0" borderId="3" xfId="0" applyFont="1" applyFill="1" applyBorder="1" applyAlignment="1">
      <alignment horizontal="center" vertical="center" wrapText="1"/>
    </xf>
    <xf numFmtId="0" fontId="21" fillId="0" borderId="0" xfId="0" applyFont="1" applyFill="1" applyBorder="1" applyAlignment="1">
      <alignment horizontal="center"/>
    </xf>
    <xf numFmtId="166" fontId="1" fillId="0" borderId="0" xfId="0" quotePrefix="1" applyNumberFormat="1" applyFont="1" applyFill="1" applyBorder="1" applyAlignment="1">
      <alignment horizontal="center" vertical="center"/>
    </xf>
    <xf numFmtId="166" fontId="1" fillId="0" borderId="2" xfId="0" quotePrefix="1" applyNumberFormat="1" applyFont="1" applyFill="1" applyBorder="1" applyAlignment="1">
      <alignment horizontal="center" vertical="center"/>
    </xf>
    <xf numFmtId="10" fontId="21" fillId="0" borderId="3" xfId="0" quotePrefix="1" applyNumberFormat="1" applyFont="1" applyBorder="1" applyAlignment="1">
      <alignment horizontal="center"/>
    </xf>
    <xf numFmtId="10" fontId="21" fillId="0" borderId="0" xfId="0" quotePrefix="1" applyNumberFormat="1" applyFont="1" applyBorder="1" applyAlignment="1">
      <alignment horizontal="center"/>
    </xf>
    <xf numFmtId="4" fontId="1" fillId="0" borderId="2" xfId="0" applyNumberFormat="1" applyFont="1" applyFill="1" applyBorder="1" applyAlignment="1">
      <alignment horizontal="right" vertical="center"/>
    </xf>
    <xf numFmtId="10" fontId="1" fillId="0" borderId="3" xfId="0" applyNumberFormat="1" applyFont="1" applyBorder="1" applyAlignment="1">
      <alignment horizontal="center" vertical="center" wrapText="1"/>
    </xf>
    <xf numFmtId="166" fontId="19" fillId="0" borderId="23" xfId="0" applyNumberFormat="1" applyFont="1" applyFill="1" applyBorder="1" applyAlignment="1">
      <alignment horizontal="center"/>
    </xf>
    <xf numFmtId="10" fontId="23" fillId="0" borderId="0" xfId="0" quotePrefix="1" applyNumberFormat="1" applyFont="1" applyBorder="1" applyAlignment="1">
      <alignment horizontal="center"/>
    </xf>
    <xf numFmtId="166" fontId="19" fillId="0" borderId="2" xfId="0" quotePrefix="1" applyNumberFormat="1" applyFont="1" applyFill="1" applyBorder="1" applyAlignment="1">
      <alignment horizontal="center" vertical="center"/>
    </xf>
    <xf numFmtId="10" fontId="19" fillId="0" borderId="0" xfId="0" quotePrefix="1" applyNumberFormat="1" applyFont="1" applyFill="1" applyBorder="1" applyAlignment="1">
      <alignment horizontal="center" vertical="center"/>
    </xf>
    <xf numFmtId="0" fontId="19" fillId="0" borderId="1" xfId="0" applyFont="1" applyBorder="1" applyAlignment="1">
      <alignment horizontal="center" vertical="center" wrapText="1"/>
    </xf>
    <xf numFmtId="4" fontId="19" fillId="0" borderId="0" xfId="0" applyNumberFormat="1" applyFont="1" applyFill="1" applyBorder="1" applyAlignment="1">
      <alignment horizontal="center" vertical="center"/>
    </xf>
    <xf numFmtId="4" fontId="19" fillId="0" borderId="0" xfId="0" applyNumberFormat="1" applyFont="1" applyFill="1" applyBorder="1" applyAlignment="1">
      <alignment horizontal="center" vertical="center" wrapText="1"/>
    </xf>
    <xf numFmtId="10" fontId="19" fillId="2" borderId="0" xfId="0" quotePrefix="1" applyNumberFormat="1" applyFont="1" applyFill="1" applyBorder="1" applyAlignment="1">
      <alignment horizontal="center" vertical="center"/>
    </xf>
    <xf numFmtId="169" fontId="19" fillId="0" borderId="0" xfId="2" quotePrefix="1" applyNumberFormat="1" applyFont="1" applyBorder="1" applyAlignment="1">
      <alignment horizontal="center" vertical="center" wrapText="1"/>
    </xf>
    <xf numFmtId="9" fontId="19" fillId="0" borderId="0" xfId="2" applyFont="1" applyBorder="1" applyAlignment="1">
      <alignment horizontal="center" vertical="center"/>
    </xf>
    <xf numFmtId="10" fontId="1" fillId="2" borderId="0" xfId="0" quotePrefix="1" applyNumberFormat="1" applyFont="1" applyFill="1" applyBorder="1" applyAlignment="1">
      <alignment horizontal="center" vertical="center"/>
    </xf>
    <xf numFmtId="4" fontId="1" fillId="2" borderId="0" xfId="0" applyNumberFormat="1" applyFont="1" applyFill="1" applyBorder="1" applyAlignment="1">
      <alignment horizontal="center" vertical="center" wrapText="1"/>
    </xf>
    <xf numFmtId="169" fontId="1" fillId="0" borderId="0" xfId="2" quotePrefix="1" applyNumberFormat="1" applyFont="1" applyBorder="1" applyAlignment="1">
      <alignment horizontal="center" vertical="center" wrapText="1"/>
    </xf>
    <xf numFmtId="166" fontId="19" fillId="0" borderId="0" xfId="0" quotePrefix="1" applyNumberFormat="1" applyFont="1" applyFill="1" applyBorder="1" applyAlignment="1">
      <alignment horizontal="center" vertical="center"/>
    </xf>
    <xf numFmtId="0" fontId="1" fillId="0" borderId="1" xfId="0" applyFont="1" applyFill="1" applyBorder="1" applyAlignment="1">
      <alignment horizontal="left" vertical="center" wrapText="1" indent="1"/>
    </xf>
    <xf numFmtId="9" fontId="2" fillId="0" borderId="0" xfId="2" applyFont="1" applyBorder="1" applyAlignment="1">
      <alignment horizontal="center" vertical="center"/>
    </xf>
    <xf numFmtId="169" fontId="2" fillId="0" borderId="0" xfId="2" quotePrefix="1" applyNumberFormat="1" applyFont="1" applyBorder="1" applyAlignment="1">
      <alignment horizontal="center" vertical="center" wrapText="1"/>
    </xf>
    <xf numFmtId="0" fontId="19" fillId="0" borderId="6" xfId="0" applyFont="1" applyFill="1" applyBorder="1" applyAlignment="1">
      <alignment horizontal="center" vertical="center"/>
    </xf>
    <xf numFmtId="166" fontId="19" fillId="0" borderId="6" xfId="0" quotePrefix="1" applyNumberFormat="1" applyFont="1" applyFill="1" applyBorder="1" applyAlignment="1">
      <alignment horizontal="center" vertical="center"/>
    </xf>
    <xf numFmtId="0" fontId="19" fillId="0" borderId="6" xfId="0" applyFont="1" applyFill="1" applyBorder="1" applyAlignment="1">
      <alignment horizontal="left" vertical="center" wrapText="1" indent="1"/>
    </xf>
    <xf numFmtId="0" fontId="19" fillId="0" borderId="4" xfId="0" applyFont="1" applyFill="1" applyBorder="1" applyAlignment="1">
      <alignment horizontal="center" vertical="center" wrapText="1"/>
    </xf>
    <xf numFmtId="0" fontId="19" fillId="0" borderId="21" xfId="0" applyFont="1" applyFill="1" applyBorder="1" applyAlignment="1">
      <alignment horizontal="center" vertical="center"/>
    </xf>
    <xf numFmtId="9" fontId="19" fillId="0" borderId="22" xfId="2" applyFont="1" applyFill="1" applyBorder="1" applyAlignment="1">
      <alignment horizontal="center" vertical="center"/>
    </xf>
    <xf numFmtId="0" fontId="1" fillId="0" borderId="4" xfId="0" applyFont="1" applyFill="1" applyBorder="1" applyAlignment="1">
      <alignment horizontal="center" vertical="center"/>
    </xf>
    <xf numFmtId="3" fontId="19" fillId="0" borderId="21" xfId="0" applyNumberFormat="1" applyFont="1" applyFill="1" applyBorder="1" applyAlignment="1">
      <alignment horizontal="right" vertical="center"/>
    </xf>
    <xf numFmtId="3" fontId="19" fillId="0" borderId="22" xfId="0" applyNumberFormat="1" applyFont="1" applyFill="1" applyBorder="1" applyAlignment="1">
      <alignment horizontal="right" vertical="center"/>
    </xf>
    <xf numFmtId="0" fontId="1" fillId="0" borderId="4" xfId="0" applyFont="1" applyBorder="1" applyAlignment="1">
      <alignment horizontal="center" wrapText="1"/>
    </xf>
    <xf numFmtId="0" fontId="19" fillId="0" borderId="6" xfId="0" applyFont="1" applyFill="1" applyBorder="1" applyAlignment="1">
      <alignment horizontal="center"/>
    </xf>
    <xf numFmtId="166" fontId="19" fillId="0" borderId="6" xfId="0" quotePrefix="1" applyNumberFormat="1" applyFont="1" applyFill="1" applyBorder="1" applyAlignment="1">
      <alignment horizontal="center"/>
    </xf>
    <xf numFmtId="0" fontId="19" fillId="0" borderId="21" xfId="0" applyFont="1" applyFill="1" applyBorder="1" applyAlignment="1">
      <alignment horizontal="center"/>
    </xf>
    <xf numFmtId="0" fontId="19" fillId="0" borderId="4" xfId="0" applyFont="1" applyBorder="1" applyAlignment="1">
      <alignment horizontal="center" wrapText="1"/>
    </xf>
    <xf numFmtId="9" fontId="19" fillId="0" borderId="22" xfId="2" applyFont="1" applyFill="1" applyBorder="1" applyAlignment="1">
      <alignment horizontal="center"/>
    </xf>
    <xf numFmtId="9" fontId="30" fillId="0" borderId="0" xfId="2" applyFont="1" applyBorder="1" applyAlignment="1">
      <alignment horizontal="center" vertical="center"/>
    </xf>
    <xf numFmtId="0" fontId="13" fillId="0" borderId="0" xfId="0" applyFont="1" applyFill="1" applyAlignment="1">
      <alignment horizontal="center"/>
    </xf>
    <xf numFmtId="0" fontId="6" fillId="0" borderId="1" xfId="0" applyFont="1" applyFill="1" applyBorder="1" applyAlignment="1" applyProtection="1">
      <alignment horizontal="center"/>
    </xf>
    <xf numFmtId="0" fontId="1" fillId="0" borderId="1" xfId="0" applyFont="1" applyFill="1" applyBorder="1" applyAlignment="1" applyProtection="1">
      <alignment horizontal="center"/>
    </xf>
    <xf numFmtId="0" fontId="1" fillId="0" borderId="6" xfId="0" applyFont="1" applyFill="1" applyBorder="1" applyAlignment="1" applyProtection="1">
      <alignment horizontal="center"/>
    </xf>
    <xf numFmtId="0" fontId="1" fillId="0" borderId="24" xfId="0" applyFont="1" applyFill="1" applyBorder="1" applyAlignment="1" applyProtection="1">
      <alignment horizontal="center"/>
    </xf>
    <xf numFmtId="0" fontId="16" fillId="0" borderId="1" xfId="0" applyFont="1" applyFill="1" applyBorder="1" applyAlignment="1" applyProtection="1">
      <alignment horizontal="center"/>
    </xf>
    <xf numFmtId="14" fontId="1" fillId="0" borderId="1" xfId="0" applyNumberFormat="1" applyFont="1" applyBorder="1" applyAlignment="1">
      <alignment horizontal="center"/>
    </xf>
    <xf numFmtId="14" fontId="1" fillId="0" borderId="1" xfId="0" applyNumberFormat="1" applyFont="1" applyBorder="1" applyAlignment="1">
      <alignment horizontal="center" vertical="center"/>
    </xf>
    <xf numFmtId="0" fontId="1" fillId="0" borderId="1" xfId="0" applyFont="1" applyBorder="1" applyAlignment="1">
      <alignment horizontal="center" wrapText="1"/>
    </xf>
    <xf numFmtId="0" fontId="1" fillId="0" borderId="1" xfId="0" applyFont="1" applyFill="1" applyBorder="1" applyAlignment="1">
      <alignment horizontal="center" wrapText="1"/>
    </xf>
    <xf numFmtId="0" fontId="1" fillId="0" borderId="1" xfId="0" applyFont="1" applyFill="1" applyBorder="1" applyAlignment="1">
      <alignment horizontal="center" vertical="center" wrapText="1"/>
    </xf>
    <xf numFmtId="0" fontId="19" fillId="0" borderId="6" xfId="0" applyFont="1" applyBorder="1" applyAlignment="1">
      <alignment horizontal="center" wrapText="1"/>
    </xf>
    <xf numFmtId="0" fontId="19" fillId="0" borderId="1" xfId="0" applyFont="1" applyBorder="1" applyAlignment="1">
      <alignment horizontal="center" wrapText="1"/>
    </xf>
    <xf numFmtId="0" fontId="1" fillId="0" borderId="6" xfId="0" applyFont="1" applyBorder="1" applyAlignment="1">
      <alignment horizontal="center" wrapText="1"/>
    </xf>
    <xf numFmtId="0" fontId="19" fillId="0" borderId="6" xfId="0" applyFont="1" applyFill="1" applyBorder="1" applyAlignment="1">
      <alignment horizontal="center" vertical="center" wrapText="1"/>
    </xf>
    <xf numFmtId="0" fontId="1" fillId="0" borderId="24" xfId="0" applyFont="1" applyFill="1" applyBorder="1" applyAlignment="1">
      <alignment horizontal="center"/>
    </xf>
    <xf numFmtId="0" fontId="19" fillId="0" borderId="0" xfId="0" applyFont="1" applyAlignment="1">
      <alignment horizontal="center"/>
    </xf>
    <xf numFmtId="0" fontId="1" fillId="0" borderId="0" xfId="0" applyFont="1" applyFill="1" applyAlignment="1">
      <alignment horizontal="left" indent="1"/>
    </xf>
    <xf numFmtId="0" fontId="13" fillId="0" borderId="0" xfId="0" applyFont="1" applyFill="1" applyAlignment="1">
      <alignment horizontal="left" indent="1"/>
    </xf>
    <xf numFmtId="0" fontId="2" fillId="3" borderId="9" xfId="0" applyFont="1" applyFill="1" applyBorder="1" applyAlignment="1">
      <alignment horizontal="left" vertical="center" indent="1"/>
    </xf>
    <xf numFmtId="0" fontId="2" fillId="3" borderId="14" xfId="0" applyFont="1" applyFill="1" applyBorder="1" applyAlignment="1">
      <alignment horizontal="left" vertical="center" indent="1"/>
    </xf>
    <xf numFmtId="0" fontId="1" fillId="0" borderId="5" xfId="0" applyFont="1" applyFill="1" applyBorder="1" applyAlignment="1">
      <alignment horizontal="left" indent="1"/>
    </xf>
    <xf numFmtId="0" fontId="1" fillId="0" borderId="19" xfId="0" applyFont="1" applyFill="1" applyBorder="1" applyAlignment="1">
      <alignment horizontal="left" indent="1"/>
    </xf>
    <xf numFmtId="0" fontId="6" fillId="0" borderId="0" xfId="0" applyFont="1" applyFill="1" applyBorder="1" applyAlignment="1" applyProtection="1">
      <alignment horizontal="left" indent="1"/>
    </xf>
    <xf numFmtId="0" fontId="5"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2" fillId="0" borderId="0" xfId="0" applyFont="1" applyFill="1" applyBorder="1" applyAlignment="1" applyProtection="1">
      <alignment horizontal="left" indent="1"/>
    </xf>
    <xf numFmtId="0" fontId="1" fillId="0" borderId="21" xfId="0" applyFont="1" applyFill="1" applyBorder="1" applyAlignment="1" applyProtection="1">
      <alignment horizontal="left" indent="1"/>
    </xf>
    <xf numFmtId="0" fontId="1" fillId="0" borderId="24" xfId="0" applyFont="1" applyFill="1" applyBorder="1" applyAlignment="1" applyProtection="1">
      <alignment horizontal="left" indent="1"/>
    </xf>
    <xf numFmtId="0" fontId="16" fillId="0" borderId="0" xfId="0" applyFont="1" applyFill="1" applyBorder="1" applyAlignment="1" applyProtection="1">
      <alignment horizontal="left" indent="1"/>
    </xf>
    <xf numFmtId="0" fontId="16" fillId="0" borderId="1" xfId="0" applyFont="1" applyFill="1" applyBorder="1" applyAlignment="1" applyProtection="1">
      <alignment horizontal="left" indent="1"/>
    </xf>
    <xf numFmtId="0" fontId="5" fillId="0" borderId="1" xfId="0" applyFont="1" applyFill="1" applyBorder="1" applyAlignment="1" applyProtection="1">
      <alignment horizontal="left" indent="1"/>
    </xf>
    <xf numFmtId="0" fontId="1" fillId="0" borderId="1" xfId="0" applyFont="1" applyFill="1" applyBorder="1" applyAlignment="1" applyProtection="1">
      <alignment horizontal="left" indent="1"/>
    </xf>
    <xf numFmtId="0" fontId="1" fillId="0" borderId="6" xfId="0" applyFont="1" applyFill="1" applyBorder="1" applyAlignment="1" applyProtection="1">
      <alignment horizontal="left" indent="1"/>
    </xf>
    <xf numFmtId="0" fontId="11" fillId="0" borderId="1" xfId="0" applyFont="1" applyFill="1" applyBorder="1" applyAlignment="1" applyProtection="1">
      <alignment horizontal="left" indent="1"/>
    </xf>
    <xf numFmtId="37" fontId="1" fillId="0" borderId="1" xfId="0" applyNumberFormat="1" applyFont="1" applyFill="1" applyBorder="1" applyAlignment="1" applyProtection="1">
      <alignment horizontal="left" indent="1"/>
    </xf>
    <xf numFmtId="0" fontId="1" fillId="0" borderId="1" xfId="0" applyFont="1" applyFill="1" applyBorder="1" applyAlignment="1">
      <alignment horizontal="left" indent="1"/>
    </xf>
    <xf numFmtId="0" fontId="1" fillId="0" borderId="6" xfId="0" applyFont="1" applyFill="1" applyBorder="1" applyAlignment="1">
      <alignment horizontal="left" indent="1"/>
    </xf>
    <xf numFmtId="0" fontId="1" fillId="0" borderId="1" xfId="0" quotePrefix="1" applyFont="1" applyFill="1" applyBorder="1" applyAlignment="1">
      <alignment horizontal="left" indent="1"/>
    </xf>
    <xf numFmtId="0" fontId="1" fillId="0" borderId="0" xfId="0" applyFont="1" applyFill="1" applyBorder="1" applyAlignment="1">
      <alignment horizontal="left" indent="1"/>
    </xf>
    <xf numFmtId="0" fontId="17" fillId="0" borderId="0" xfId="0" applyFont="1" applyFill="1" applyBorder="1" applyAlignment="1">
      <alignment horizontal="left" indent="1"/>
    </xf>
    <xf numFmtId="0" fontId="1" fillId="0" borderId="2" xfId="0" quotePrefix="1" applyFont="1" applyFill="1" applyBorder="1" applyAlignment="1">
      <alignment horizontal="left" indent="1"/>
    </xf>
    <xf numFmtId="0" fontId="1" fillId="0" borderId="2" xfId="0" quotePrefix="1" applyFont="1" applyFill="1" applyBorder="1" applyAlignment="1">
      <alignment horizontal="left" vertical="center" wrapText="1" indent="1"/>
    </xf>
    <xf numFmtId="0" fontId="1" fillId="0" borderId="2" xfId="0" quotePrefix="1" applyFont="1" applyFill="1" applyBorder="1" applyAlignment="1">
      <alignment horizontal="left" wrapText="1" indent="1"/>
    </xf>
    <xf numFmtId="0" fontId="1" fillId="0" borderId="0" xfId="0" quotePrefix="1" applyFont="1" applyFill="1" applyBorder="1" applyAlignment="1">
      <alignment horizontal="left" indent="1"/>
    </xf>
    <xf numFmtId="0" fontId="1" fillId="0" borderId="22" xfId="0" quotePrefix="1" applyFont="1" applyFill="1" applyBorder="1" applyAlignment="1">
      <alignment horizontal="left" indent="1"/>
    </xf>
    <xf numFmtId="0" fontId="1" fillId="0" borderId="7" xfId="0" quotePrefix="1" applyFont="1" applyFill="1" applyBorder="1" applyAlignment="1">
      <alignment horizontal="left" indent="1"/>
    </xf>
    <xf numFmtId="0" fontId="17" fillId="0" borderId="1" xfId="0" applyFont="1" applyFill="1" applyBorder="1" applyAlignment="1">
      <alignment horizontal="left" indent="1"/>
    </xf>
    <xf numFmtId="0" fontId="1" fillId="0" borderId="1" xfId="0" applyFont="1" applyFill="1" applyBorder="1" applyAlignment="1">
      <alignment horizontal="left" wrapText="1" indent="1"/>
    </xf>
    <xf numFmtId="0" fontId="1" fillId="0" borderId="2" xfId="0" applyFont="1" applyFill="1" applyBorder="1" applyAlignment="1">
      <alignment horizontal="left" indent="1"/>
    </xf>
    <xf numFmtId="0" fontId="1" fillId="0" borderId="0" xfId="0" applyFont="1" applyBorder="1" applyAlignment="1">
      <alignment horizontal="left" indent="1"/>
    </xf>
    <xf numFmtId="0" fontId="1" fillId="0" borderId="0" xfId="0" applyFont="1" applyBorder="1" applyAlignment="1">
      <alignment horizontal="left" vertical="center" wrapText="1" indent="1"/>
    </xf>
    <xf numFmtId="0" fontId="1" fillId="0" borderId="0" xfId="0" applyFont="1" applyAlignment="1">
      <alignment horizontal="left" vertical="center" wrapText="1" indent="1"/>
    </xf>
    <xf numFmtId="0" fontId="1" fillId="0" borderId="0" xfId="0" applyFont="1" applyBorder="1" applyAlignment="1">
      <alignment horizontal="left" wrapText="1" indent="1"/>
    </xf>
    <xf numFmtId="0" fontId="1" fillId="0" borderId="21" xfId="0" applyFont="1" applyBorder="1" applyAlignment="1">
      <alignment horizontal="left" indent="1"/>
    </xf>
    <xf numFmtId="0" fontId="17" fillId="0" borderId="0" xfId="0" applyFont="1" applyBorder="1" applyAlignment="1">
      <alignment horizontal="left" indent="1"/>
    </xf>
    <xf numFmtId="0" fontId="1" fillId="0" borderId="3" xfId="0" applyFont="1" applyBorder="1" applyAlignment="1">
      <alignment horizontal="left" wrapText="1" indent="1"/>
    </xf>
    <xf numFmtId="0" fontId="1" fillId="0" borderId="4" xfId="0" applyFont="1" applyFill="1" applyBorder="1" applyAlignment="1">
      <alignment horizontal="left" indent="1"/>
    </xf>
    <xf numFmtId="0" fontId="1" fillId="0" borderId="7" xfId="0" applyFont="1" applyFill="1" applyBorder="1" applyAlignment="1">
      <alignment horizontal="left" indent="1"/>
    </xf>
    <xf numFmtId="0" fontId="17" fillId="0" borderId="1" xfId="0" applyFont="1" applyBorder="1" applyAlignment="1">
      <alignment horizontal="left" indent="1"/>
    </xf>
    <xf numFmtId="0" fontId="1" fillId="0" borderId="1" xfId="0" applyFont="1" applyBorder="1" applyAlignment="1">
      <alignment horizontal="left" indent="1"/>
    </xf>
    <xf numFmtId="0" fontId="1" fillId="0" borderId="1" xfId="0" applyFont="1" applyBorder="1" applyAlignment="1">
      <alignment horizontal="left" wrapText="1" indent="1"/>
    </xf>
    <xf numFmtId="0" fontId="1" fillId="0" borderId="21" xfId="0" applyFont="1" applyBorder="1" applyAlignment="1">
      <alignment horizontal="left" wrapText="1" indent="1"/>
    </xf>
    <xf numFmtId="0" fontId="1" fillId="0" borderId="0" xfId="0" applyFont="1" applyFill="1" applyBorder="1" applyAlignment="1">
      <alignment horizontal="left" wrapText="1" indent="1"/>
    </xf>
    <xf numFmtId="0" fontId="1" fillId="0" borderId="0" xfId="0" applyFont="1" applyFill="1" applyBorder="1" applyAlignment="1">
      <alignment horizontal="left" vertical="center" wrapText="1" indent="1"/>
    </xf>
    <xf numFmtId="0" fontId="19" fillId="0" borderId="21" xfId="0" applyFont="1" applyFill="1" applyBorder="1" applyAlignment="1">
      <alignment horizontal="left" wrapText="1" indent="1"/>
    </xf>
    <xf numFmtId="0" fontId="19" fillId="0" borderId="0" xfId="0" applyFont="1" applyFill="1" applyBorder="1" applyAlignment="1">
      <alignment horizontal="left" wrapText="1" indent="1"/>
    </xf>
    <xf numFmtId="0" fontId="1" fillId="0" borderId="21" xfId="0" applyFont="1" applyFill="1" applyBorder="1" applyAlignment="1">
      <alignment horizontal="left" wrapText="1" indent="1"/>
    </xf>
    <xf numFmtId="0" fontId="19" fillId="0" borderId="1" xfId="0" applyFont="1" applyFill="1" applyBorder="1" applyAlignment="1">
      <alignment horizontal="left" wrapText="1" indent="1"/>
    </xf>
    <xf numFmtId="0" fontId="1" fillId="0" borderId="0" xfId="0" applyFont="1" applyAlignment="1">
      <alignment horizontal="left" indent="1"/>
    </xf>
    <xf numFmtId="0" fontId="19" fillId="0" borderId="0" xfId="0" applyFont="1" applyAlignment="1">
      <alignment horizontal="left" indent="1"/>
    </xf>
    <xf numFmtId="0" fontId="6" fillId="0" borderId="0" xfId="0" applyFont="1" applyFill="1" applyBorder="1" applyAlignment="1">
      <alignment horizontal="center"/>
    </xf>
    <xf numFmtId="4" fontId="9" fillId="0" borderId="0" xfId="0" applyNumberFormat="1" applyFont="1" applyFill="1" applyBorder="1" applyAlignment="1">
      <alignment horizontal="center"/>
    </xf>
    <xf numFmtId="0" fontId="0" fillId="0" borderId="0" xfId="0" applyAlignment="1">
      <alignment horizontal="center"/>
    </xf>
    <xf numFmtId="37" fontId="1" fillId="0" borderId="1" xfId="0" applyNumberFormat="1" applyFont="1" applyFill="1" applyBorder="1" applyAlignment="1" applyProtection="1">
      <alignment horizontal="center"/>
    </xf>
    <xf numFmtId="0" fontId="0" fillId="0" borderId="6" xfId="0" applyFill="1" applyBorder="1" applyAlignment="1">
      <alignment horizontal="center" vertical="center"/>
    </xf>
    <xf numFmtId="0" fontId="1" fillId="0" borderId="1" xfId="0" applyFont="1" applyBorder="1" applyAlignment="1">
      <alignment horizontal="center" vertical="top"/>
    </xf>
    <xf numFmtId="0" fontId="1" fillId="4" borderId="1" xfId="0" applyFont="1" applyFill="1" applyBorder="1" applyAlignment="1">
      <alignment horizontal="center" vertical="top"/>
    </xf>
    <xf numFmtId="0" fontId="24" fillId="4" borderId="1" xfId="0" applyFont="1" applyFill="1" applyBorder="1" applyAlignment="1">
      <alignment horizontal="center" vertical="top"/>
    </xf>
    <xf numFmtId="0" fontId="24" fillId="0" borderId="1" xfId="0" applyFont="1" applyBorder="1" applyAlignment="1">
      <alignment horizontal="center" vertical="top"/>
    </xf>
    <xf numFmtId="0" fontId="24" fillId="0" borderId="6" xfId="0" applyFont="1" applyBorder="1" applyAlignment="1">
      <alignment horizontal="center" vertical="top"/>
    </xf>
    <xf numFmtId="0" fontId="33" fillId="0" borderId="1" xfId="0" applyFont="1" applyFill="1" applyBorder="1" applyAlignment="1">
      <alignment horizontal="center" vertical="center"/>
    </xf>
    <xf numFmtId="0" fontId="1" fillId="0" borderId="6" xfId="0" applyFont="1" applyBorder="1" applyAlignment="1">
      <alignment horizontal="center" vertical="top"/>
    </xf>
    <xf numFmtId="166" fontId="1" fillId="0" borderId="24" xfId="0" quotePrefix="1" applyNumberFormat="1" applyFont="1" applyFill="1" applyBorder="1" applyAlignment="1">
      <alignment horizontal="center" vertical="center"/>
    </xf>
    <xf numFmtId="166" fontId="1" fillId="4" borderId="1" xfId="0" applyNumberFormat="1" applyFont="1" applyFill="1" applyBorder="1" applyAlignment="1">
      <alignment horizontal="center" vertical="top"/>
    </xf>
    <xf numFmtId="166" fontId="24" fillId="4" borderId="1" xfId="0" applyNumberFormat="1" applyFont="1" applyFill="1" applyBorder="1" applyAlignment="1">
      <alignment horizontal="center" vertical="top"/>
    </xf>
    <xf numFmtId="166" fontId="1" fillId="0" borderId="1" xfId="0" applyNumberFormat="1" applyFont="1" applyBorder="1" applyAlignment="1">
      <alignment horizontal="center" vertical="top"/>
    </xf>
    <xf numFmtId="166" fontId="24" fillId="0" borderId="1" xfId="0" applyNumberFormat="1" applyFont="1" applyBorder="1" applyAlignment="1">
      <alignment horizontal="center" vertical="top"/>
    </xf>
    <xf numFmtId="166" fontId="1" fillId="0" borderId="6" xfId="0" applyNumberFormat="1" applyFont="1" applyBorder="1" applyAlignment="1">
      <alignment horizontal="center" vertical="top"/>
    </xf>
    <xf numFmtId="166" fontId="34" fillId="0" borderId="1" xfId="0" applyNumberFormat="1" applyFont="1" applyBorder="1" applyAlignment="1">
      <alignment horizontal="center" vertical="top"/>
    </xf>
    <xf numFmtId="166" fontId="2" fillId="4" borderId="1" xfId="0" applyNumberFormat="1" applyFont="1" applyFill="1" applyBorder="1" applyAlignment="1">
      <alignment horizontal="center" vertical="top"/>
    </xf>
    <xf numFmtId="166" fontId="2" fillId="0" borderId="1" xfId="0" applyNumberFormat="1" applyFont="1" applyBorder="1" applyAlignment="1">
      <alignment horizontal="center" vertical="top"/>
    </xf>
    <xf numFmtId="166" fontId="2" fillId="0" borderId="6" xfId="0" applyNumberFormat="1" applyFont="1" applyBorder="1" applyAlignment="1">
      <alignment horizontal="center" vertical="top"/>
    </xf>
    <xf numFmtId="0" fontId="1" fillId="0" borderId="24" xfId="0" applyFont="1" applyFill="1" applyBorder="1" applyAlignment="1">
      <alignment horizontal="center" vertical="center"/>
    </xf>
    <xf numFmtId="0" fontId="1" fillId="0" borderId="1" xfId="0" applyFont="1" applyFill="1" applyBorder="1" applyAlignment="1">
      <alignment horizontal="center" vertical="top"/>
    </xf>
    <xf numFmtId="0" fontId="24" fillId="0" borderId="1" xfId="0" applyFont="1" applyFill="1" applyBorder="1" applyAlignment="1">
      <alignment horizontal="center" vertical="top"/>
    </xf>
    <xf numFmtId="0" fontId="32" fillId="0" borderId="1" xfId="0" applyFont="1" applyBorder="1" applyAlignment="1">
      <alignment horizontal="center" vertical="top"/>
    </xf>
    <xf numFmtId="0" fontId="1" fillId="4" borderId="1" xfId="0" applyFont="1" applyFill="1" applyBorder="1" applyAlignment="1">
      <alignment horizontal="left" vertical="top" wrapText="1" indent="1"/>
    </xf>
    <xf numFmtId="0" fontId="24" fillId="0" borderId="1" xfId="0" applyFont="1" applyBorder="1" applyAlignment="1">
      <alignment horizontal="left" vertical="top" wrapText="1" indent="1"/>
    </xf>
    <xf numFmtId="0" fontId="24" fillId="4" borderId="1" xfId="0" applyFont="1" applyFill="1" applyBorder="1" applyAlignment="1">
      <alignment horizontal="left" vertical="top" wrapText="1" indent="1"/>
    </xf>
    <xf numFmtId="0" fontId="1" fillId="0" borderId="1" xfId="0" applyFont="1" applyBorder="1" applyAlignment="1">
      <alignment horizontal="left" vertical="top" wrapText="1" indent="1"/>
    </xf>
    <xf numFmtId="0" fontId="24" fillId="0" borderId="6" xfId="0" applyFont="1" applyBorder="1" applyAlignment="1">
      <alignment horizontal="left" vertical="top" wrapText="1" indent="1"/>
    </xf>
    <xf numFmtId="0" fontId="32" fillId="0" borderId="1" xfId="0" applyFont="1" applyBorder="1" applyAlignment="1">
      <alignment horizontal="left" vertical="top" wrapText="1" indent="1"/>
    </xf>
    <xf numFmtId="0" fontId="1" fillId="0" borderId="6" xfId="0" applyFont="1" applyBorder="1" applyAlignment="1">
      <alignment horizontal="left" vertical="top" wrapText="1" indent="1"/>
    </xf>
    <xf numFmtId="0" fontId="1" fillId="4" borderId="1" xfId="3"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1" xfId="3" applyFont="1" applyFill="1" applyBorder="1" applyAlignment="1">
      <alignment horizontal="center" vertical="top" wrapText="1"/>
    </xf>
    <xf numFmtId="0" fontId="1" fillId="0" borderId="1" xfId="0" applyFont="1" applyBorder="1" applyAlignment="1">
      <alignment horizontal="center" vertical="top" wrapText="1"/>
    </xf>
    <xf numFmtId="0" fontId="24" fillId="0" borderId="1" xfId="0" applyFont="1" applyBorder="1" applyAlignment="1">
      <alignment horizontal="center" vertical="top" wrapText="1"/>
    </xf>
    <xf numFmtId="0" fontId="1" fillId="4" borderId="1" xfId="0" applyFont="1" applyFill="1" applyBorder="1" applyAlignment="1">
      <alignment horizontal="center" vertical="top" wrapText="1"/>
    </xf>
    <xf numFmtId="0" fontId="24" fillId="0" borderId="6" xfId="0" applyFont="1" applyBorder="1" applyAlignment="1">
      <alignment horizontal="center" vertical="top" wrapText="1"/>
    </xf>
    <xf numFmtId="0" fontId="32" fillId="0" borderId="1" xfId="0" applyFont="1" applyBorder="1" applyAlignment="1">
      <alignment horizontal="center" vertical="top" wrapText="1"/>
    </xf>
    <xf numFmtId="0" fontId="1" fillId="0" borderId="1" xfId="3" applyFont="1" applyBorder="1" applyAlignment="1">
      <alignment horizontal="center" vertical="top" wrapText="1"/>
    </xf>
    <xf numFmtId="0" fontId="1" fillId="0" borderId="6" xfId="3" applyFont="1" applyBorder="1" applyAlignment="1">
      <alignment horizontal="center" vertical="top" wrapText="1"/>
    </xf>
    <xf numFmtId="9" fontId="24" fillId="4" borderId="1" xfId="0" quotePrefix="1" applyNumberFormat="1" applyFont="1" applyFill="1" applyBorder="1" applyAlignment="1">
      <alignment horizontal="center" vertical="top" wrapText="1"/>
    </xf>
    <xf numFmtId="0" fontId="24" fillId="0" borderId="1" xfId="3" applyFont="1" applyBorder="1" applyAlignment="1">
      <alignment horizontal="center" vertical="top" wrapText="1"/>
    </xf>
    <xf numFmtId="9" fontId="1" fillId="0" borderId="1" xfId="0" quotePrefix="1" applyNumberFormat="1" applyFont="1" applyBorder="1" applyAlignment="1">
      <alignment horizontal="center" vertical="top" wrapText="1"/>
    </xf>
    <xf numFmtId="9" fontId="24" fillId="0" borderId="1" xfId="0" quotePrefix="1" applyNumberFormat="1" applyFont="1" applyBorder="1" applyAlignment="1">
      <alignment horizontal="center" vertical="top" wrapText="1"/>
    </xf>
    <xf numFmtId="9" fontId="1" fillId="4" borderId="1" xfId="0" quotePrefix="1" applyNumberFormat="1" applyFont="1" applyFill="1" applyBorder="1" applyAlignment="1">
      <alignment horizontal="center" vertical="top" wrapText="1"/>
    </xf>
    <xf numFmtId="9" fontId="24" fillId="0" borderId="6" xfId="0" quotePrefix="1" applyNumberFormat="1" applyFont="1" applyBorder="1" applyAlignment="1">
      <alignment horizontal="center" vertical="top" wrapText="1"/>
    </xf>
    <xf numFmtId="9" fontId="32" fillId="0" borderId="1" xfId="0" quotePrefix="1" applyNumberFormat="1" applyFont="1" applyBorder="1" applyAlignment="1">
      <alignment horizontal="center" vertical="top" wrapText="1"/>
    </xf>
    <xf numFmtId="9" fontId="1" fillId="2" borderId="3" xfId="0" quotePrefix="1" applyNumberFormat="1" applyFont="1" applyFill="1" applyBorder="1" applyAlignment="1">
      <alignment horizontal="center" vertical="top"/>
    </xf>
    <xf numFmtId="9" fontId="1" fillId="2" borderId="0" xfId="0" quotePrefix="1" applyNumberFormat="1" applyFont="1" applyFill="1" applyBorder="1" applyAlignment="1">
      <alignment horizontal="center" vertical="top"/>
    </xf>
    <xf numFmtId="9" fontId="21" fillId="2" borderId="2" xfId="4" applyFont="1" applyFill="1" applyBorder="1" applyAlignment="1">
      <alignment horizontal="center" vertical="top"/>
    </xf>
    <xf numFmtId="9" fontId="1" fillId="2" borderId="2" xfId="0" quotePrefix="1" applyNumberFormat="1" applyFont="1" applyFill="1" applyBorder="1" applyAlignment="1">
      <alignment horizontal="center" vertical="top"/>
    </xf>
    <xf numFmtId="9" fontId="24" fillId="2" borderId="3" xfId="0" quotePrefix="1" applyNumberFormat="1" applyFont="1" applyFill="1" applyBorder="1" applyAlignment="1">
      <alignment horizontal="center" vertical="top"/>
    </xf>
    <xf numFmtId="9" fontId="24" fillId="2" borderId="0" xfId="0" quotePrefix="1" applyNumberFormat="1" applyFont="1" applyFill="1" applyBorder="1" applyAlignment="1">
      <alignment horizontal="center" vertical="top"/>
    </xf>
    <xf numFmtId="9" fontId="30" fillId="2" borderId="0" xfId="4" applyFont="1" applyFill="1" applyBorder="1" applyAlignment="1">
      <alignment horizontal="center" vertical="top"/>
    </xf>
    <xf numFmtId="9" fontId="1" fillId="0" borderId="3" xfId="4" quotePrefix="1" applyFont="1" applyFill="1" applyBorder="1" applyAlignment="1">
      <alignment horizontal="center" vertical="top"/>
    </xf>
    <xf numFmtId="9" fontId="1" fillId="0" borderId="0" xfId="0" quotePrefix="1" applyNumberFormat="1" applyFont="1" applyBorder="1" applyAlignment="1">
      <alignment horizontal="center" vertical="top"/>
    </xf>
    <xf numFmtId="9" fontId="21" fillId="0" borderId="2" xfId="4" applyFont="1" applyFill="1" applyBorder="1" applyAlignment="1">
      <alignment horizontal="center" vertical="top"/>
    </xf>
    <xf numFmtId="9" fontId="1" fillId="0" borderId="3" xfId="0" quotePrefix="1" applyNumberFormat="1" applyFont="1" applyBorder="1" applyAlignment="1">
      <alignment horizontal="center" vertical="top"/>
    </xf>
    <xf numFmtId="9" fontId="1" fillId="0" borderId="2" xfId="4" applyFont="1" applyFill="1" applyBorder="1" applyAlignment="1">
      <alignment horizontal="center" vertical="top"/>
    </xf>
    <xf numFmtId="9" fontId="21" fillId="0" borderId="0" xfId="4" applyFont="1" applyFill="1" applyBorder="1" applyAlignment="1">
      <alignment horizontal="center" vertical="top"/>
    </xf>
    <xf numFmtId="9" fontId="1" fillId="0" borderId="2" xfId="0" quotePrefix="1" applyNumberFormat="1" applyFont="1" applyBorder="1" applyAlignment="1">
      <alignment horizontal="center" vertical="top"/>
    </xf>
    <xf numFmtId="9" fontId="24" fillId="0" borderId="3" xfId="4" quotePrefix="1" applyFont="1" applyFill="1" applyBorder="1" applyAlignment="1">
      <alignment horizontal="center" vertical="top"/>
    </xf>
    <xf numFmtId="9" fontId="24" fillId="0" borderId="0" xfId="0" quotePrefix="1" applyNumberFormat="1" applyFont="1" applyBorder="1" applyAlignment="1">
      <alignment horizontal="center" vertical="top"/>
    </xf>
    <xf numFmtId="9" fontId="21" fillId="2" borderId="0" xfId="4" applyFont="1" applyFill="1" applyBorder="1" applyAlignment="1">
      <alignment horizontal="center" vertical="top"/>
    </xf>
    <xf numFmtId="9" fontId="1" fillId="2" borderId="0" xfId="4" applyFont="1" applyFill="1" applyBorder="1" applyAlignment="1">
      <alignment horizontal="center" vertical="top"/>
    </xf>
    <xf numFmtId="9" fontId="24" fillId="0" borderId="4" xfId="4" quotePrefix="1" applyFont="1" applyFill="1" applyBorder="1" applyAlignment="1">
      <alignment horizontal="center" vertical="top"/>
    </xf>
    <xf numFmtId="9" fontId="24" fillId="0" borderId="21" xfId="0" quotePrefix="1" applyNumberFormat="1" applyFont="1" applyBorder="1" applyAlignment="1">
      <alignment horizontal="center" vertical="top"/>
    </xf>
    <xf numFmtId="9" fontId="24" fillId="0" borderId="22" xfId="4" applyFont="1" applyFill="1" applyBorder="1" applyAlignment="1">
      <alignment horizontal="center" vertical="top"/>
    </xf>
    <xf numFmtId="9" fontId="32" fillId="0" borderId="3" xfId="4" quotePrefix="1" applyFont="1" applyFill="1" applyBorder="1" applyAlignment="1">
      <alignment horizontal="center" vertical="top"/>
    </xf>
    <xf numFmtId="9" fontId="32" fillId="0" borderId="0" xfId="0" quotePrefix="1" applyNumberFormat="1" applyFont="1" applyBorder="1" applyAlignment="1">
      <alignment horizontal="center" vertical="top"/>
    </xf>
    <xf numFmtId="9" fontId="32" fillId="0" borderId="2" xfId="4" applyFont="1" applyFill="1" applyBorder="1" applyAlignment="1">
      <alignment horizontal="center" vertical="top"/>
    </xf>
    <xf numFmtId="10" fontId="1" fillId="2" borderId="3" xfId="0" quotePrefix="1" applyNumberFormat="1" applyFont="1" applyFill="1" applyBorder="1" applyAlignment="1">
      <alignment horizontal="left" vertical="top" indent="1"/>
    </xf>
    <xf numFmtId="9" fontId="1" fillId="2" borderId="2" xfId="4" applyFont="1" applyFill="1" applyBorder="1" applyAlignment="1">
      <alignment horizontal="center" vertical="top" wrapText="1"/>
    </xf>
    <xf numFmtId="9" fontId="2" fillId="2" borderId="2" xfId="4" applyFont="1" applyFill="1" applyBorder="1" applyAlignment="1">
      <alignment horizontal="center" vertical="top"/>
    </xf>
    <xf numFmtId="10" fontId="1" fillId="0" borderId="3" xfId="0" quotePrefix="1" applyNumberFormat="1" applyFont="1" applyFill="1" applyBorder="1" applyAlignment="1">
      <alignment horizontal="left" vertical="top" indent="1"/>
    </xf>
    <xf numFmtId="9" fontId="2" fillId="0" borderId="2" xfId="4" applyFont="1" applyFill="1" applyBorder="1" applyAlignment="1">
      <alignment horizontal="center" vertical="top"/>
    </xf>
    <xf numFmtId="10" fontId="1" fillId="0" borderId="3" xfId="0" quotePrefix="1" applyNumberFormat="1" applyFont="1" applyBorder="1" applyAlignment="1">
      <alignment horizontal="left" vertical="top" indent="1"/>
    </xf>
    <xf numFmtId="10" fontId="1" fillId="0" borderId="4" xfId="0" quotePrefix="1" applyNumberFormat="1" applyFont="1" applyBorder="1" applyAlignment="1">
      <alignment horizontal="left" vertical="top" indent="1"/>
    </xf>
    <xf numFmtId="9" fontId="1" fillId="0" borderId="21" xfId="0" quotePrefix="1" applyNumberFormat="1" applyFont="1" applyBorder="1" applyAlignment="1">
      <alignment horizontal="center" vertical="top"/>
    </xf>
    <xf numFmtId="9" fontId="2" fillId="0" borderId="22" xfId="4" applyFont="1" applyFill="1" applyBorder="1" applyAlignment="1">
      <alignment horizontal="center" vertical="top"/>
    </xf>
    <xf numFmtId="0" fontId="1" fillId="0" borderId="0" xfId="0" applyFont="1" applyFill="1" applyBorder="1" applyAlignment="1">
      <alignment horizontal="center" vertical="top"/>
    </xf>
    <xf numFmtId="3" fontId="1" fillId="0" borderId="0" xfId="2" applyNumberFormat="1" applyFont="1" applyFill="1" applyBorder="1" applyAlignment="1">
      <alignment horizontal="center" vertical="top"/>
    </xf>
    <xf numFmtId="0" fontId="34" fillId="2" borderId="0" xfId="0" applyFont="1" applyFill="1"/>
    <xf numFmtId="0" fontId="37" fillId="0" borderId="0" xfId="0" applyFont="1"/>
    <xf numFmtId="0" fontId="37" fillId="4" borderId="0" xfId="0" applyFont="1" applyFill="1"/>
    <xf numFmtId="0" fontId="11" fillId="0" borderId="24" xfId="0" applyFont="1" applyFill="1" applyBorder="1" applyAlignment="1">
      <alignment horizontal="center" vertical="center"/>
    </xf>
    <xf numFmtId="165" fontId="1" fillId="0" borderId="26" xfId="0" applyNumberFormat="1" applyFont="1" applyFill="1" applyBorder="1" applyAlignment="1">
      <alignment horizontal="center"/>
    </xf>
    <xf numFmtId="0" fontId="1" fillId="0" borderId="25" xfId="0" applyFont="1" applyFill="1" applyBorder="1" applyAlignment="1">
      <alignment horizontal="center"/>
    </xf>
    <xf numFmtId="0" fontId="1" fillId="0" borderId="26" xfId="0" applyFont="1" applyFill="1" applyBorder="1" applyAlignment="1">
      <alignment horizontal="center"/>
    </xf>
    <xf numFmtId="0" fontId="1" fillId="0" borderId="25" xfId="0" applyFont="1" applyFill="1" applyBorder="1" applyAlignment="1">
      <alignment horizontal="left" indent="1"/>
    </xf>
    <xf numFmtId="3" fontId="1" fillId="0" borderId="25" xfId="2" applyNumberFormat="1" applyFont="1" applyFill="1" applyBorder="1" applyAlignment="1">
      <alignment horizontal="center"/>
    </xf>
    <xf numFmtId="167" fontId="1" fillId="0" borderId="27" xfId="1" applyNumberFormat="1" applyFont="1" applyFill="1" applyBorder="1" applyAlignment="1">
      <alignment horizontal="left"/>
    </xf>
    <xf numFmtId="167" fontId="1" fillId="0" borderId="2" xfId="1" applyNumberFormat="1" applyFont="1" applyFill="1" applyBorder="1" applyAlignment="1">
      <alignment horizontal="left" vertical="top"/>
    </xf>
    <xf numFmtId="0" fontId="1" fillId="0" borderId="21" xfId="0" applyFont="1" applyFill="1" applyBorder="1" applyAlignment="1">
      <alignment horizontal="center" vertical="top"/>
    </xf>
    <xf numFmtId="3" fontId="1" fillId="0" borderId="21" xfId="2" applyNumberFormat="1" applyFont="1" applyFill="1" applyBorder="1" applyAlignment="1">
      <alignment horizontal="center" vertical="top"/>
    </xf>
    <xf numFmtId="167" fontId="1" fillId="0" borderId="22" xfId="1" applyNumberFormat="1" applyFont="1" applyFill="1" applyBorder="1" applyAlignment="1">
      <alignment horizontal="left" vertical="top"/>
    </xf>
    <xf numFmtId="0" fontId="3" fillId="0" borderId="1" xfId="0" applyFont="1" applyFill="1" applyBorder="1" applyAlignment="1">
      <alignment horizontal="left" vertical="center"/>
    </xf>
    <xf numFmtId="0" fontId="1" fillId="0" borderId="3" xfId="0" applyFont="1" applyFill="1" applyBorder="1" applyAlignment="1">
      <alignment horizontal="center" vertical="top"/>
    </xf>
    <xf numFmtId="0" fontId="19" fillId="0" borderId="1" xfId="0" applyFont="1" applyBorder="1" applyAlignment="1">
      <alignment horizontal="center" vertical="top" wrapText="1"/>
    </xf>
    <xf numFmtId="0" fontId="1" fillId="0" borderId="0" xfId="0" applyFont="1" applyFill="1" applyAlignment="1">
      <alignment horizontal="center" vertical="top"/>
    </xf>
    <xf numFmtId="0" fontId="31" fillId="0" borderId="0" xfId="0" applyFont="1" applyFill="1" applyAlignment="1" applyProtection="1">
      <alignment horizontal="center"/>
    </xf>
    <xf numFmtId="0" fontId="2" fillId="0" borderId="0" xfId="0" applyFont="1" applyFill="1" applyAlignment="1" applyProtection="1">
      <alignment horizontal="center"/>
    </xf>
    <xf numFmtId="0" fontId="1" fillId="0" borderId="0" xfId="0" applyFont="1" applyFill="1" applyBorder="1" applyAlignment="1">
      <alignment wrapText="1"/>
    </xf>
    <xf numFmtId="0" fontId="0" fillId="0" borderId="0" xfId="0" applyAlignment="1">
      <alignment wrapText="1"/>
    </xf>
    <xf numFmtId="0" fontId="2" fillId="0" borderId="0" xfId="0" applyFont="1" applyAlignment="1">
      <alignment horizontal="justify" wrapText="1"/>
    </xf>
    <xf numFmtId="0" fontId="1" fillId="0" borderId="0" xfId="0" applyFont="1" applyAlignment="1">
      <alignment horizontal="justify" wrapText="1"/>
    </xf>
    <xf numFmtId="0" fontId="1" fillId="0" borderId="0" xfId="0" applyFont="1" applyAlignment="1">
      <alignment wrapText="1"/>
    </xf>
    <xf numFmtId="0" fontId="1" fillId="0" borderId="0" xfId="0" applyFont="1" applyFill="1" applyAlignment="1">
      <alignment wrapText="1"/>
    </xf>
    <xf numFmtId="0" fontId="12" fillId="0" borderId="0" xfId="0" applyFont="1" applyAlignment="1">
      <alignment horizontal="justify" vertical="justify" wrapText="1"/>
    </xf>
    <xf numFmtId="0" fontId="0" fillId="0" borderId="0" xfId="0" applyAlignment="1">
      <alignment horizontal="justify" vertical="justify" wrapText="1"/>
    </xf>
    <xf numFmtId="0" fontId="12" fillId="0" borderId="0" xfId="0" applyFont="1" applyAlignment="1">
      <alignment horizontal="justify" wrapText="1"/>
    </xf>
    <xf numFmtId="0" fontId="2" fillId="0" borderId="0" xfId="0" applyFont="1" applyAlignment="1">
      <alignment horizontal="left" vertical="center" wrapText="1"/>
    </xf>
    <xf numFmtId="0" fontId="14" fillId="0" borderId="0" xfId="0" applyFont="1" applyAlignment="1">
      <alignment horizontal="left" vertical="center" wrapText="1"/>
    </xf>
    <xf numFmtId="0" fontId="1" fillId="0" borderId="0" xfId="0" applyFont="1" applyAlignment="1">
      <alignment horizontal="left" vertical="center" wrapText="1"/>
    </xf>
    <xf numFmtId="0" fontId="2" fillId="0" borderId="0" xfId="0" applyFont="1" applyFill="1" applyAlignment="1">
      <alignment horizontal="left" vertical="center" wrapText="1"/>
    </xf>
    <xf numFmtId="0" fontId="14" fillId="0" borderId="0" xfId="0" applyFont="1" applyFill="1" applyAlignment="1">
      <alignment horizontal="left" vertical="center" wrapText="1"/>
    </xf>
    <xf numFmtId="0" fontId="1" fillId="0" borderId="0" xfId="0" applyNumberFormat="1" applyFont="1" applyAlignment="1">
      <alignment horizontal="justify" wrapText="1"/>
    </xf>
  </cellXfs>
  <cellStyles count="5">
    <cellStyle name="Millares" xfId="1" builtinId="3"/>
    <cellStyle name="Normal" xfId="0" builtinId="0"/>
    <cellStyle name="Normal 2 3" xfId="3"/>
    <cellStyle name="Porcentaje" xfId="2" builtinId="5"/>
    <cellStyle name="Porcentaje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1224"/>
  <sheetViews>
    <sheetView showGridLines="0" tabSelected="1" topLeftCell="B1" zoomScale="90" zoomScaleNormal="90" zoomScaleSheetLayoutView="100" workbookViewId="0">
      <selection activeCell="B5" sqref="B5:N5"/>
    </sheetView>
  </sheetViews>
  <sheetFormatPr baseColWidth="10" defaultRowHeight="12.75" x14ac:dyDescent="0.2"/>
  <cols>
    <col min="1" max="1" width="4.42578125" style="62" customWidth="1"/>
    <col min="2" max="2" width="40" style="62" customWidth="1"/>
    <col min="3" max="3" width="21.7109375" style="61" customWidth="1"/>
    <col min="4" max="4" width="20.85546875" style="62" customWidth="1"/>
    <col min="5" max="5" width="16.85546875" style="63" customWidth="1"/>
    <col min="6" max="6" width="76.42578125" style="480" customWidth="1"/>
    <col min="7" max="7" width="17.7109375" style="63" customWidth="1"/>
    <col min="8" max="8" width="24.85546875" style="63" customWidth="1"/>
    <col min="9" max="9" width="22.42578125" style="63" customWidth="1"/>
    <col min="10" max="10" width="12.28515625" style="63" customWidth="1"/>
    <col min="11" max="11" width="15.85546875" style="63" customWidth="1"/>
    <col min="12" max="12" width="8.28515625" style="63" customWidth="1"/>
    <col min="13" max="13" width="14" style="62" customWidth="1"/>
    <col min="14" max="14" width="17.5703125" style="62" customWidth="1"/>
    <col min="15" max="15" width="11.42578125" style="62"/>
    <col min="16" max="16" width="19.5703125" style="62" customWidth="1"/>
    <col min="17" max="16384" width="11.42578125" style="62"/>
  </cols>
  <sheetData>
    <row r="1" spans="2:14" x14ac:dyDescent="0.2">
      <c r="B1" s="1" t="s">
        <v>894</v>
      </c>
    </row>
    <row r="2" spans="2:14" x14ac:dyDescent="0.2">
      <c r="B2" s="1" t="s">
        <v>1315</v>
      </c>
    </row>
    <row r="3" spans="2:14" x14ac:dyDescent="0.2">
      <c r="C3" s="64"/>
      <c r="D3" s="65"/>
    </row>
    <row r="4" spans="2:14" ht="15.75" x14ac:dyDescent="0.25">
      <c r="B4" s="637" t="s">
        <v>2072</v>
      </c>
      <c r="C4" s="637"/>
      <c r="D4" s="637"/>
      <c r="E4" s="637"/>
      <c r="F4" s="637"/>
      <c r="G4" s="637"/>
      <c r="H4" s="637"/>
      <c r="I4" s="637"/>
      <c r="J4" s="637"/>
      <c r="K4" s="637"/>
      <c r="L4" s="637"/>
      <c r="M4" s="637"/>
      <c r="N4" s="637"/>
    </row>
    <row r="5" spans="2:14" ht="15.75" x14ac:dyDescent="0.25">
      <c r="B5" s="637" t="s">
        <v>820</v>
      </c>
      <c r="C5" s="637"/>
      <c r="D5" s="637"/>
      <c r="E5" s="637"/>
      <c r="F5" s="637"/>
      <c r="G5" s="637"/>
      <c r="H5" s="637"/>
      <c r="I5" s="637"/>
      <c r="J5" s="637"/>
      <c r="K5" s="637"/>
      <c r="L5" s="637"/>
      <c r="M5" s="637"/>
      <c r="N5" s="637"/>
    </row>
    <row r="6" spans="2:14" x14ac:dyDescent="0.2">
      <c r="B6" s="638" t="s">
        <v>986</v>
      </c>
      <c r="C6" s="638"/>
      <c r="D6" s="638"/>
      <c r="E6" s="638"/>
      <c r="F6" s="638"/>
      <c r="G6" s="638"/>
      <c r="H6" s="638"/>
      <c r="I6" s="638"/>
      <c r="J6" s="638"/>
      <c r="K6" s="638"/>
      <c r="L6" s="638"/>
      <c r="M6" s="638"/>
      <c r="N6" s="638"/>
    </row>
    <row r="7" spans="2:14" x14ac:dyDescent="0.2">
      <c r="B7" s="638" t="s">
        <v>993</v>
      </c>
      <c r="C7" s="638"/>
      <c r="D7" s="638"/>
      <c r="E7" s="638"/>
      <c r="F7" s="638"/>
      <c r="G7" s="638"/>
      <c r="H7" s="638"/>
      <c r="I7" s="638"/>
      <c r="J7" s="638"/>
      <c r="K7" s="638"/>
      <c r="L7" s="638"/>
      <c r="M7" s="638"/>
      <c r="N7" s="638" t="s">
        <v>279</v>
      </c>
    </row>
    <row r="8" spans="2:14" ht="13.5" thickBot="1" x14ac:dyDescent="0.25">
      <c r="B8" s="66"/>
      <c r="C8" s="67"/>
      <c r="D8" s="66"/>
      <c r="E8" s="463"/>
      <c r="F8" s="481"/>
      <c r="G8" s="463"/>
      <c r="H8" s="463"/>
      <c r="I8" s="66"/>
      <c r="J8" s="66"/>
      <c r="K8" s="66"/>
      <c r="L8" s="463"/>
      <c r="M8" s="66"/>
      <c r="N8" s="66"/>
    </row>
    <row r="9" spans="2:14" ht="27.75" customHeight="1" thickTop="1" x14ac:dyDescent="0.2">
      <c r="B9" s="391" t="s">
        <v>286</v>
      </c>
      <c r="C9" s="392" t="s">
        <v>282</v>
      </c>
      <c r="D9" s="393" t="s">
        <v>280</v>
      </c>
      <c r="E9" s="394" t="s">
        <v>281</v>
      </c>
      <c r="F9" s="482" t="s">
        <v>283</v>
      </c>
      <c r="G9" s="393" t="s">
        <v>994</v>
      </c>
      <c r="H9" s="396" t="s">
        <v>284</v>
      </c>
      <c r="I9" s="391" t="s">
        <v>285</v>
      </c>
      <c r="J9" s="393" t="s">
        <v>704</v>
      </c>
      <c r="K9" s="395"/>
      <c r="L9" s="393" t="s">
        <v>705</v>
      </c>
      <c r="M9" s="394" t="s">
        <v>287</v>
      </c>
      <c r="N9" s="395" t="s">
        <v>706</v>
      </c>
    </row>
    <row r="10" spans="2:14" ht="27.75" customHeight="1" thickBot="1" x14ac:dyDescent="0.25">
      <c r="B10" s="397" t="s">
        <v>292</v>
      </c>
      <c r="C10" s="398" t="s">
        <v>707</v>
      </c>
      <c r="D10" s="399"/>
      <c r="E10" s="400" t="s">
        <v>280</v>
      </c>
      <c r="F10" s="483"/>
      <c r="G10" s="399" t="s">
        <v>995</v>
      </c>
      <c r="H10" s="402" t="s">
        <v>288</v>
      </c>
      <c r="I10" s="397" t="s">
        <v>289</v>
      </c>
      <c r="J10" s="399" t="s">
        <v>290</v>
      </c>
      <c r="K10" s="401" t="s">
        <v>291</v>
      </c>
      <c r="L10" s="399"/>
      <c r="M10" s="400" t="s">
        <v>293</v>
      </c>
      <c r="N10" s="401" t="s">
        <v>647</v>
      </c>
    </row>
    <row r="11" spans="2:14" ht="14.25" thickTop="1" thickBot="1" x14ac:dyDescent="0.25">
      <c r="B11" s="68"/>
      <c r="C11" s="69"/>
      <c r="D11" s="68"/>
      <c r="E11" s="70"/>
      <c r="F11" s="484"/>
      <c r="G11" s="70"/>
      <c r="H11" s="70"/>
      <c r="I11" s="70"/>
      <c r="J11" s="70"/>
      <c r="K11" s="70"/>
      <c r="L11" s="70"/>
      <c r="M11" s="68"/>
      <c r="N11" s="68"/>
    </row>
    <row r="12" spans="2:14" ht="13.5" thickTop="1" x14ac:dyDescent="0.2">
      <c r="B12" s="71"/>
      <c r="C12" s="72"/>
      <c r="D12" s="73"/>
      <c r="E12" s="176"/>
      <c r="F12" s="485"/>
      <c r="G12" s="176"/>
      <c r="H12" s="77"/>
      <c r="I12" s="76"/>
      <c r="J12" s="77"/>
      <c r="K12" s="78"/>
      <c r="L12" s="77"/>
      <c r="M12" s="74"/>
      <c r="N12" s="75"/>
    </row>
    <row r="13" spans="2:14" s="8" customFormat="1" ht="18" x14ac:dyDescent="0.25">
      <c r="B13" s="249">
        <v>1990</v>
      </c>
      <c r="C13" s="2"/>
      <c r="D13" s="3"/>
      <c r="E13" s="464"/>
      <c r="F13" s="486"/>
      <c r="G13" s="464"/>
      <c r="H13" s="5"/>
      <c r="I13" s="4"/>
      <c r="J13" s="5"/>
      <c r="K13" s="6"/>
      <c r="L13" s="5"/>
      <c r="M13" s="7"/>
      <c r="N13" s="250">
        <f>+N14+N17+N26+N29+N32+N37+N41+N44</f>
        <v>333745.89504999999</v>
      </c>
    </row>
    <row r="14" spans="2:14" s="14" customFormat="1" x14ac:dyDescent="0.2">
      <c r="B14" s="79" t="s">
        <v>296</v>
      </c>
      <c r="C14" s="9"/>
      <c r="D14" s="3"/>
      <c r="E14" s="3"/>
      <c r="F14" s="487"/>
      <c r="G14" s="3"/>
      <c r="H14" s="11"/>
      <c r="I14" s="10"/>
      <c r="J14" s="11"/>
      <c r="K14" s="12"/>
      <c r="L14" s="11"/>
      <c r="M14" s="13"/>
      <c r="N14" s="80">
        <f>+N15</f>
        <v>210</v>
      </c>
    </row>
    <row r="15" spans="2:14" ht="15" customHeight="1" x14ac:dyDescent="0.2">
      <c r="B15" s="56" t="s">
        <v>324</v>
      </c>
      <c r="C15" s="81">
        <f>DATE(90,2,3)</f>
        <v>32907</v>
      </c>
      <c r="D15" s="82" t="s">
        <v>320</v>
      </c>
      <c r="E15" s="465" t="s">
        <v>970</v>
      </c>
      <c r="F15" s="488" t="s">
        <v>321</v>
      </c>
      <c r="G15" s="465" t="s">
        <v>296</v>
      </c>
      <c r="H15" s="85" t="s">
        <v>322</v>
      </c>
      <c r="I15" s="83">
        <v>0</v>
      </c>
      <c r="J15" s="85" t="s">
        <v>312</v>
      </c>
      <c r="K15" s="86" t="s">
        <v>323</v>
      </c>
      <c r="L15" s="85" t="s">
        <v>325</v>
      </c>
      <c r="M15" s="87">
        <v>106</v>
      </c>
      <c r="N15" s="88">
        <v>210</v>
      </c>
    </row>
    <row r="16" spans="2:14" x14ac:dyDescent="0.2">
      <c r="B16" s="15"/>
      <c r="C16" s="81"/>
      <c r="D16" s="82"/>
      <c r="E16" s="465"/>
      <c r="F16" s="488"/>
      <c r="G16" s="465"/>
      <c r="H16" s="85"/>
      <c r="I16" s="83"/>
      <c r="J16" s="85"/>
      <c r="K16" s="86"/>
      <c r="L16" s="85"/>
      <c r="M16" s="87"/>
      <c r="N16" s="88"/>
    </row>
    <row r="17" spans="2:14" s="14" customFormat="1" x14ac:dyDescent="0.2">
      <c r="B17" s="79" t="s">
        <v>310</v>
      </c>
      <c r="C17" s="9"/>
      <c r="D17" s="3"/>
      <c r="E17" s="3"/>
      <c r="F17" s="487"/>
      <c r="G17" s="3"/>
      <c r="H17" s="11"/>
      <c r="I17" s="10"/>
      <c r="J17" s="11"/>
      <c r="K17" s="12"/>
      <c r="L17" s="11"/>
      <c r="M17" s="13"/>
      <c r="N17" s="89">
        <f>SUM(N18:N25)</f>
        <v>104671.89505000001</v>
      </c>
    </row>
    <row r="18" spans="2:14" ht="15" customHeight="1" x14ac:dyDescent="0.2">
      <c r="B18" s="56" t="s">
        <v>1005</v>
      </c>
      <c r="C18" s="81">
        <v>32941</v>
      </c>
      <c r="D18" s="82" t="s">
        <v>1006</v>
      </c>
      <c r="E18" s="465" t="s">
        <v>970</v>
      </c>
      <c r="F18" s="488" t="s">
        <v>309</v>
      </c>
      <c r="G18" s="465" t="s">
        <v>310</v>
      </c>
      <c r="H18" s="85" t="s">
        <v>311</v>
      </c>
      <c r="I18" s="83">
        <v>0</v>
      </c>
      <c r="J18" s="85" t="s">
        <v>1007</v>
      </c>
      <c r="K18" s="86" t="s">
        <v>610</v>
      </c>
      <c r="L18" s="85" t="s">
        <v>1008</v>
      </c>
      <c r="M18" s="87">
        <v>15909.877</v>
      </c>
      <c r="N18" s="88">
        <f>+M18</f>
        <v>15909.877</v>
      </c>
    </row>
    <row r="19" spans="2:14" ht="15" customHeight="1" x14ac:dyDescent="0.2">
      <c r="B19" s="56" t="s">
        <v>1125</v>
      </c>
      <c r="C19" s="81">
        <v>33079</v>
      </c>
      <c r="D19" s="82" t="s">
        <v>1009</v>
      </c>
      <c r="E19" s="465" t="s">
        <v>516</v>
      </c>
      <c r="F19" s="489" t="s">
        <v>1348</v>
      </c>
      <c r="G19" s="465" t="s">
        <v>310</v>
      </c>
      <c r="H19" s="85" t="s">
        <v>311</v>
      </c>
      <c r="I19" s="83">
        <v>9.6500000000000002E-2</v>
      </c>
      <c r="J19" s="85" t="s">
        <v>715</v>
      </c>
      <c r="K19" s="86" t="s">
        <v>752</v>
      </c>
      <c r="L19" s="85" t="s">
        <v>302</v>
      </c>
      <c r="M19" s="87">
        <v>24000</v>
      </c>
      <c r="N19" s="88">
        <f>+M19</f>
        <v>24000</v>
      </c>
    </row>
    <row r="20" spans="2:14" ht="15" customHeight="1" x14ac:dyDescent="0.2">
      <c r="B20" s="56" t="s">
        <v>314</v>
      </c>
      <c r="C20" s="81">
        <f>33235-59</f>
        <v>33176</v>
      </c>
      <c r="D20" s="82" t="s">
        <v>308</v>
      </c>
      <c r="E20" s="465" t="s">
        <v>970</v>
      </c>
      <c r="F20" s="488" t="s">
        <v>1123</v>
      </c>
      <c r="G20" s="465" t="s">
        <v>310</v>
      </c>
      <c r="H20" s="85" t="s">
        <v>311</v>
      </c>
      <c r="I20" s="83">
        <v>0.04</v>
      </c>
      <c r="J20" s="85" t="s">
        <v>312</v>
      </c>
      <c r="K20" s="86" t="s">
        <v>313</v>
      </c>
      <c r="L20" s="85" t="s">
        <v>315</v>
      </c>
      <c r="M20" s="87">
        <v>16232</v>
      </c>
      <c r="N20" s="88">
        <v>28986</v>
      </c>
    </row>
    <row r="21" spans="2:14" ht="15" customHeight="1" x14ac:dyDescent="0.2">
      <c r="B21" s="56" t="s">
        <v>1349</v>
      </c>
      <c r="C21" s="81">
        <v>33236</v>
      </c>
      <c r="D21" s="82" t="s">
        <v>998</v>
      </c>
      <c r="E21" s="465" t="s">
        <v>516</v>
      </c>
      <c r="F21" s="488" t="s">
        <v>309</v>
      </c>
      <c r="G21" s="465" t="s">
        <v>310</v>
      </c>
      <c r="H21" s="85" t="s">
        <v>311</v>
      </c>
      <c r="I21" s="83">
        <v>0.09</v>
      </c>
      <c r="J21" s="85" t="s">
        <v>660</v>
      </c>
      <c r="K21" s="86" t="s">
        <v>752</v>
      </c>
      <c r="L21" s="85" t="s">
        <v>302</v>
      </c>
      <c r="M21" s="87">
        <v>20250</v>
      </c>
      <c r="N21" s="88">
        <f>+M21</f>
        <v>20250</v>
      </c>
    </row>
    <row r="22" spans="2:14" ht="15" customHeight="1" x14ac:dyDescent="0.2">
      <c r="B22" s="56" t="s">
        <v>999</v>
      </c>
      <c r="C22" s="81">
        <v>33228</v>
      </c>
      <c r="D22" s="82" t="s">
        <v>1000</v>
      </c>
      <c r="E22" s="465" t="s">
        <v>516</v>
      </c>
      <c r="F22" s="488" t="s">
        <v>1119</v>
      </c>
      <c r="G22" s="465" t="s">
        <v>310</v>
      </c>
      <c r="H22" s="85" t="s">
        <v>311</v>
      </c>
      <c r="I22" s="83">
        <v>0.1095</v>
      </c>
      <c r="J22" s="85" t="s">
        <v>660</v>
      </c>
      <c r="K22" s="86" t="s">
        <v>752</v>
      </c>
      <c r="L22" s="85" t="s">
        <v>302</v>
      </c>
      <c r="M22" s="87">
        <v>5525.2120999999997</v>
      </c>
      <c r="N22" s="88">
        <f>+M22</f>
        <v>5525.2120999999997</v>
      </c>
    </row>
    <row r="23" spans="2:14" ht="15" customHeight="1" x14ac:dyDescent="0.2">
      <c r="B23" s="56" t="s">
        <v>1001</v>
      </c>
      <c r="C23" s="81">
        <v>33228</v>
      </c>
      <c r="D23" s="82" t="s">
        <v>1000</v>
      </c>
      <c r="E23" s="465" t="s">
        <v>516</v>
      </c>
      <c r="F23" s="488" t="s">
        <v>1124</v>
      </c>
      <c r="G23" s="465" t="s">
        <v>310</v>
      </c>
      <c r="H23" s="85" t="s">
        <v>311</v>
      </c>
      <c r="I23" s="83">
        <v>0.1095</v>
      </c>
      <c r="J23" s="85" t="s">
        <v>660</v>
      </c>
      <c r="K23" s="86" t="s">
        <v>752</v>
      </c>
      <c r="L23" s="85" t="s">
        <v>302</v>
      </c>
      <c r="M23" s="87">
        <v>3414.8059499999999</v>
      </c>
      <c r="N23" s="88">
        <f>+M23</f>
        <v>3414.8059499999999</v>
      </c>
    </row>
    <row r="24" spans="2:14" ht="15" customHeight="1" x14ac:dyDescent="0.2">
      <c r="B24" s="56" t="s">
        <v>1002</v>
      </c>
      <c r="C24" s="81">
        <v>33220</v>
      </c>
      <c r="D24" s="82" t="s">
        <v>1003</v>
      </c>
      <c r="E24" s="465" t="s">
        <v>824</v>
      </c>
      <c r="F24" s="488" t="s">
        <v>309</v>
      </c>
      <c r="G24" s="465" t="s">
        <v>310</v>
      </c>
      <c r="H24" s="85" t="s">
        <v>311</v>
      </c>
      <c r="I24" s="83" t="s">
        <v>1004</v>
      </c>
      <c r="J24" s="85" t="s">
        <v>772</v>
      </c>
      <c r="K24" s="86" t="s">
        <v>689</v>
      </c>
      <c r="L24" s="85" t="s">
        <v>302</v>
      </c>
      <c r="M24" s="87">
        <v>6586</v>
      </c>
      <c r="N24" s="88">
        <f>+M24</f>
        <v>6586</v>
      </c>
    </row>
    <row r="25" spans="2:14" x14ac:dyDescent="0.2">
      <c r="B25" s="15"/>
      <c r="C25" s="81"/>
      <c r="D25" s="82"/>
      <c r="E25" s="465"/>
      <c r="F25" s="488"/>
      <c r="G25" s="465"/>
      <c r="H25" s="85"/>
      <c r="I25" s="83"/>
      <c r="J25" s="85"/>
      <c r="K25" s="86"/>
      <c r="L25" s="85"/>
      <c r="M25" s="87"/>
      <c r="N25" s="88"/>
    </row>
    <row r="26" spans="2:14" s="14" customFormat="1" x14ac:dyDescent="0.2">
      <c r="B26" s="79" t="s">
        <v>340</v>
      </c>
      <c r="C26" s="9"/>
      <c r="D26" s="3"/>
      <c r="E26" s="3"/>
      <c r="F26" s="487"/>
      <c r="G26" s="3"/>
      <c r="H26" s="11"/>
      <c r="I26" s="10"/>
      <c r="J26" s="11"/>
      <c r="K26" s="12"/>
      <c r="L26" s="11"/>
      <c r="M26" s="13"/>
      <c r="N26" s="89">
        <f>+N27</f>
        <v>40000</v>
      </c>
    </row>
    <row r="27" spans="2:14" ht="15" customHeight="1" x14ac:dyDescent="0.2">
      <c r="B27" s="56" t="s">
        <v>954</v>
      </c>
      <c r="C27" s="81">
        <v>33003</v>
      </c>
      <c r="D27" s="82" t="s">
        <v>391</v>
      </c>
      <c r="E27" s="465" t="s">
        <v>828</v>
      </c>
      <c r="F27" s="488" t="s">
        <v>829</v>
      </c>
      <c r="G27" s="465" t="s">
        <v>340</v>
      </c>
      <c r="H27" s="85" t="s">
        <v>359</v>
      </c>
      <c r="I27" s="83" t="s">
        <v>391</v>
      </c>
      <c r="J27" s="85" t="s">
        <v>830</v>
      </c>
      <c r="K27" s="91">
        <v>0.20833333333333334</v>
      </c>
      <c r="L27" s="85" t="s">
        <v>302</v>
      </c>
      <c r="M27" s="87">
        <v>40000</v>
      </c>
      <c r="N27" s="88">
        <v>40000</v>
      </c>
    </row>
    <row r="28" spans="2:14" x14ac:dyDescent="0.2">
      <c r="B28" s="16"/>
      <c r="C28" s="81"/>
      <c r="D28" s="82"/>
      <c r="E28" s="465"/>
      <c r="F28" s="488"/>
      <c r="G28" s="465"/>
      <c r="H28" s="85"/>
      <c r="I28" s="83"/>
      <c r="J28" s="85"/>
      <c r="K28" s="91"/>
      <c r="L28" s="85"/>
      <c r="M28" s="87"/>
      <c r="N28" s="88"/>
    </row>
    <row r="29" spans="2:14" s="14" customFormat="1" x14ac:dyDescent="0.2">
      <c r="B29" s="79" t="s">
        <v>353</v>
      </c>
      <c r="C29" s="9"/>
      <c r="D29" s="3"/>
      <c r="E29" s="3"/>
      <c r="F29" s="487"/>
      <c r="G29" s="3"/>
      <c r="H29" s="11"/>
      <c r="I29" s="10"/>
      <c r="J29" s="11"/>
      <c r="K29" s="12"/>
      <c r="L29" s="11"/>
      <c r="M29" s="13"/>
      <c r="N29" s="89">
        <f>+N30</f>
        <v>13000</v>
      </c>
    </row>
    <row r="30" spans="2:14" ht="15" customHeight="1" x14ac:dyDescent="0.2">
      <c r="B30" s="56" t="s">
        <v>955</v>
      </c>
      <c r="C30" s="81">
        <v>33067</v>
      </c>
      <c r="D30" s="82" t="s">
        <v>831</v>
      </c>
      <c r="E30" s="465" t="s">
        <v>294</v>
      </c>
      <c r="F30" s="488" t="s">
        <v>832</v>
      </c>
      <c r="G30" s="465" t="s">
        <v>353</v>
      </c>
      <c r="H30" s="85" t="s">
        <v>835</v>
      </c>
      <c r="I30" s="83">
        <v>8.3000000000000004E-2</v>
      </c>
      <c r="J30" s="85"/>
      <c r="K30" s="86" t="s">
        <v>610</v>
      </c>
      <c r="L30" s="85" t="s">
        <v>302</v>
      </c>
      <c r="M30" s="87">
        <v>13000</v>
      </c>
      <c r="N30" s="88">
        <v>13000</v>
      </c>
    </row>
    <row r="31" spans="2:14" x14ac:dyDescent="0.2">
      <c r="B31" s="16"/>
      <c r="C31" s="81"/>
      <c r="D31" s="82"/>
      <c r="E31" s="465"/>
      <c r="F31" s="488"/>
      <c r="G31" s="465"/>
      <c r="H31" s="85"/>
      <c r="I31" s="83"/>
      <c r="J31" s="85"/>
      <c r="K31" s="86"/>
      <c r="L31" s="85"/>
      <c r="M31" s="87"/>
      <c r="N31" s="88"/>
    </row>
    <row r="32" spans="2:14" s="14" customFormat="1" x14ac:dyDescent="0.2">
      <c r="B32" s="79" t="s">
        <v>987</v>
      </c>
      <c r="C32" s="9"/>
      <c r="D32" s="3"/>
      <c r="E32" s="3"/>
      <c r="F32" s="487"/>
      <c r="G32" s="3"/>
      <c r="H32" s="11"/>
      <c r="I32" s="10"/>
      <c r="J32" s="11"/>
      <c r="K32" s="12"/>
      <c r="L32" s="11"/>
      <c r="M32" s="13"/>
      <c r="N32" s="89">
        <f>SUM(N33:N35)</f>
        <v>65000</v>
      </c>
    </row>
    <row r="33" spans="2:14" ht="15" customHeight="1" x14ac:dyDescent="0.2">
      <c r="B33" s="56" t="s">
        <v>319</v>
      </c>
      <c r="C33" s="81">
        <f>DATE(90,12,21)</f>
        <v>33228</v>
      </c>
      <c r="D33" s="82" t="s">
        <v>316</v>
      </c>
      <c r="E33" s="465" t="s">
        <v>824</v>
      </c>
      <c r="F33" s="488" t="s">
        <v>318</v>
      </c>
      <c r="G33" s="465" t="s">
        <v>963</v>
      </c>
      <c r="H33" s="85" t="s">
        <v>297</v>
      </c>
      <c r="I33" s="83">
        <v>0.1</v>
      </c>
      <c r="J33" s="92"/>
      <c r="K33" s="86" t="s">
        <v>312</v>
      </c>
      <c r="L33" s="85" t="s">
        <v>302</v>
      </c>
      <c r="M33" s="87">
        <v>45000</v>
      </c>
      <c r="N33" s="88">
        <v>45000</v>
      </c>
    </row>
    <row r="34" spans="2:14" ht="15" customHeight="1" x14ac:dyDescent="0.2">
      <c r="B34" s="56" t="s">
        <v>301</v>
      </c>
      <c r="C34" s="81">
        <f>DATE(90,5,24)</f>
        <v>33017</v>
      </c>
      <c r="D34" s="82" t="s">
        <v>822</v>
      </c>
      <c r="E34" s="465" t="s">
        <v>294</v>
      </c>
      <c r="F34" s="488" t="s">
        <v>295</v>
      </c>
      <c r="G34" s="465" t="s">
        <v>963</v>
      </c>
      <c r="H34" s="85" t="s">
        <v>297</v>
      </c>
      <c r="I34" s="83" t="s">
        <v>965</v>
      </c>
      <c r="J34" s="85" t="s">
        <v>610</v>
      </c>
      <c r="K34" s="86" t="s">
        <v>425</v>
      </c>
      <c r="L34" s="85" t="s">
        <v>302</v>
      </c>
      <c r="M34" s="87">
        <v>10000</v>
      </c>
      <c r="N34" s="88">
        <v>10000</v>
      </c>
    </row>
    <row r="35" spans="2:14" ht="15" customHeight="1" x14ac:dyDescent="0.2">
      <c r="B35" s="56" t="s">
        <v>303</v>
      </c>
      <c r="C35" s="81">
        <f>DATE(90,8,24)</f>
        <v>33109</v>
      </c>
      <c r="D35" s="82" t="s">
        <v>781</v>
      </c>
      <c r="E35" s="465" t="s">
        <v>294</v>
      </c>
      <c r="F35" s="488" t="s">
        <v>295</v>
      </c>
      <c r="G35" s="465" t="s">
        <v>963</v>
      </c>
      <c r="H35" s="85" t="s">
        <v>297</v>
      </c>
      <c r="I35" s="83" t="s">
        <v>299</v>
      </c>
      <c r="J35" s="85" t="s">
        <v>610</v>
      </c>
      <c r="K35" s="86" t="s">
        <v>821</v>
      </c>
      <c r="L35" s="85" t="s">
        <v>302</v>
      </c>
      <c r="M35" s="87">
        <v>10000</v>
      </c>
      <c r="N35" s="88">
        <v>10000</v>
      </c>
    </row>
    <row r="36" spans="2:14" x14ac:dyDescent="0.2">
      <c r="B36" s="56"/>
      <c r="C36" s="81"/>
      <c r="D36" s="82"/>
      <c r="E36" s="465"/>
      <c r="F36" s="488"/>
      <c r="G36" s="465"/>
      <c r="H36" s="85"/>
      <c r="I36" s="83"/>
      <c r="J36" s="85"/>
      <c r="K36" s="86"/>
      <c r="L36" s="85"/>
      <c r="M36" s="87"/>
      <c r="N36" s="88"/>
    </row>
    <row r="37" spans="2:14" s="14" customFormat="1" x14ac:dyDescent="0.2">
      <c r="B37" s="79" t="s">
        <v>988</v>
      </c>
      <c r="C37" s="9"/>
      <c r="D37" s="3"/>
      <c r="E37" s="3"/>
      <c r="F37" s="487"/>
      <c r="G37" s="3"/>
      <c r="H37" s="11"/>
      <c r="I37" s="10"/>
      <c r="J37" s="11"/>
      <c r="K37" s="12"/>
      <c r="L37" s="11"/>
      <c r="M37" s="13"/>
      <c r="N37" s="89">
        <f>SUM(N38:N39)</f>
        <v>99000</v>
      </c>
    </row>
    <row r="38" spans="2:14" ht="15" customHeight="1" x14ac:dyDescent="0.2">
      <c r="B38" s="56" t="s">
        <v>331</v>
      </c>
      <c r="C38" s="81">
        <f>DATE(90,7,22)</f>
        <v>33076</v>
      </c>
      <c r="D38" s="82" t="s">
        <v>326</v>
      </c>
      <c r="E38" s="465" t="s">
        <v>824</v>
      </c>
      <c r="F38" s="488" t="s">
        <v>327</v>
      </c>
      <c r="G38" s="465" t="s">
        <v>688</v>
      </c>
      <c r="H38" s="85" t="s">
        <v>328</v>
      </c>
      <c r="I38" s="93" t="s">
        <v>329</v>
      </c>
      <c r="J38" s="85" t="s">
        <v>330</v>
      </c>
      <c r="K38" s="86" t="s">
        <v>313</v>
      </c>
      <c r="L38" s="85" t="s">
        <v>302</v>
      </c>
      <c r="M38" s="87">
        <v>36000</v>
      </c>
      <c r="N38" s="88">
        <v>36000</v>
      </c>
    </row>
    <row r="39" spans="2:14" ht="15" customHeight="1" x14ac:dyDescent="0.2">
      <c r="B39" s="56" t="s">
        <v>331</v>
      </c>
      <c r="C39" s="81">
        <f>DATE(90,7,22)</f>
        <v>33076</v>
      </c>
      <c r="D39" s="82" t="s">
        <v>326</v>
      </c>
      <c r="E39" s="465" t="s">
        <v>824</v>
      </c>
      <c r="F39" s="488" t="s">
        <v>327</v>
      </c>
      <c r="G39" s="465" t="s">
        <v>688</v>
      </c>
      <c r="H39" s="85" t="s">
        <v>328</v>
      </c>
      <c r="I39" s="83">
        <v>7.4999999999999997E-2</v>
      </c>
      <c r="J39" s="85" t="s">
        <v>332</v>
      </c>
      <c r="K39" s="86" t="s">
        <v>333</v>
      </c>
      <c r="L39" s="85" t="s">
        <v>302</v>
      </c>
      <c r="M39" s="87">
        <v>63000</v>
      </c>
      <c r="N39" s="88">
        <v>63000</v>
      </c>
    </row>
    <row r="40" spans="2:14" x14ac:dyDescent="0.2">
      <c r="B40" s="56"/>
      <c r="C40" s="81"/>
      <c r="D40" s="82"/>
      <c r="E40" s="465"/>
      <c r="F40" s="488"/>
      <c r="G40" s="465"/>
      <c r="H40" s="85"/>
      <c r="I40" s="83"/>
      <c r="J40" s="85"/>
      <c r="K40" s="86"/>
      <c r="L40" s="85"/>
      <c r="M40" s="87"/>
      <c r="N40" s="88"/>
    </row>
    <row r="41" spans="2:14" s="14" customFormat="1" x14ac:dyDescent="0.2">
      <c r="B41" s="79" t="s">
        <v>960</v>
      </c>
      <c r="C41" s="9"/>
      <c r="D41" s="3"/>
      <c r="E41" s="3"/>
      <c r="F41" s="487"/>
      <c r="G41" s="3"/>
      <c r="H41" s="11"/>
      <c r="I41" s="10"/>
      <c r="J41" s="11"/>
      <c r="K41" s="12"/>
      <c r="L41" s="11"/>
      <c r="M41" s="13"/>
      <c r="N41" s="89">
        <f>SUM(N42)</f>
        <v>5864</v>
      </c>
    </row>
    <row r="42" spans="2:14" ht="15" customHeight="1" x14ac:dyDescent="0.2">
      <c r="B42" s="56" t="s">
        <v>337</v>
      </c>
      <c r="C42" s="81">
        <f>DATE(90,12,29)</f>
        <v>33236</v>
      </c>
      <c r="D42" s="82" t="s">
        <v>334</v>
      </c>
      <c r="E42" s="465" t="s">
        <v>970</v>
      </c>
      <c r="F42" s="488" t="s">
        <v>335</v>
      </c>
      <c r="G42" s="465" t="s">
        <v>960</v>
      </c>
      <c r="H42" s="85" t="s">
        <v>336</v>
      </c>
      <c r="I42" s="83">
        <v>0</v>
      </c>
      <c r="J42" s="85" t="s">
        <v>312</v>
      </c>
      <c r="K42" s="86" t="s">
        <v>323</v>
      </c>
      <c r="L42" s="85" t="s">
        <v>325</v>
      </c>
      <c r="M42" s="87">
        <v>3109</v>
      </c>
      <c r="N42" s="88">
        <v>5864</v>
      </c>
    </row>
    <row r="43" spans="2:14" x14ac:dyDescent="0.2">
      <c r="B43" s="15"/>
      <c r="C43" s="81"/>
      <c r="D43" s="82"/>
      <c r="E43" s="465"/>
      <c r="F43" s="488"/>
      <c r="G43" s="465"/>
      <c r="H43" s="85"/>
      <c r="I43" s="83"/>
      <c r="J43" s="85"/>
      <c r="K43" s="86"/>
      <c r="L43" s="85"/>
      <c r="M43" s="87"/>
      <c r="N43" s="88"/>
    </row>
    <row r="44" spans="2:14" s="14" customFormat="1" x14ac:dyDescent="0.2">
      <c r="B44" s="79" t="s">
        <v>989</v>
      </c>
      <c r="C44" s="9"/>
      <c r="D44" s="3"/>
      <c r="E44" s="3"/>
      <c r="F44" s="487"/>
      <c r="G44" s="3"/>
      <c r="H44" s="11"/>
      <c r="I44" s="10"/>
      <c r="J44" s="11"/>
      <c r="K44" s="12"/>
      <c r="L44" s="11"/>
      <c r="M44" s="13"/>
      <c r="N44" s="89">
        <f>+N45</f>
        <v>6000</v>
      </c>
    </row>
    <row r="45" spans="2:14" ht="15" customHeight="1" thickBot="1" x14ac:dyDescent="0.25">
      <c r="B45" s="17" t="s">
        <v>952</v>
      </c>
      <c r="C45" s="94">
        <v>32997</v>
      </c>
      <c r="D45" s="95" t="s">
        <v>971</v>
      </c>
      <c r="E45" s="466" t="s">
        <v>294</v>
      </c>
      <c r="F45" s="490" t="s">
        <v>953</v>
      </c>
      <c r="G45" s="466" t="s">
        <v>827</v>
      </c>
      <c r="H45" s="98" t="s">
        <v>956</v>
      </c>
      <c r="I45" s="96">
        <v>1.4999999999999999E-2</v>
      </c>
      <c r="J45" s="98" t="s">
        <v>323</v>
      </c>
      <c r="K45" s="99" t="s">
        <v>323</v>
      </c>
      <c r="L45" s="98" t="s">
        <v>302</v>
      </c>
      <c r="M45" s="100">
        <v>6000</v>
      </c>
      <c r="N45" s="101">
        <v>6000</v>
      </c>
    </row>
    <row r="46" spans="2:14" ht="13.5" thickTop="1" x14ac:dyDescent="0.2">
      <c r="B46" s="333"/>
      <c r="C46" s="335"/>
      <c r="D46" s="336"/>
      <c r="E46" s="467"/>
      <c r="F46" s="491"/>
      <c r="G46" s="467"/>
      <c r="H46" s="467"/>
      <c r="I46" s="337"/>
      <c r="J46" s="331"/>
      <c r="K46" s="338"/>
      <c r="L46" s="331"/>
      <c r="M46" s="332"/>
      <c r="N46" s="334"/>
    </row>
    <row r="47" spans="2:14" s="256" customFormat="1" ht="18" customHeight="1" x14ac:dyDescent="0.25">
      <c r="B47" s="257">
        <v>1991</v>
      </c>
      <c r="C47" s="251"/>
      <c r="D47" s="257"/>
      <c r="E47" s="468"/>
      <c r="F47" s="492"/>
      <c r="G47" s="468"/>
      <c r="H47" s="253"/>
      <c r="I47" s="252"/>
      <c r="J47" s="253"/>
      <c r="K47" s="254"/>
      <c r="L47" s="253"/>
      <c r="M47" s="255"/>
      <c r="N47" s="250">
        <f>+N48+N51+N57</f>
        <v>982848</v>
      </c>
    </row>
    <row r="48" spans="2:14" s="14" customFormat="1" x14ac:dyDescent="0.2">
      <c r="B48" s="102" t="s">
        <v>310</v>
      </c>
      <c r="C48" s="18"/>
      <c r="D48" s="3"/>
      <c r="E48" s="3"/>
      <c r="F48" s="487"/>
      <c r="G48" s="3"/>
      <c r="H48" s="11"/>
      <c r="I48" s="10"/>
      <c r="J48" s="11"/>
      <c r="K48" s="12"/>
      <c r="L48" s="11"/>
      <c r="M48" s="13"/>
      <c r="N48" s="89">
        <f>+N49</f>
        <v>16500</v>
      </c>
    </row>
    <row r="49" spans="2:14" ht="15" customHeight="1" x14ac:dyDescent="0.2">
      <c r="B49" s="82" t="s">
        <v>350</v>
      </c>
      <c r="C49" s="103">
        <v>33500</v>
      </c>
      <c r="D49" s="82" t="s">
        <v>348</v>
      </c>
      <c r="E49" s="465" t="s">
        <v>970</v>
      </c>
      <c r="F49" s="488" t="s">
        <v>309</v>
      </c>
      <c r="G49" s="465" t="s">
        <v>310</v>
      </c>
      <c r="H49" s="85" t="s">
        <v>311</v>
      </c>
      <c r="I49" s="83">
        <v>7.0000000000000007E-2</v>
      </c>
      <c r="J49" s="85" t="s">
        <v>312</v>
      </c>
      <c r="K49" s="86" t="s">
        <v>349</v>
      </c>
      <c r="L49" s="85" t="s">
        <v>302</v>
      </c>
      <c r="M49" s="87">
        <v>16500</v>
      </c>
      <c r="N49" s="88">
        <v>16500</v>
      </c>
    </row>
    <row r="50" spans="2:14" x14ac:dyDescent="0.2">
      <c r="B50" s="82"/>
      <c r="C50" s="103"/>
      <c r="D50" s="82"/>
      <c r="E50" s="465"/>
      <c r="F50" s="488"/>
      <c r="G50" s="465"/>
      <c r="H50" s="85"/>
      <c r="I50" s="83"/>
      <c r="J50" s="85"/>
      <c r="K50" s="86"/>
      <c r="L50" s="85"/>
      <c r="M50" s="87"/>
      <c r="N50" s="88"/>
    </row>
    <row r="51" spans="2:14" s="14" customFormat="1" x14ac:dyDescent="0.2">
      <c r="B51" s="102" t="s">
        <v>340</v>
      </c>
      <c r="C51" s="18"/>
      <c r="D51" s="3"/>
      <c r="E51" s="3"/>
      <c r="F51" s="487"/>
      <c r="G51" s="3"/>
      <c r="H51" s="11"/>
      <c r="I51" s="10"/>
      <c r="J51" s="11"/>
      <c r="K51" s="12"/>
      <c r="L51" s="11"/>
      <c r="M51" s="13"/>
      <c r="N51" s="89">
        <f>SUM(N52:N55)</f>
        <v>921348</v>
      </c>
    </row>
    <row r="52" spans="2:14" ht="15" customHeight="1" x14ac:dyDescent="0.2">
      <c r="B52" s="82" t="s">
        <v>344</v>
      </c>
      <c r="C52" s="103">
        <v>33491</v>
      </c>
      <c r="D52" s="82" t="s">
        <v>338</v>
      </c>
      <c r="E52" s="465" t="s">
        <v>828</v>
      </c>
      <c r="F52" s="488" t="s">
        <v>339</v>
      </c>
      <c r="G52" s="465" t="s">
        <v>340</v>
      </c>
      <c r="H52" s="85" t="s">
        <v>298</v>
      </c>
      <c r="I52" s="83" t="s">
        <v>341</v>
      </c>
      <c r="J52" s="85" t="s">
        <v>395</v>
      </c>
      <c r="K52" s="86" t="s">
        <v>343</v>
      </c>
      <c r="L52" s="85" t="s">
        <v>302</v>
      </c>
      <c r="M52" s="87">
        <v>425000</v>
      </c>
      <c r="N52" s="88">
        <v>425000</v>
      </c>
    </row>
    <row r="53" spans="2:14" ht="15" customHeight="1" x14ac:dyDescent="0.2">
      <c r="B53" s="82" t="s">
        <v>347</v>
      </c>
      <c r="C53" s="103">
        <f>DATE(91,9,18)</f>
        <v>33499</v>
      </c>
      <c r="D53" s="82" t="s">
        <v>345</v>
      </c>
      <c r="E53" s="465" t="s">
        <v>828</v>
      </c>
      <c r="F53" s="488" t="s">
        <v>346</v>
      </c>
      <c r="G53" s="465" t="s">
        <v>340</v>
      </c>
      <c r="H53" s="85" t="s">
        <v>298</v>
      </c>
      <c r="I53" s="83" t="s">
        <v>341</v>
      </c>
      <c r="J53" s="85" t="s">
        <v>395</v>
      </c>
      <c r="K53" s="86" t="s">
        <v>343</v>
      </c>
      <c r="L53" s="85" t="s">
        <v>302</v>
      </c>
      <c r="M53" s="87">
        <v>4900</v>
      </c>
      <c r="N53" s="88">
        <v>4900</v>
      </c>
    </row>
    <row r="54" spans="2:14" ht="15" customHeight="1" x14ac:dyDescent="0.2">
      <c r="B54" s="82" t="s">
        <v>365</v>
      </c>
      <c r="C54" s="103">
        <f>DATE(91,11,26)</f>
        <v>33568</v>
      </c>
      <c r="D54" s="82" t="s">
        <v>361</v>
      </c>
      <c r="E54" s="465" t="s">
        <v>294</v>
      </c>
      <c r="F54" s="488" t="s">
        <v>362</v>
      </c>
      <c r="G54" s="465" t="s">
        <v>340</v>
      </c>
      <c r="H54" s="85" t="s">
        <v>298</v>
      </c>
      <c r="I54" s="83">
        <v>0.03</v>
      </c>
      <c r="J54" s="85" t="s">
        <v>363</v>
      </c>
      <c r="K54" s="86" t="s">
        <v>364</v>
      </c>
      <c r="L54" s="85" t="s">
        <v>366</v>
      </c>
      <c r="M54" s="87">
        <v>54620000</v>
      </c>
      <c r="N54" s="88">
        <v>421448</v>
      </c>
    </row>
    <row r="55" spans="2:14" ht="15" customHeight="1" x14ac:dyDescent="0.2">
      <c r="B55" s="82" t="s">
        <v>360</v>
      </c>
      <c r="C55" s="103">
        <f>DATE(91,11,26)</f>
        <v>33568</v>
      </c>
      <c r="D55" s="82" t="s">
        <v>351</v>
      </c>
      <c r="E55" s="465" t="s">
        <v>828</v>
      </c>
      <c r="F55" s="488" t="s">
        <v>358</v>
      </c>
      <c r="G55" s="465" t="s">
        <v>340</v>
      </c>
      <c r="H55" s="85" t="s">
        <v>359</v>
      </c>
      <c r="I55" s="19" t="s">
        <v>997</v>
      </c>
      <c r="J55" s="85" t="s">
        <v>330</v>
      </c>
      <c r="K55" s="86" t="s">
        <v>300</v>
      </c>
      <c r="L55" s="85" t="s">
        <v>302</v>
      </c>
      <c r="M55" s="87">
        <v>70000</v>
      </c>
      <c r="N55" s="88">
        <v>70000</v>
      </c>
    </row>
    <row r="56" spans="2:14" x14ac:dyDescent="0.2">
      <c r="B56" s="82"/>
      <c r="C56" s="103"/>
      <c r="D56" s="82"/>
      <c r="E56" s="465"/>
      <c r="F56" s="488"/>
      <c r="G56" s="465"/>
      <c r="H56" s="85"/>
      <c r="I56" s="83"/>
      <c r="J56" s="85"/>
      <c r="K56" s="86"/>
      <c r="L56" s="85"/>
      <c r="M56" s="87"/>
      <c r="N56" s="88"/>
    </row>
    <row r="57" spans="2:14" s="14" customFormat="1" x14ac:dyDescent="0.2">
      <c r="B57" s="102" t="s">
        <v>353</v>
      </c>
      <c r="C57" s="18"/>
      <c r="D57" s="3"/>
      <c r="E57" s="3"/>
      <c r="F57" s="487"/>
      <c r="G57" s="3"/>
      <c r="H57" s="11"/>
      <c r="I57" s="10"/>
      <c r="J57" s="11"/>
      <c r="K57" s="12"/>
      <c r="L57" s="11"/>
      <c r="M57" s="13"/>
      <c r="N57" s="89">
        <f>SUM(N58:N60)</f>
        <v>45000</v>
      </c>
    </row>
    <row r="58" spans="2:14" ht="15" customHeight="1" x14ac:dyDescent="0.2">
      <c r="B58" s="20" t="s">
        <v>944</v>
      </c>
      <c r="C58" s="103">
        <v>33424</v>
      </c>
      <c r="D58" s="82" t="s">
        <v>837</v>
      </c>
      <c r="E58" s="465" t="s">
        <v>826</v>
      </c>
      <c r="F58" s="488" t="s">
        <v>836</v>
      </c>
      <c r="G58" s="465" t="s">
        <v>353</v>
      </c>
      <c r="H58" s="85" t="s">
        <v>368</v>
      </c>
      <c r="I58" s="83" t="s">
        <v>833</v>
      </c>
      <c r="J58" s="85" t="s">
        <v>609</v>
      </c>
      <c r="K58" s="86" t="s">
        <v>834</v>
      </c>
      <c r="L58" s="85" t="s">
        <v>302</v>
      </c>
      <c r="M58" s="87">
        <v>5000</v>
      </c>
      <c r="N58" s="88">
        <v>5000</v>
      </c>
    </row>
    <row r="59" spans="2:14" ht="15" customHeight="1" x14ac:dyDescent="0.2">
      <c r="B59" s="82" t="s">
        <v>357</v>
      </c>
      <c r="C59" s="103">
        <f>DATE(91,9,10)</f>
        <v>33491</v>
      </c>
      <c r="D59" s="82" t="s">
        <v>351</v>
      </c>
      <c r="E59" s="465" t="s">
        <v>828</v>
      </c>
      <c r="F59" s="488" t="s">
        <v>352</v>
      </c>
      <c r="G59" s="465" t="s">
        <v>353</v>
      </c>
      <c r="H59" s="85" t="s">
        <v>354</v>
      </c>
      <c r="I59" s="83" t="s">
        <v>355</v>
      </c>
      <c r="J59" s="105" t="s">
        <v>1135</v>
      </c>
      <c r="K59" s="86" t="s">
        <v>356</v>
      </c>
      <c r="L59" s="85" t="s">
        <v>302</v>
      </c>
      <c r="M59" s="87">
        <v>20000</v>
      </c>
      <c r="N59" s="88">
        <v>20000</v>
      </c>
    </row>
    <row r="60" spans="2:14" ht="15" customHeight="1" thickBot="1" x14ac:dyDescent="0.25">
      <c r="B60" s="95" t="s">
        <v>371</v>
      </c>
      <c r="C60" s="106">
        <f>DATE(91,10,2)</f>
        <v>33513</v>
      </c>
      <c r="D60" s="95" t="s">
        <v>351</v>
      </c>
      <c r="E60" s="466" t="s">
        <v>828</v>
      </c>
      <c r="F60" s="490" t="s">
        <v>367</v>
      </c>
      <c r="G60" s="466" t="s">
        <v>353</v>
      </c>
      <c r="H60" s="98" t="s">
        <v>368</v>
      </c>
      <c r="I60" s="96" t="s">
        <v>355</v>
      </c>
      <c r="J60" s="98" t="s">
        <v>369</v>
      </c>
      <c r="K60" s="99" t="s">
        <v>370</v>
      </c>
      <c r="L60" s="98" t="s">
        <v>302</v>
      </c>
      <c r="M60" s="100">
        <v>20000</v>
      </c>
      <c r="N60" s="101">
        <v>20000</v>
      </c>
    </row>
    <row r="61" spans="2:14" ht="13.5" thickTop="1" x14ac:dyDescent="0.2">
      <c r="B61" s="336"/>
      <c r="C61" s="335"/>
      <c r="D61" s="336"/>
      <c r="E61" s="467"/>
      <c r="F61" s="491"/>
      <c r="G61" s="467"/>
      <c r="H61" s="467"/>
      <c r="I61" s="337"/>
      <c r="J61" s="331"/>
      <c r="K61" s="338"/>
      <c r="L61" s="339"/>
      <c r="M61" s="332"/>
      <c r="N61" s="334"/>
    </row>
    <row r="62" spans="2:14" s="256" customFormat="1" ht="18" customHeight="1" x14ac:dyDescent="0.25">
      <c r="B62" s="249">
        <v>1992</v>
      </c>
      <c r="C62" s="258"/>
      <c r="D62" s="257"/>
      <c r="E62" s="468"/>
      <c r="F62" s="493"/>
      <c r="G62" s="468"/>
      <c r="H62" s="253"/>
      <c r="I62" s="252"/>
      <c r="J62" s="253"/>
      <c r="K62" s="254"/>
      <c r="L62" s="253"/>
      <c r="M62" s="255"/>
      <c r="N62" s="250">
        <f>+N63+N66+N76+N83+N86+N89</f>
        <v>1836893</v>
      </c>
    </row>
    <row r="63" spans="2:14" s="14" customFormat="1" x14ac:dyDescent="0.2">
      <c r="B63" s="79" t="s">
        <v>310</v>
      </c>
      <c r="C63" s="9"/>
      <c r="D63" s="3"/>
      <c r="E63" s="3"/>
      <c r="F63" s="494"/>
      <c r="G63" s="3"/>
      <c r="H63" s="11"/>
      <c r="I63" s="10"/>
      <c r="J63" s="11"/>
      <c r="K63" s="12"/>
      <c r="L63" s="11"/>
      <c r="M63" s="13"/>
      <c r="N63" s="89">
        <f>+N64</f>
        <v>5078</v>
      </c>
    </row>
    <row r="64" spans="2:14" ht="15" customHeight="1" x14ac:dyDescent="0.2">
      <c r="B64" s="56" t="s">
        <v>388</v>
      </c>
      <c r="C64" s="81">
        <v>33815</v>
      </c>
      <c r="D64" s="82" t="s">
        <v>1011</v>
      </c>
      <c r="E64" s="465" t="s">
        <v>317</v>
      </c>
      <c r="F64" s="495" t="s">
        <v>1010</v>
      </c>
      <c r="G64" s="465" t="s">
        <v>310</v>
      </c>
      <c r="H64" s="85" t="s">
        <v>311</v>
      </c>
      <c r="I64" s="83" t="s">
        <v>386</v>
      </c>
      <c r="J64" s="85" t="s">
        <v>387</v>
      </c>
      <c r="K64" s="86" t="s">
        <v>330</v>
      </c>
      <c r="L64" s="85" t="s">
        <v>302</v>
      </c>
      <c r="M64" s="87">
        <v>5078</v>
      </c>
      <c r="N64" s="88">
        <v>5078</v>
      </c>
    </row>
    <row r="65" spans="2:14" x14ac:dyDescent="0.2">
      <c r="B65" s="56"/>
      <c r="C65" s="81"/>
      <c r="D65" s="82"/>
      <c r="E65" s="465"/>
      <c r="F65" s="495"/>
      <c r="G65" s="465"/>
      <c r="H65" s="85"/>
      <c r="I65" s="83"/>
      <c r="J65" s="85"/>
      <c r="K65" s="86"/>
      <c r="L65" s="85"/>
      <c r="M65" s="87"/>
      <c r="N65" s="88"/>
    </row>
    <row r="66" spans="2:14" s="14" customFormat="1" x14ac:dyDescent="0.2">
      <c r="B66" s="79" t="s">
        <v>340</v>
      </c>
      <c r="C66" s="9"/>
      <c r="D66" s="3"/>
      <c r="E66" s="3"/>
      <c r="F66" s="494"/>
      <c r="G66" s="3"/>
      <c r="H66" s="11"/>
      <c r="I66" s="10"/>
      <c r="J66" s="11"/>
      <c r="K66" s="12"/>
      <c r="L66" s="11"/>
      <c r="M66" s="13"/>
      <c r="N66" s="89">
        <f>SUM(N67:N74)</f>
        <v>1510825</v>
      </c>
    </row>
    <row r="67" spans="2:14" ht="15" customHeight="1" x14ac:dyDescent="0.2">
      <c r="B67" s="56" t="s">
        <v>399</v>
      </c>
      <c r="C67" s="81">
        <f>DATE(92,7,12)</f>
        <v>33797</v>
      </c>
      <c r="D67" s="82" t="s">
        <v>397</v>
      </c>
      <c r="E67" s="465" t="s">
        <v>828</v>
      </c>
      <c r="F67" s="495" t="s">
        <v>398</v>
      </c>
      <c r="G67" s="465" t="s">
        <v>340</v>
      </c>
      <c r="H67" s="85" t="s">
        <v>298</v>
      </c>
      <c r="I67" s="83" t="s">
        <v>341</v>
      </c>
      <c r="J67" s="85" t="s">
        <v>395</v>
      </c>
      <c r="K67" s="86" t="s">
        <v>343</v>
      </c>
      <c r="L67" s="85" t="s">
        <v>302</v>
      </c>
      <c r="M67" s="87">
        <v>200000</v>
      </c>
      <c r="N67" s="88">
        <v>200000</v>
      </c>
    </row>
    <row r="68" spans="2:14" ht="15" customHeight="1" x14ac:dyDescent="0.2">
      <c r="B68" s="56" t="s">
        <v>399</v>
      </c>
      <c r="C68" s="81">
        <f>DATE(92,7,12)</f>
        <v>33797</v>
      </c>
      <c r="D68" s="82" t="s">
        <v>400</v>
      </c>
      <c r="E68" s="465" t="s">
        <v>828</v>
      </c>
      <c r="F68" s="495" t="s">
        <v>401</v>
      </c>
      <c r="G68" s="465" t="s">
        <v>340</v>
      </c>
      <c r="H68" s="85" t="s">
        <v>298</v>
      </c>
      <c r="I68" s="83" t="s">
        <v>341</v>
      </c>
      <c r="J68" s="85" t="s">
        <v>395</v>
      </c>
      <c r="K68" s="86" t="s">
        <v>343</v>
      </c>
      <c r="L68" s="85" t="s">
        <v>302</v>
      </c>
      <c r="M68" s="87">
        <v>21825</v>
      </c>
      <c r="N68" s="88">
        <v>21825</v>
      </c>
    </row>
    <row r="69" spans="2:14" ht="15" customHeight="1" x14ac:dyDescent="0.2">
      <c r="B69" s="15" t="s">
        <v>838</v>
      </c>
      <c r="C69" s="81">
        <v>33891</v>
      </c>
      <c r="D69" s="82" t="s">
        <v>903</v>
      </c>
      <c r="E69" s="465" t="s">
        <v>895</v>
      </c>
      <c r="F69" s="495" t="s">
        <v>1763</v>
      </c>
      <c r="G69" s="465" t="s">
        <v>340</v>
      </c>
      <c r="H69" s="85" t="s">
        <v>950</v>
      </c>
      <c r="I69" s="107">
        <v>0</v>
      </c>
      <c r="J69" s="105" t="s">
        <v>1135</v>
      </c>
      <c r="K69" s="86" t="s">
        <v>323</v>
      </c>
      <c r="L69" s="85" t="s">
        <v>302</v>
      </c>
      <c r="M69" s="87">
        <v>6300</v>
      </c>
      <c r="N69" s="88">
        <v>6300</v>
      </c>
    </row>
    <row r="70" spans="2:14" ht="15" customHeight="1" x14ac:dyDescent="0.2">
      <c r="B70" s="56" t="s">
        <v>413</v>
      </c>
      <c r="C70" s="81">
        <f>DATE(92,11,14)</f>
        <v>33922</v>
      </c>
      <c r="D70" s="82" t="s">
        <v>408</v>
      </c>
      <c r="E70" s="465" t="s">
        <v>828</v>
      </c>
      <c r="F70" s="495" t="s">
        <v>409</v>
      </c>
      <c r="G70" s="465" t="s">
        <v>340</v>
      </c>
      <c r="H70" s="85" t="s">
        <v>410</v>
      </c>
      <c r="I70" s="83" t="s">
        <v>411</v>
      </c>
      <c r="J70" s="85" t="s">
        <v>332</v>
      </c>
      <c r="K70" s="86" t="s">
        <v>412</v>
      </c>
      <c r="L70" s="85" t="s">
        <v>302</v>
      </c>
      <c r="M70" s="87">
        <v>30000</v>
      </c>
      <c r="N70" s="88">
        <v>30000</v>
      </c>
    </row>
    <row r="71" spans="2:14" ht="15" customHeight="1" x14ac:dyDescent="0.2">
      <c r="B71" s="56" t="s">
        <v>419</v>
      </c>
      <c r="C71" s="81">
        <f>DATE(92,11,17)</f>
        <v>33925</v>
      </c>
      <c r="D71" s="82" t="s">
        <v>418</v>
      </c>
      <c r="E71" s="465" t="s">
        <v>828</v>
      </c>
      <c r="F71" s="495" t="s">
        <v>339</v>
      </c>
      <c r="G71" s="465" t="s">
        <v>340</v>
      </c>
      <c r="H71" s="85" t="s">
        <v>298</v>
      </c>
      <c r="I71" s="83" t="s">
        <v>411</v>
      </c>
      <c r="J71" s="85" t="s">
        <v>395</v>
      </c>
      <c r="K71" s="86" t="s">
        <v>343</v>
      </c>
      <c r="L71" s="85" t="s">
        <v>302</v>
      </c>
      <c r="M71" s="87">
        <v>300000</v>
      </c>
      <c r="N71" s="88">
        <v>300000</v>
      </c>
    </row>
    <row r="72" spans="2:14" ht="15" customHeight="1" x14ac:dyDescent="0.2">
      <c r="B72" s="56" t="s">
        <v>419</v>
      </c>
      <c r="C72" s="81">
        <f>DATE(92,11,17)</f>
        <v>33925</v>
      </c>
      <c r="D72" s="82" t="s">
        <v>420</v>
      </c>
      <c r="E72" s="465" t="s">
        <v>828</v>
      </c>
      <c r="F72" s="495" t="s">
        <v>421</v>
      </c>
      <c r="G72" s="465" t="s">
        <v>340</v>
      </c>
      <c r="H72" s="85" t="s">
        <v>298</v>
      </c>
      <c r="I72" s="83" t="s">
        <v>411</v>
      </c>
      <c r="J72" s="85" t="s">
        <v>395</v>
      </c>
      <c r="K72" s="86" t="s">
        <v>343</v>
      </c>
      <c r="L72" s="85" t="s">
        <v>302</v>
      </c>
      <c r="M72" s="87">
        <v>450000</v>
      </c>
      <c r="N72" s="88">
        <v>450000</v>
      </c>
    </row>
    <row r="73" spans="2:14" ht="15" customHeight="1" x14ac:dyDescent="0.2">
      <c r="B73" s="56" t="s">
        <v>419</v>
      </c>
      <c r="C73" s="81">
        <f>DATE(92,11,17)</f>
        <v>33925</v>
      </c>
      <c r="D73" s="82" t="s">
        <v>422</v>
      </c>
      <c r="E73" s="465" t="s">
        <v>828</v>
      </c>
      <c r="F73" s="495" t="s">
        <v>398</v>
      </c>
      <c r="G73" s="465" t="s">
        <v>340</v>
      </c>
      <c r="H73" s="85" t="s">
        <v>298</v>
      </c>
      <c r="I73" s="83" t="s">
        <v>411</v>
      </c>
      <c r="J73" s="85" t="s">
        <v>395</v>
      </c>
      <c r="K73" s="86" t="s">
        <v>343</v>
      </c>
      <c r="L73" s="85" t="s">
        <v>302</v>
      </c>
      <c r="M73" s="87">
        <v>400000</v>
      </c>
      <c r="N73" s="88">
        <v>400000</v>
      </c>
    </row>
    <row r="74" spans="2:14" ht="15" customHeight="1" x14ac:dyDescent="0.2">
      <c r="B74" s="56" t="s">
        <v>426</v>
      </c>
      <c r="C74" s="81">
        <f>DATE(92,12,18)</f>
        <v>33956</v>
      </c>
      <c r="D74" s="82" t="s">
        <v>423</v>
      </c>
      <c r="E74" s="465" t="s">
        <v>294</v>
      </c>
      <c r="F74" s="495" t="s">
        <v>424</v>
      </c>
      <c r="G74" s="465" t="s">
        <v>340</v>
      </c>
      <c r="H74" s="85" t="s">
        <v>298</v>
      </c>
      <c r="I74" s="83">
        <v>0.03</v>
      </c>
      <c r="J74" s="85" t="s">
        <v>323</v>
      </c>
      <c r="K74" s="86" t="s">
        <v>425</v>
      </c>
      <c r="L74" s="85" t="s">
        <v>366</v>
      </c>
      <c r="M74" s="87">
        <v>12690000</v>
      </c>
      <c r="N74" s="88">
        <v>102700</v>
      </c>
    </row>
    <row r="75" spans="2:14" x14ac:dyDescent="0.2">
      <c r="B75" s="15"/>
      <c r="C75" s="81"/>
      <c r="D75" s="82"/>
      <c r="E75" s="465"/>
      <c r="F75" s="495"/>
      <c r="G75" s="465"/>
      <c r="H75" s="85"/>
      <c r="I75" s="107"/>
      <c r="J75" s="85"/>
      <c r="K75" s="86"/>
      <c r="L75" s="85"/>
      <c r="M75" s="87"/>
      <c r="N75" s="88"/>
    </row>
    <row r="76" spans="2:14" s="14" customFormat="1" x14ac:dyDescent="0.2">
      <c r="B76" s="79" t="s">
        <v>353</v>
      </c>
      <c r="C76" s="9"/>
      <c r="D76" s="3"/>
      <c r="E76" s="3"/>
      <c r="F76" s="494"/>
      <c r="G76" s="3"/>
      <c r="H76" s="11"/>
      <c r="I76" s="10"/>
      <c r="J76" s="11"/>
      <c r="K76" s="12"/>
      <c r="L76" s="11"/>
      <c r="M76" s="13"/>
      <c r="N76" s="89">
        <f>SUM(N77:N81)</f>
        <v>79260</v>
      </c>
    </row>
    <row r="77" spans="2:14" ht="15" customHeight="1" x14ac:dyDescent="0.2">
      <c r="B77" s="56" t="s">
        <v>379</v>
      </c>
      <c r="C77" s="81">
        <f>DATE(92,5,1)</f>
        <v>33725</v>
      </c>
      <c r="D77" s="82" t="s">
        <v>351</v>
      </c>
      <c r="E77" s="465" t="s">
        <v>828</v>
      </c>
      <c r="F77" s="495" t="s">
        <v>378</v>
      </c>
      <c r="G77" s="465" t="s">
        <v>353</v>
      </c>
      <c r="H77" s="85" t="s">
        <v>354</v>
      </c>
      <c r="I77" s="83" t="s">
        <v>355</v>
      </c>
      <c r="J77" s="105" t="s">
        <v>1135</v>
      </c>
      <c r="K77" s="86" t="s">
        <v>356</v>
      </c>
      <c r="L77" s="85" t="s">
        <v>302</v>
      </c>
      <c r="M77" s="87">
        <v>20000</v>
      </c>
      <c r="N77" s="88">
        <v>20000</v>
      </c>
    </row>
    <row r="78" spans="2:14" ht="15" customHeight="1" x14ac:dyDescent="0.2">
      <c r="B78" s="56" t="s">
        <v>392</v>
      </c>
      <c r="C78" s="81">
        <f>DATE(92,6,26)</f>
        <v>33781</v>
      </c>
      <c r="D78" s="82" t="s">
        <v>351</v>
      </c>
      <c r="E78" s="465" t="s">
        <v>828</v>
      </c>
      <c r="F78" s="495" t="s">
        <v>389</v>
      </c>
      <c r="G78" s="465" t="s">
        <v>353</v>
      </c>
      <c r="H78" s="85" t="s">
        <v>390</v>
      </c>
      <c r="I78" s="83" t="s">
        <v>391</v>
      </c>
      <c r="J78" s="85" t="s">
        <v>330</v>
      </c>
      <c r="K78" s="86" t="s">
        <v>349</v>
      </c>
      <c r="L78" s="85" t="s">
        <v>302</v>
      </c>
      <c r="M78" s="87">
        <v>12600</v>
      </c>
      <c r="N78" s="88">
        <v>12600</v>
      </c>
    </row>
    <row r="79" spans="2:14" ht="15" customHeight="1" x14ac:dyDescent="0.2">
      <c r="B79" s="56" t="s">
        <v>396</v>
      </c>
      <c r="C79" s="81">
        <f>DATE(92,9,8)</f>
        <v>33855</v>
      </c>
      <c r="D79" s="82" t="s">
        <v>351</v>
      </c>
      <c r="E79" s="465" t="s">
        <v>828</v>
      </c>
      <c r="F79" s="495" t="s">
        <v>393</v>
      </c>
      <c r="G79" s="465" t="s">
        <v>353</v>
      </c>
      <c r="H79" s="85" t="s">
        <v>390</v>
      </c>
      <c r="I79" s="83" t="s">
        <v>391</v>
      </c>
      <c r="J79" s="85" t="s">
        <v>394</v>
      </c>
      <c r="K79" s="86" t="s">
        <v>395</v>
      </c>
      <c r="L79" s="85" t="s">
        <v>302</v>
      </c>
      <c r="M79" s="87">
        <v>24800</v>
      </c>
      <c r="N79" s="88">
        <v>24800</v>
      </c>
    </row>
    <row r="80" spans="2:14" ht="15" customHeight="1" x14ac:dyDescent="0.2">
      <c r="B80" s="56" t="s">
        <v>406</v>
      </c>
      <c r="C80" s="81">
        <f>DATE(92,9,16)</f>
        <v>33863</v>
      </c>
      <c r="D80" s="82" t="s">
        <v>304</v>
      </c>
      <c r="E80" s="465" t="s">
        <v>294</v>
      </c>
      <c r="F80" s="495" t="s">
        <v>405</v>
      </c>
      <c r="G80" s="465" t="s">
        <v>353</v>
      </c>
      <c r="H80" s="85" t="s">
        <v>1134</v>
      </c>
      <c r="I80" s="83">
        <v>1.4999999999999999E-2</v>
      </c>
      <c r="J80" s="85" t="s">
        <v>383</v>
      </c>
      <c r="K80" s="86" t="s">
        <v>363</v>
      </c>
      <c r="L80" s="85" t="s">
        <v>302</v>
      </c>
      <c r="M80" s="87">
        <v>10000</v>
      </c>
      <c r="N80" s="88">
        <v>10000</v>
      </c>
    </row>
    <row r="81" spans="2:14" ht="15" customHeight="1" x14ac:dyDescent="0.2">
      <c r="B81" s="56" t="s">
        <v>417</v>
      </c>
      <c r="C81" s="81">
        <f>DATE(92,11,17)</f>
        <v>33925</v>
      </c>
      <c r="D81" s="82" t="s">
        <v>414</v>
      </c>
      <c r="E81" s="465" t="s">
        <v>317</v>
      </c>
      <c r="F81" s="495" t="s">
        <v>415</v>
      </c>
      <c r="G81" s="465" t="s">
        <v>353</v>
      </c>
      <c r="H81" s="85" t="s">
        <v>947</v>
      </c>
      <c r="I81" s="83">
        <v>7.4999999999999997E-2</v>
      </c>
      <c r="J81" s="85" t="s">
        <v>416</v>
      </c>
      <c r="K81" s="86" t="s">
        <v>370</v>
      </c>
      <c r="L81" s="85" t="s">
        <v>302</v>
      </c>
      <c r="M81" s="87">
        <v>11860</v>
      </c>
      <c r="N81" s="88">
        <v>11860</v>
      </c>
    </row>
    <row r="82" spans="2:14" x14ac:dyDescent="0.2">
      <c r="B82" s="56"/>
      <c r="C82" s="81"/>
      <c r="D82" s="82"/>
      <c r="E82" s="465"/>
      <c r="F82" s="495"/>
      <c r="G82" s="465"/>
      <c r="H82" s="85"/>
      <c r="I82" s="83"/>
      <c r="J82" s="85"/>
      <c r="K82" s="86"/>
      <c r="L82" s="85"/>
      <c r="M82" s="87"/>
      <c r="N82" s="88"/>
    </row>
    <row r="83" spans="2:14" s="14" customFormat="1" x14ac:dyDescent="0.2">
      <c r="B83" s="79" t="s">
        <v>688</v>
      </c>
      <c r="C83" s="9"/>
      <c r="D83" s="3"/>
      <c r="E83" s="3"/>
      <c r="F83" s="494"/>
      <c r="G83" s="3"/>
      <c r="H83" s="11"/>
      <c r="I83" s="10"/>
      <c r="J83" s="11"/>
      <c r="K83" s="12"/>
      <c r="L83" s="11"/>
      <c r="M83" s="13"/>
      <c r="N83" s="89">
        <f>SUM(N84)</f>
        <v>20280</v>
      </c>
    </row>
    <row r="84" spans="2:14" ht="15" customHeight="1" x14ac:dyDescent="0.2">
      <c r="B84" s="56" t="s">
        <v>403</v>
      </c>
      <c r="C84" s="81">
        <f>DATE(92,8,25)</f>
        <v>33841</v>
      </c>
      <c r="D84" s="82" t="s">
        <v>304</v>
      </c>
      <c r="E84" s="465" t="s">
        <v>294</v>
      </c>
      <c r="F84" s="495" t="s">
        <v>402</v>
      </c>
      <c r="G84" s="465" t="s">
        <v>688</v>
      </c>
      <c r="H84" s="85" t="s">
        <v>518</v>
      </c>
      <c r="I84" s="83">
        <v>1.4999999999999999E-2</v>
      </c>
      <c r="J84" s="85" t="s">
        <v>383</v>
      </c>
      <c r="K84" s="86" t="s">
        <v>363</v>
      </c>
      <c r="L84" s="85" t="s">
        <v>404</v>
      </c>
      <c r="M84" s="87">
        <v>14212</v>
      </c>
      <c r="N84" s="88">
        <v>20280</v>
      </c>
    </row>
    <row r="85" spans="2:14" x14ac:dyDescent="0.2">
      <c r="B85" s="82"/>
      <c r="C85" s="81"/>
      <c r="D85" s="82"/>
      <c r="E85" s="465"/>
      <c r="F85" s="495"/>
      <c r="G85" s="465"/>
      <c r="H85" s="86"/>
      <c r="I85" s="108"/>
      <c r="J85" s="85"/>
      <c r="K85" s="86"/>
      <c r="L85" s="85"/>
      <c r="M85" s="87"/>
      <c r="N85" s="87"/>
    </row>
    <row r="86" spans="2:14" s="14" customFormat="1" x14ac:dyDescent="0.2">
      <c r="B86" s="79" t="s">
        <v>381</v>
      </c>
      <c r="C86" s="9"/>
      <c r="D86" s="3"/>
      <c r="E86" s="3"/>
      <c r="F86" s="494"/>
      <c r="G86" s="3"/>
      <c r="H86" s="11"/>
      <c r="I86" s="10"/>
      <c r="J86" s="11"/>
      <c r="K86" s="12"/>
      <c r="L86" s="11"/>
      <c r="M86" s="13"/>
      <c r="N86" s="89">
        <f>SUM(N87)</f>
        <v>11450</v>
      </c>
    </row>
    <row r="87" spans="2:14" ht="15" customHeight="1" x14ac:dyDescent="0.2">
      <c r="B87" s="56" t="s">
        <v>384</v>
      </c>
      <c r="C87" s="81">
        <f>DATE(92,5,1)</f>
        <v>33725</v>
      </c>
      <c r="D87" s="82" t="s">
        <v>304</v>
      </c>
      <c r="E87" s="465" t="s">
        <v>294</v>
      </c>
      <c r="F87" s="495" t="s">
        <v>380</v>
      </c>
      <c r="G87" s="465" t="s">
        <v>381</v>
      </c>
      <c r="H87" s="85" t="s">
        <v>382</v>
      </c>
      <c r="I87" s="83">
        <v>1.4999999999999999E-2</v>
      </c>
      <c r="J87" s="85" t="s">
        <v>383</v>
      </c>
      <c r="K87" s="86" t="s">
        <v>363</v>
      </c>
      <c r="L87" s="85" t="s">
        <v>385</v>
      </c>
      <c r="M87" s="87">
        <v>14254841</v>
      </c>
      <c r="N87" s="88">
        <v>11450</v>
      </c>
    </row>
    <row r="88" spans="2:14" x14ac:dyDescent="0.2">
      <c r="B88" s="56"/>
      <c r="C88" s="81"/>
      <c r="D88" s="82"/>
      <c r="E88" s="465"/>
      <c r="F88" s="495"/>
      <c r="G88" s="465"/>
      <c r="H88" s="85"/>
      <c r="I88" s="83"/>
      <c r="J88" s="85"/>
      <c r="K88" s="86"/>
      <c r="L88" s="85"/>
      <c r="M88" s="87"/>
      <c r="N88" s="88"/>
    </row>
    <row r="89" spans="2:14" s="14" customFormat="1" x14ac:dyDescent="0.2">
      <c r="B89" s="79" t="s">
        <v>305</v>
      </c>
      <c r="C89" s="9"/>
      <c r="D89" s="3"/>
      <c r="E89" s="3"/>
      <c r="F89" s="494"/>
      <c r="G89" s="3"/>
      <c r="H89" s="11"/>
      <c r="I89" s="10"/>
      <c r="J89" s="11"/>
      <c r="K89" s="12"/>
      <c r="L89" s="11"/>
      <c r="M89" s="13"/>
      <c r="N89" s="89">
        <f>SUM(N90)</f>
        <v>210000</v>
      </c>
    </row>
    <row r="90" spans="2:14" ht="15" customHeight="1" thickBot="1" x14ac:dyDescent="0.25">
      <c r="B90" s="109" t="s">
        <v>377</v>
      </c>
      <c r="C90" s="94">
        <f>DATE(92,1,4)</f>
        <v>33607</v>
      </c>
      <c r="D90" s="95" t="s">
        <v>372</v>
      </c>
      <c r="E90" s="466" t="s">
        <v>828</v>
      </c>
      <c r="F90" s="496" t="s">
        <v>373</v>
      </c>
      <c r="G90" s="466" t="s">
        <v>305</v>
      </c>
      <c r="H90" s="98" t="s">
        <v>374</v>
      </c>
      <c r="I90" s="96" t="s">
        <v>341</v>
      </c>
      <c r="J90" s="98" t="s">
        <v>375</v>
      </c>
      <c r="K90" s="99" t="s">
        <v>376</v>
      </c>
      <c r="L90" s="98" t="s">
        <v>302</v>
      </c>
      <c r="M90" s="100">
        <v>210000</v>
      </c>
      <c r="N90" s="101">
        <v>210000</v>
      </c>
    </row>
    <row r="91" spans="2:14" ht="13.5" thickTop="1" x14ac:dyDescent="0.2">
      <c r="B91" s="336"/>
      <c r="C91" s="335"/>
      <c r="D91" s="336"/>
      <c r="E91" s="467"/>
      <c r="F91" s="491"/>
      <c r="G91" s="467"/>
      <c r="H91" s="467"/>
      <c r="I91" s="337"/>
      <c r="J91" s="331"/>
      <c r="K91" s="338"/>
      <c r="L91" s="339"/>
      <c r="M91" s="332"/>
      <c r="N91" s="334"/>
    </row>
    <row r="92" spans="2:14" s="256" customFormat="1" ht="18" customHeight="1" x14ac:dyDescent="0.25">
      <c r="B92" s="257">
        <v>1993</v>
      </c>
      <c r="C92" s="258"/>
      <c r="D92" s="257"/>
      <c r="E92" s="468"/>
      <c r="F92" s="497"/>
      <c r="G92" s="468"/>
      <c r="H92" s="468"/>
      <c r="I92" s="252"/>
      <c r="J92" s="253"/>
      <c r="K92" s="254"/>
      <c r="L92" s="253"/>
      <c r="M92" s="255"/>
      <c r="N92" s="250">
        <f>+N93+N96+N99+N103+N107+N110+N116+N120</f>
        <v>666454</v>
      </c>
    </row>
    <row r="93" spans="2:14" s="14" customFormat="1" x14ac:dyDescent="0.2">
      <c r="B93" s="102" t="s">
        <v>990</v>
      </c>
      <c r="C93" s="9"/>
      <c r="D93" s="3"/>
      <c r="E93" s="3"/>
      <c r="F93" s="494"/>
      <c r="G93" s="3"/>
      <c r="H93" s="3"/>
      <c r="I93" s="10"/>
      <c r="J93" s="11"/>
      <c r="K93" s="12"/>
      <c r="L93" s="11"/>
      <c r="M93" s="13"/>
      <c r="N93" s="89">
        <f>SUM(N94)</f>
        <v>16380</v>
      </c>
    </row>
    <row r="94" spans="2:14" ht="15" customHeight="1" x14ac:dyDescent="0.2">
      <c r="B94" s="82" t="s">
        <v>429</v>
      </c>
      <c r="C94" s="81">
        <f>DATE(93,5,18)</f>
        <v>34107</v>
      </c>
      <c r="D94" s="82" t="s">
        <v>427</v>
      </c>
      <c r="E94" s="465" t="s">
        <v>828</v>
      </c>
      <c r="F94" s="495" t="s">
        <v>428</v>
      </c>
      <c r="G94" s="465" t="s">
        <v>296</v>
      </c>
      <c r="H94" s="465" t="s">
        <v>322</v>
      </c>
      <c r="I94" s="83">
        <v>0.04</v>
      </c>
      <c r="J94" s="85" t="s">
        <v>370</v>
      </c>
      <c r="K94" s="86" t="s">
        <v>343</v>
      </c>
      <c r="L94" s="85" t="s">
        <v>430</v>
      </c>
      <c r="M94" s="87">
        <v>11650</v>
      </c>
      <c r="N94" s="88">
        <v>16380</v>
      </c>
    </row>
    <row r="95" spans="2:14" x14ac:dyDescent="0.2">
      <c r="B95" s="82"/>
      <c r="C95" s="81"/>
      <c r="D95" s="82"/>
      <c r="E95" s="465"/>
      <c r="F95" s="495"/>
      <c r="G95" s="465"/>
      <c r="H95" s="465"/>
      <c r="I95" s="83"/>
      <c r="J95" s="85"/>
      <c r="K95" s="86"/>
      <c r="L95" s="85"/>
      <c r="M95" s="87"/>
      <c r="N95" s="88"/>
    </row>
    <row r="96" spans="2:14" s="14" customFormat="1" x14ac:dyDescent="0.2">
      <c r="B96" s="102" t="s">
        <v>310</v>
      </c>
      <c r="C96" s="9"/>
      <c r="D96" s="3"/>
      <c r="E96" s="3"/>
      <c r="F96" s="494"/>
      <c r="G96" s="3"/>
      <c r="H96" s="3"/>
      <c r="I96" s="10"/>
      <c r="J96" s="11"/>
      <c r="K96" s="12"/>
      <c r="L96" s="11"/>
      <c r="M96" s="13"/>
      <c r="N96" s="89">
        <f>SUM(N97)</f>
        <v>9346</v>
      </c>
    </row>
    <row r="97" spans="2:14" ht="15" customHeight="1" x14ac:dyDescent="0.2">
      <c r="B97" s="82" t="s">
        <v>446</v>
      </c>
      <c r="C97" s="81">
        <v>34298</v>
      </c>
      <c r="D97" s="82" t="s">
        <v>444</v>
      </c>
      <c r="E97" s="465" t="s">
        <v>895</v>
      </c>
      <c r="F97" s="495" t="s">
        <v>309</v>
      </c>
      <c r="G97" s="465" t="s">
        <v>310</v>
      </c>
      <c r="H97" s="465" t="s">
        <v>311</v>
      </c>
      <c r="I97" s="83">
        <v>7.0000000000000007E-2</v>
      </c>
      <c r="J97" s="85" t="s">
        <v>445</v>
      </c>
      <c r="K97" s="86" t="s">
        <v>333</v>
      </c>
      <c r="L97" s="85" t="s">
        <v>302</v>
      </c>
      <c r="M97" s="87">
        <v>9346</v>
      </c>
      <c r="N97" s="88">
        <v>9346</v>
      </c>
    </row>
    <row r="98" spans="2:14" x14ac:dyDescent="0.2">
      <c r="B98" s="82"/>
      <c r="C98" s="81"/>
      <c r="D98" s="82"/>
      <c r="E98" s="465"/>
      <c r="F98" s="495"/>
      <c r="G98" s="465"/>
      <c r="H98" s="465"/>
      <c r="I98" s="83"/>
      <c r="J98" s="85"/>
      <c r="K98" s="86"/>
      <c r="L98" s="85"/>
      <c r="M98" s="87"/>
      <c r="N98" s="88"/>
    </row>
    <row r="99" spans="2:14" s="14" customFormat="1" x14ac:dyDescent="0.2">
      <c r="B99" s="102" t="s">
        <v>340</v>
      </c>
      <c r="C99" s="9"/>
      <c r="D99" s="3"/>
      <c r="E99" s="3"/>
      <c r="F99" s="494"/>
      <c r="G99" s="3"/>
      <c r="H99" s="3"/>
      <c r="I99" s="10"/>
      <c r="J99" s="11"/>
      <c r="K99" s="12"/>
      <c r="L99" s="11"/>
      <c r="M99" s="13"/>
      <c r="N99" s="89">
        <f>SUM(N100:N101)</f>
        <v>279257</v>
      </c>
    </row>
    <row r="100" spans="2:14" s="14" customFormat="1" ht="15" customHeight="1" x14ac:dyDescent="0.2">
      <c r="B100" s="82" t="s">
        <v>443</v>
      </c>
      <c r="C100" s="81">
        <f>DATE(93,4,13)</f>
        <v>34072</v>
      </c>
      <c r="D100" s="82" t="s">
        <v>441</v>
      </c>
      <c r="E100" s="465" t="s">
        <v>828</v>
      </c>
      <c r="F100" s="495" t="s">
        <v>442</v>
      </c>
      <c r="G100" s="465" t="s">
        <v>340</v>
      </c>
      <c r="H100" s="465" t="s">
        <v>298</v>
      </c>
      <c r="I100" s="83" t="s">
        <v>411</v>
      </c>
      <c r="J100" s="85" t="s">
        <v>395</v>
      </c>
      <c r="K100" s="86" t="s">
        <v>343</v>
      </c>
      <c r="L100" s="85" t="s">
        <v>302</v>
      </c>
      <c r="M100" s="87">
        <v>250000</v>
      </c>
      <c r="N100" s="88">
        <v>250000</v>
      </c>
    </row>
    <row r="101" spans="2:14" ht="15" customHeight="1" x14ac:dyDescent="0.2">
      <c r="B101" s="82" t="s">
        <v>472</v>
      </c>
      <c r="C101" s="81">
        <f>DATE(93,12,1)</f>
        <v>34304</v>
      </c>
      <c r="D101" s="82" t="s">
        <v>628</v>
      </c>
      <c r="E101" s="465" t="s">
        <v>294</v>
      </c>
      <c r="F101" s="495" t="s">
        <v>471</v>
      </c>
      <c r="G101" s="465" t="s">
        <v>340</v>
      </c>
      <c r="H101" s="465" t="s">
        <v>298</v>
      </c>
      <c r="I101" s="83" t="s">
        <v>1036</v>
      </c>
      <c r="J101" s="85" t="s">
        <v>306</v>
      </c>
      <c r="K101" s="86" t="s">
        <v>468</v>
      </c>
      <c r="L101" s="85" t="s">
        <v>470</v>
      </c>
      <c r="M101" s="87">
        <v>50000</v>
      </c>
      <c r="N101" s="88">
        <v>29257</v>
      </c>
    </row>
    <row r="102" spans="2:14" x14ac:dyDescent="0.2">
      <c r="B102" s="82"/>
      <c r="C102" s="81"/>
      <c r="D102" s="82"/>
      <c r="E102" s="465"/>
      <c r="F102" s="495"/>
      <c r="G102" s="465"/>
      <c r="H102" s="465"/>
      <c r="I102" s="83"/>
      <c r="J102" s="85"/>
      <c r="K102" s="86"/>
      <c r="L102" s="85"/>
      <c r="M102" s="87"/>
      <c r="N102" s="88"/>
    </row>
    <row r="103" spans="2:14" s="14" customFormat="1" x14ac:dyDescent="0.2">
      <c r="B103" s="102" t="s">
        <v>353</v>
      </c>
      <c r="C103" s="9"/>
      <c r="D103" s="3"/>
      <c r="E103" s="3"/>
      <c r="F103" s="494"/>
      <c r="G103" s="3"/>
      <c r="H103" s="3"/>
      <c r="I103" s="10"/>
      <c r="J103" s="11"/>
      <c r="K103" s="12"/>
      <c r="L103" s="11"/>
      <c r="M103" s="13"/>
      <c r="N103" s="89">
        <f>SUM(N104:N105)</f>
        <v>21871</v>
      </c>
    </row>
    <row r="104" spans="2:14" ht="15" customHeight="1" x14ac:dyDescent="0.2">
      <c r="B104" s="82" t="s">
        <v>454</v>
      </c>
      <c r="C104" s="81">
        <f>DATE(93,11,9)</f>
        <v>34282</v>
      </c>
      <c r="D104" s="82" t="s">
        <v>451</v>
      </c>
      <c r="E104" s="465" t="s">
        <v>828</v>
      </c>
      <c r="F104" s="495" t="s">
        <v>452</v>
      </c>
      <c r="G104" s="465" t="s">
        <v>353</v>
      </c>
      <c r="H104" s="465" t="s">
        <v>453</v>
      </c>
      <c r="I104" s="83" t="s">
        <v>411</v>
      </c>
      <c r="J104" s="85" t="s">
        <v>395</v>
      </c>
      <c r="K104" s="86" t="s">
        <v>343</v>
      </c>
      <c r="L104" s="85" t="s">
        <v>302</v>
      </c>
      <c r="M104" s="87">
        <v>11800</v>
      </c>
      <c r="N104" s="88">
        <v>11800</v>
      </c>
    </row>
    <row r="105" spans="2:14" ht="15" customHeight="1" x14ac:dyDescent="0.2">
      <c r="B105" s="20" t="s">
        <v>466</v>
      </c>
      <c r="C105" s="81">
        <f>DATE(93,12,2)</f>
        <v>34305</v>
      </c>
      <c r="D105" s="82" t="s">
        <v>464</v>
      </c>
      <c r="E105" s="465" t="s">
        <v>895</v>
      </c>
      <c r="F105" s="495" t="s">
        <v>1764</v>
      </c>
      <c r="G105" s="465" t="s">
        <v>353</v>
      </c>
      <c r="H105" s="465" t="s">
        <v>518</v>
      </c>
      <c r="I105" s="83">
        <v>0.05</v>
      </c>
      <c r="J105" s="85" t="s">
        <v>416</v>
      </c>
      <c r="K105" s="86" t="s">
        <v>465</v>
      </c>
      <c r="L105" s="85" t="s">
        <v>302</v>
      </c>
      <c r="M105" s="87">
        <v>10071</v>
      </c>
      <c r="N105" s="88">
        <v>10071</v>
      </c>
    </row>
    <row r="106" spans="2:14" x14ac:dyDescent="0.2">
      <c r="B106" s="20"/>
      <c r="C106" s="81"/>
      <c r="D106" s="82"/>
      <c r="E106" s="465"/>
      <c r="F106" s="495"/>
      <c r="G106" s="465"/>
      <c r="H106" s="465"/>
      <c r="I106" s="83"/>
      <c r="J106" s="85"/>
      <c r="K106" s="86"/>
      <c r="L106" s="85"/>
      <c r="M106" s="87"/>
      <c r="N106" s="88"/>
    </row>
    <row r="107" spans="2:14" s="14" customFormat="1" x14ac:dyDescent="0.2">
      <c r="B107" s="102" t="s">
        <v>438</v>
      </c>
      <c r="C107" s="9"/>
      <c r="D107" s="3"/>
      <c r="E107" s="3"/>
      <c r="F107" s="494"/>
      <c r="G107" s="3"/>
      <c r="H107" s="3"/>
      <c r="I107" s="10"/>
      <c r="J107" s="11"/>
      <c r="K107" s="12"/>
      <c r="L107" s="11"/>
      <c r="M107" s="13"/>
      <c r="N107" s="89">
        <f>SUM(N108)</f>
        <v>68000</v>
      </c>
    </row>
    <row r="108" spans="2:14" ht="15" customHeight="1" x14ac:dyDescent="0.2">
      <c r="B108" s="82" t="s">
        <v>440</v>
      </c>
      <c r="C108" s="81">
        <f>DATE(93,3,30)</f>
        <v>34058</v>
      </c>
      <c r="D108" s="82" t="s">
        <v>436</v>
      </c>
      <c r="E108" s="465" t="s">
        <v>828</v>
      </c>
      <c r="F108" s="495" t="s">
        <v>437</v>
      </c>
      <c r="G108" s="465" t="s">
        <v>438</v>
      </c>
      <c r="H108" s="465" t="s">
        <v>439</v>
      </c>
      <c r="I108" s="83" t="s">
        <v>341</v>
      </c>
      <c r="J108" s="85" t="s">
        <v>300</v>
      </c>
      <c r="K108" s="86" t="s">
        <v>425</v>
      </c>
      <c r="L108" s="85" t="s">
        <v>302</v>
      </c>
      <c r="M108" s="87">
        <v>68000</v>
      </c>
      <c r="N108" s="88">
        <v>68000</v>
      </c>
    </row>
    <row r="109" spans="2:14" x14ac:dyDescent="0.2">
      <c r="B109" s="82"/>
      <c r="C109" s="81"/>
      <c r="D109" s="82"/>
      <c r="E109" s="465"/>
      <c r="F109" s="495"/>
      <c r="G109" s="465"/>
      <c r="H109" s="465"/>
      <c r="I109" s="83"/>
      <c r="J109" s="85"/>
      <c r="K109" s="86"/>
      <c r="L109" s="85"/>
      <c r="M109" s="87"/>
      <c r="N109" s="88"/>
    </row>
    <row r="110" spans="2:14" s="14" customFormat="1" x14ac:dyDescent="0.2">
      <c r="B110" s="102" t="s">
        <v>991</v>
      </c>
      <c r="C110" s="9"/>
      <c r="D110" s="3"/>
      <c r="E110" s="3"/>
      <c r="F110" s="494"/>
      <c r="G110" s="3"/>
      <c r="H110" s="3"/>
      <c r="I110" s="10"/>
      <c r="J110" s="11"/>
      <c r="K110" s="12"/>
      <c r="L110" s="11"/>
      <c r="M110" s="13"/>
      <c r="N110" s="89">
        <f>SUM(N111:N114)</f>
        <v>22900</v>
      </c>
    </row>
    <row r="111" spans="2:14" s="14" customFormat="1" ht="15" customHeight="1" x14ac:dyDescent="0.2">
      <c r="B111" s="20" t="s">
        <v>432</v>
      </c>
      <c r="C111" s="81">
        <f>DATE(94,1,1)</f>
        <v>34335</v>
      </c>
      <c r="D111" s="82" t="s">
        <v>431</v>
      </c>
      <c r="E111" s="465" t="s">
        <v>828</v>
      </c>
      <c r="F111" s="495" t="s">
        <v>975</v>
      </c>
      <c r="G111" s="465" t="s">
        <v>381</v>
      </c>
      <c r="H111" s="465" t="s">
        <v>968</v>
      </c>
      <c r="I111" s="83" t="s">
        <v>341</v>
      </c>
      <c r="J111" s="85" t="s">
        <v>1148</v>
      </c>
      <c r="K111" s="86" t="s">
        <v>610</v>
      </c>
      <c r="L111" s="85" t="s">
        <v>302</v>
      </c>
      <c r="M111" s="87">
        <v>1500</v>
      </c>
      <c r="N111" s="88">
        <v>1500</v>
      </c>
    </row>
    <row r="112" spans="2:14" s="14" customFormat="1" ht="15" customHeight="1" x14ac:dyDescent="0.2">
      <c r="B112" s="82" t="s">
        <v>450</v>
      </c>
      <c r="C112" s="81">
        <f>DATE(93,7,30)</f>
        <v>34180</v>
      </c>
      <c r="D112" s="82" t="s">
        <v>447</v>
      </c>
      <c r="E112" s="465" t="s">
        <v>828</v>
      </c>
      <c r="F112" s="495" t="s">
        <v>448</v>
      </c>
      <c r="G112" s="465" t="s">
        <v>381</v>
      </c>
      <c r="H112" s="465" t="s">
        <v>948</v>
      </c>
      <c r="I112" s="83" t="s">
        <v>411</v>
      </c>
      <c r="J112" s="90" t="s">
        <v>1135</v>
      </c>
      <c r="K112" s="86" t="s">
        <v>449</v>
      </c>
      <c r="L112" s="85" t="s">
        <v>302</v>
      </c>
      <c r="M112" s="87">
        <v>500</v>
      </c>
      <c r="N112" s="88">
        <v>500</v>
      </c>
    </row>
    <row r="113" spans="2:14" ht="15" customHeight="1" x14ac:dyDescent="0.2">
      <c r="B113" s="82" t="s">
        <v>469</v>
      </c>
      <c r="C113" s="81">
        <f>DATE(93,10,7)</f>
        <v>34249</v>
      </c>
      <c r="D113" s="82" t="s">
        <v>628</v>
      </c>
      <c r="E113" s="465" t="s">
        <v>294</v>
      </c>
      <c r="F113" s="495" t="s">
        <v>974</v>
      </c>
      <c r="G113" s="465" t="s">
        <v>381</v>
      </c>
      <c r="H113" s="465" t="s">
        <v>467</v>
      </c>
      <c r="I113" s="83">
        <v>0.03</v>
      </c>
      <c r="J113" s="85" t="s">
        <v>323</v>
      </c>
      <c r="K113" s="86" t="s">
        <v>468</v>
      </c>
      <c r="L113" s="85" t="s">
        <v>470</v>
      </c>
      <c r="M113" s="87">
        <v>19500</v>
      </c>
      <c r="N113" s="88">
        <v>12000</v>
      </c>
    </row>
    <row r="114" spans="2:14" ht="15" customHeight="1" x14ac:dyDescent="0.2">
      <c r="B114" s="82" t="s">
        <v>434</v>
      </c>
      <c r="C114" s="81">
        <f>DATE(93,10,9)</f>
        <v>34251</v>
      </c>
      <c r="D114" s="82" t="s">
        <v>433</v>
      </c>
      <c r="E114" s="465" t="s">
        <v>294</v>
      </c>
      <c r="F114" s="495" t="s">
        <v>973</v>
      </c>
      <c r="G114" s="465" t="s">
        <v>381</v>
      </c>
      <c r="H114" s="465" t="s">
        <v>946</v>
      </c>
      <c r="I114" s="83">
        <v>0.04</v>
      </c>
      <c r="J114" s="85" t="s">
        <v>375</v>
      </c>
      <c r="K114" s="86" t="s">
        <v>376</v>
      </c>
      <c r="L114" s="85" t="s">
        <v>435</v>
      </c>
      <c r="M114" s="87">
        <v>50000</v>
      </c>
      <c r="N114" s="88">
        <v>8900</v>
      </c>
    </row>
    <row r="115" spans="2:14" x14ac:dyDescent="0.2">
      <c r="B115" s="20"/>
      <c r="C115" s="81"/>
      <c r="D115" s="82"/>
      <c r="E115" s="465"/>
      <c r="F115" s="495"/>
      <c r="G115" s="465"/>
      <c r="H115" s="465"/>
      <c r="I115" s="83"/>
      <c r="J115" s="85"/>
      <c r="K115" s="86"/>
      <c r="L115" s="85"/>
      <c r="M115" s="87"/>
      <c r="N115" s="88"/>
    </row>
    <row r="116" spans="2:14" s="14" customFormat="1" x14ac:dyDescent="0.2">
      <c r="B116" s="102" t="s">
        <v>959</v>
      </c>
      <c r="C116" s="9"/>
      <c r="D116" s="3"/>
      <c r="E116" s="3"/>
      <c r="F116" s="494"/>
      <c r="G116" s="3"/>
      <c r="H116" s="3"/>
      <c r="I116" s="10"/>
      <c r="J116" s="11"/>
      <c r="K116" s="12"/>
      <c r="L116" s="11"/>
      <c r="M116" s="13"/>
      <c r="N116" s="89">
        <f>SUM(N117:N118)</f>
        <v>200000</v>
      </c>
    </row>
    <row r="117" spans="2:14" ht="15" customHeight="1" x14ac:dyDescent="0.2">
      <c r="B117" s="82" t="s">
        <v>476</v>
      </c>
      <c r="C117" s="81">
        <f>DATE(93,12,21)</f>
        <v>34324</v>
      </c>
      <c r="D117" s="82" t="s">
        <v>473</v>
      </c>
      <c r="E117" s="465" t="s">
        <v>828</v>
      </c>
      <c r="F117" s="495" t="s">
        <v>474</v>
      </c>
      <c r="G117" s="465" t="s">
        <v>959</v>
      </c>
      <c r="H117" s="465" t="s">
        <v>474</v>
      </c>
      <c r="I117" s="83" t="s">
        <v>341</v>
      </c>
      <c r="J117" s="85" t="s">
        <v>332</v>
      </c>
      <c r="K117" s="86" t="s">
        <v>425</v>
      </c>
      <c r="L117" s="85" t="s">
        <v>302</v>
      </c>
      <c r="M117" s="87">
        <v>100000</v>
      </c>
      <c r="N117" s="88">
        <v>100000</v>
      </c>
    </row>
    <row r="118" spans="2:14" ht="15" customHeight="1" x14ac:dyDescent="0.2">
      <c r="B118" s="82" t="s">
        <v>478</v>
      </c>
      <c r="C118" s="81">
        <f>DATE(93,12,19)</f>
        <v>34322</v>
      </c>
      <c r="D118" s="82" t="s">
        <v>477</v>
      </c>
      <c r="E118" s="465" t="s">
        <v>828</v>
      </c>
      <c r="F118" s="495" t="s">
        <v>474</v>
      </c>
      <c r="G118" s="465" t="s">
        <v>959</v>
      </c>
      <c r="H118" s="465" t="s">
        <v>474</v>
      </c>
      <c r="I118" s="83" t="s">
        <v>411</v>
      </c>
      <c r="J118" s="85" t="s">
        <v>332</v>
      </c>
      <c r="K118" s="86" t="s">
        <v>475</v>
      </c>
      <c r="L118" s="85" t="s">
        <v>302</v>
      </c>
      <c r="M118" s="87">
        <v>100000</v>
      </c>
      <c r="N118" s="88">
        <v>100000</v>
      </c>
    </row>
    <row r="119" spans="2:14" x14ac:dyDescent="0.2">
      <c r="B119" s="82"/>
      <c r="C119" s="81"/>
      <c r="D119" s="82"/>
      <c r="E119" s="465"/>
      <c r="F119" s="495"/>
      <c r="G119" s="465"/>
      <c r="H119" s="465"/>
      <c r="I119" s="83"/>
      <c r="J119" s="85"/>
      <c r="K119" s="86"/>
      <c r="L119" s="85"/>
      <c r="M119" s="87"/>
      <c r="N119" s="88"/>
    </row>
    <row r="120" spans="2:14" s="14" customFormat="1" x14ac:dyDescent="0.2">
      <c r="B120" s="102" t="s">
        <v>305</v>
      </c>
      <c r="C120" s="9"/>
      <c r="D120" s="3"/>
      <c r="E120" s="3"/>
      <c r="F120" s="494"/>
      <c r="G120" s="3"/>
      <c r="H120" s="3"/>
      <c r="I120" s="10"/>
      <c r="J120" s="11"/>
      <c r="K120" s="12"/>
      <c r="L120" s="11"/>
      <c r="M120" s="13"/>
      <c r="N120" s="89">
        <f>SUM(N121:N122)</f>
        <v>48700</v>
      </c>
    </row>
    <row r="121" spans="2:14" ht="15" customHeight="1" x14ac:dyDescent="0.2">
      <c r="B121" s="82" t="s">
        <v>463</v>
      </c>
      <c r="C121" s="81">
        <f>DATE(93,9,24)</f>
        <v>34236</v>
      </c>
      <c r="D121" s="82" t="s">
        <v>459</v>
      </c>
      <c r="E121" s="465" t="s">
        <v>294</v>
      </c>
      <c r="F121" s="495" t="s">
        <v>460</v>
      </c>
      <c r="G121" s="465" t="s">
        <v>305</v>
      </c>
      <c r="H121" s="465" t="s">
        <v>359</v>
      </c>
      <c r="I121" s="83" t="s">
        <v>459</v>
      </c>
      <c r="J121" s="85" t="s">
        <v>461</v>
      </c>
      <c r="K121" s="86" t="s">
        <v>462</v>
      </c>
      <c r="L121" s="85" t="s">
        <v>366</v>
      </c>
      <c r="M121" s="87">
        <v>5000000</v>
      </c>
      <c r="N121" s="88">
        <v>47200</v>
      </c>
    </row>
    <row r="122" spans="2:14" ht="15" customHeight="1" thickBot="1" x14ac:dyDescent="0.25">
      <c r="B122" s="95" t="s">
        <v>458</v>
      </c>
      <c r="C122" s="94">
        <f>DATE(93,9,2)</f>
        <v>34214</v>
      </c>
      <c r="D122" s="95" t="s">
        <v>455</v>
      </c>
      <c r="E122" s="466" t="s">
        <v>828</v>
      </c>
      <c r="F122" s="496" t="s">
        <v>456</v>
      </c>
      <c r="G122" s="466" t="s">
        <v>305</v>
      </c>
      <c r="H122" s="466" t="s">
        <v>374</v>
      </c>
      <c r="I122" s="96" t="s">
        <v>411</v>
      </c>
      <c r="J122" s="110" t="s">
        <v>1081</v>
      </c>
      <c r="K122" s="99" t="s">
        <v>610</v>
      </c>
      <c r="L122" s="98" t="s">
        <v>302</v>
      </c>
      <c r="M122" s="100">
        <v>1500</v>
      </c>
      <c r="N122" s="101">
        <v>1500</v>
      </c>
    </row>
    <row r="123" spans="2:14" ht="13.5" thickTop="1" x14ac:dyDescent="0.2">
      <c r="B123" s="336"/>
      <c r="C123" s="335"/>
      <c r="D123" s="336"/>
      <c r="E123" s="467"/>
      <c r="F123" s="491"/>
      <c r="G123" s="467"/>
      <c r="H123" s="467"/>
      <c r="I123" s="337"/>
      <c r="J123" s="331"/>
      <c r="K123" s="338"/>
      <c r="L123" s="339"/>
      <c r="M123" s="332"/>
      <c r="N123" s="334"/>
    </row>
    <row r="124" spans="2:14" s="256" customFormat="1" ht="18" x14ac:dyDescent="0.25">
      <c r="B124" s="257">
        <v>1994</v>
      </c>
      <c r="C124" s="258"/>
      <c r="D124" s="257"/>
      <c r="E124" s="468"/>
      <c r="F124" s="493"/>
      <c r="G124" s="468"/>
      <c r="H124" s="468"/>
      <c r="I124" s="252"/>
      <c r="J124" s="253"/>
      <c r="K124" s="254"/>
      <c r="L124" s="253"/>
      <c r="M124" s="255"/>
      <c r="N124" s="250">
        <f>+N125+N128+N135+N141+N146+N150+N154+N159</f>
        <v>1343027</v>
      </c>
    </row>
    <row r="125" spans="2:14" s="14" customFormat="1" x14ac:dyDescent="0.2">
      <c r="B125" s="102" t="s">
        <v>296</v>
      </c>
      <c r="C125" s="9"/>
      <c r="D125" s="3"/>
      <c r="E125" s="3"/>
      <c r="F125" s="494"/>
      <c r="G125" s="3"/>
      <c r="H125" s="3"/>
      <c r="I125" s="10"/>
      <c r="J125" s="11"/>
      <c r="K125" s="12"/>
      <c r="L125" s="11"/>
      <c r="M125" s="13"/>
      <c r="N125" s="89">
        <f>+N126</f>
        <v>29552</v>
      </c>
    </row>
    <row r="126" spans="2:14" ht="15" customHeight="1" x14ac:dyDescent="0.2">
      <c r="B126" s="20" t="s">
        <v>915</v>
      </c>
      <c r="C126" s="81">
        <f>DATE(94,7,9)</f>
        <v>34524</v>
      </c>
      <c r="D126" s="82" t="s">
        <v>494</v>
      </c>
      <c r="E126" s="465" t="s">
        <v>895</v>
      </c>
      <c r="F126" s="498" t="s">
        <v>495</v>
      </c>
      <c r="G126" s="537" t="s">
        <v>296</v>
      </c>
      <c r="H126" s="465" t="s">
        <v>322</v>
      </c>
      <c r="I126" s="83">
        <v>5.9499999999999997E-2</v>
      </c>
      <c r="J126" s="85" t="s">
        <v>457</v>
      </c>
      <c r="K126" s="86" t="s">
        <v>342</v>
      </c>
      <c r="L126" s="85" t="s">
        <v>302</v>
      </c>
      <c r="M126" s="87">
        <v>29552</v>
      </c>
      <c r="N126" s="88">
        <v>29552</v>
      </c>
    </row>
    <row r="127" spans="2:14" x14ac:dyDescent="0.2">
      <c r="B127" s="20"/>
      <c r="C127" s="81"/>
      <c r="D127" s="82"/>
      <c r="E127" s="465"/>
      <c r="F127" s="498"/>
      <c r="G127" s="537"/>
      <c r="H127" s="465"/>
      <c r="I127" s="83"/>
      <c r="J127" s="85"/>
      <c r="K127" s="86"/>
      <c r="L127" s="85"/>
      <c r="M127" s="87"/>
      <c r="N127" s="88"/>
    </row>
    <row r="128" spans="2:14" s="14" customFormat="1" x14ac:dyDescent="0.2">
      <c r="B128" s="102" t="s">
        <v>310</v>
      </c>
      <c r="C128" s="9"/>
      <c r="D128" s="3"/>
      <c r="E128" s="3"/>
      <c r="F128" s="494"/>
      <c r="G128" s="3"/>
      <c r="H128" s="3"/>
      <c r="I128" s="10"/>
      <c r="J128" s="11"/>
      <c r="K128" s="12"/>
      <c r="L128" s="11"/>
      <c r="M128" s="13"/>
      <c r="N128" s="89">
        <f>SUM(N129:N133)</f>
        <v>59668</v>
      </c>
    </row>
    <row r="129" spans="2:14" ht="15" customHeight="1" x14ac:dyDescent="0.2">
      <c r="B129" s="82" t="s">
        <v>924</v>
      </c>
      <c r="C129" s="81">
        <v>34698</v>
      </c>
      <c r="D129" s="82" t="s">
        <v>164</v>
      </c>
      <c r="E129" s="465" t="s">
        <v>294</v>
      </c>
      <c r="F129" s="495" t="s">
        <v>309</v>
      </c>
      <c r="G129" s="465" t="s">
        <v>310</v>
      </c>
      <c r="H129" s="465" t="s">
        <v>311</v>
      </c>
      <c r="I129" s="83" t="s">
        <v>1136</v>
      </c>
      <c r="J129" s="85" t="s">
        <v>457</v>
      </c>
      <c r="K129" s="86" t="s">
        <v>514</v>
      </c>
      <c r="L129" s="85" t="s">
        <v>302</v>
      </c>
      <c r="M129" s="87">
        <v>14621</v>
      </c>
      <c r="N129" s="88">
        <v>14621</v>
      </c>
    </row>
    <row r="130" spans="2:14" ht="15" customHeight="1" x14ac:dyDescent="0.2">
      <c r="B130" s="21" t="s">
        <v>943</v>
      </c>
      <c r="C130" s="81">
        <v>34612</v>
      </c>
      <c r="D130" s="82" t="s">
        <v>503</v>
      </c>
      <c r="E130" s="465" t="s">
        <v>895</v>
      </c>
      <c r="F130" s="495" t="s">
        <v>309</v>
      </c>
      <c r="G130" s="465" t="s">
        <v>310</v>
      </c>
      <c r="H130" s="465" t="s">
        <v>311</v>
      </c>
      <c r="I130" s="83">
        <v>7.0000000000000007E-2</v>
      </c>
      <c r="J130" s="85" t="s">
        <v>445</v>
      </c>
      <c r="K130" s="86" t="s">
        <v>349</v>
      </c>
      <c r="L130" s="85" t="s">
        <v>302</v>
      </c>
      <c r="M130" s="87">
        <v>28759</v>
      </c>
      <c r="N130" s="88">
        <v>28759</v>
      </c>
    </row>
    <row r="131" spans="2:14" ht="15" customHeight="1" x14ac:dyDescent="0.2">
      <c r="B131" s="82" t="s">
        <v>1139</v>
      </c>
      <c r="C131" s="81">
        <v>34698</v>
      </c>
      <c r="D131" s="82" t="s">
        <v>515</v>
      </c>
      <c r="E131" s="465" t="s">
        <v>516</v>
      </c>
      <c r="F131" s="495" t="s">
        <v>309</v>
      </c>
      <c r="G131" s="465" t="s">
        <v>310</v>
      </c>
      <c r="H131" s="465" t="s">
        <v>311</v>
      </c>
      <c r="I131" s="83" t="s">
        <v>1137</v>
      </c>
      <c r="J131" s="85" t="s">
        <v>416</v>
      </c>
      <c r="K131" s="86" t="s">
        <v>300</v>
      </c>
      <c r="L131" s="85" t="s">
        <v>302</v>
      </c>
      <c r="M131" s="87">
        <v>8083</v>
      </c>
      <c r="N131" s="88">
        <v>8083</v>
      </c>
    </row>
    <row r="132" spans="2:14" ht="15" customHeight="1" x14ac:dyDescent="0.2">
      <c r="B132" s="82" t="s">
        <v>1140</v>
      </c>
      <c r="C132" s="81">
        <v>34698</v>
      </c>
      <c r="D132" s="82" t="s">
        <v>517</v>
      </c>
      <c r="E132" s="465" t="s">
        <v>516</v>
      </c>
      <c r="F132" s="495" t="s">
        <v>1119</v>
      </c>
      <c r="G132" s="465" t="s">
        <v>310</v>
      </c>
      <c r="H132" s="465" t="s">
        <v>311</v>
      </c>
      <c r="I132" s="83">
        <v>7.0000000000000007E-2</v>
      </c>
      <c r="J132" s="85" t="s">
        <v>416</v>
      </c>
      <c r="K132" s="86" t="s">
        <v>300</v>
      </c>
      <c r="L132" s="85" t="s">
        <v>302</v>
      </c>
      <c r="M132" s="87">
        <v>948</v>
      </c>
      <c r="N132" s="88">
        <v>948</v>
      </c>
    </row>
    <row r="133" spans="2:14" ht="15" customHeight="1" x14ac:dyDescent="0.2">
      <c r="B133" s="82" t="s">
        <v>925</v>
      </c>
      <c r="C133" s="81">
        <v>34698</v>
      </c>
      <c r="D133" s="82" t="s">
        <v>517</v>
      </c>
      <c r="E133" s="465" t="s">
        <v>516</v>
      </c>
      <c r="F133" s="495" t="s">
        <v>309</v>
      </c>
      <c r="G133" s="465" t="s">
        <v>310</v>
      </c>
      <c r="H133" s="465" t="s">
        <v>311</v>
      </c>
      <c r="I133" s="83">
        <v>7.0000000000000007E-2</v>
      </c>
      <c r="J133" s="85" t="s">
        <v>416</v>
      </c>
      <c r="K133" s="86" t="s">
        <v>300</v>
      </c>
      <c r="L133" s="85" t="s">
        <v>302</v>
      </c>
      <c r="M133" s="87">
        <v>7257</v>
      </c>
      <c r="N133" s="88">
        <v>7257</v>
      </c>
    </row>
    <row r="134" spans="2:14" x14ac:dyDescent="0.2">
      <c r="B134" s="82"/>
      <c r="C134" s="81"/>
      <c r="D134" s="82"/>
      <c r="E134" s="465"/>
      <c r="F134" s="495"/>
      <c r="G134" s="465"/>
      <c r="H134" s="465"/>
      <c r="I134" s="83"/>
      <c r="J134" s="85"/>
      <c r="K134" s="86"/>
      <c r="L134" s="85"/>
      <c r="M134" s="87"/>
      <c r="N134" s="88"/>
    </row>
    <row r="135" spans="2:14" s="14" customFormat="1" x14ac:dyDescent="0.2">
      <c r="B135" s="102" t="s">
        <v>340</v>
      </c>
      <c r="C135" s="9"/>
      <c r="D135" s="3"/>
      <c r="E135" s="3"/>
      <c r="F135" s="494"/>
      <c r="G135" s="3"/>
      <c r="H135" s="3"/>
      <c r="I135" s="10"/>
      <c r="J135" s="11"/>
      <c r="K135" s="12"/>
      <c r="L135" s="11"/>
      <c r="M135" s="13"/>
      <c r="N135" s="89">
        <f>SUM(N136:N139)</f>
        <v>266500</v>
      </c>
    </row>
    <row r="136" spans="2:14" ht="15" customHeight="1" x14ac:dyDescent="0.2">
      <c r="B136" s="82" t="s">
        <v>498</v>
      </c>
      <c r="C136" s="81">
        <f>DATE(94,6,22)</f>
        <v>34507</v>
      </c>
      <c r="D136" s="82" t="s">
        <v>351</v>
      </c>
      <c r="E136" s="465" t="s">
        <v>828</v>
      </c>
      <c r="F136" s="495" t="s">
        <v>358</v>
      </c>
      <c r="G136" s="465" t="s">
        <v>340</v>
      </c>
      <c r="H136" s="465" t="s">
        <v>359</v>
      </c>
      <c r="I136" s="83" t="s">
        <v>492</v>
      </c>
      <c r="J136" s="85" t="s">
        <v>497</v>
      </c>
      <c r="K136" s="86" t="s">
        <v>395</v>
      </c>
      <c r="L136" s="85" t="s">
        <v>302</v>
      </c>
      <c r="M136" s="87">
        <v>90000</v>
      </c>
      <c r="N136" s="88">
        <v>90000</v>
      </c>
    </row>
    <row r="137" spans="2:14" ht="15" customHeight="1" x14ac:dyDescent="0.2">
      <c r="B137" s="82" t="s">
        <v>500</v>
      </c>
      <c r="C137" s="81">
        <f>DATE(94,6,22)</f>
        <v>34507</v>
      </c>
      <c r="D137" s="82" t="s">
        <v>351</v>
      </c>
      <c r="E137" s="465" t="s">
        <v>828</v>
      </c>
      <c r="F137" s="495" t="s">
        <v>499</v>
      </c>
      <c r="G137" s="465" t="s">
        <v>340</v>
      </c>
      <c r="H137" s="465" t="s">
        <v>359</v>
      </c>
      <c r="I137" s="83" t="s">
        <v>492</v>
      </c>
      <c r="J137" s="85" t="s">
        <v>375</v>
      </c>
      <c r="K137" s="86" t="s">
        <v>370</v>
      </c>
      <c r="L137" s="85" t="s">
        <v>302</v>
      </c>
      <c r="M137" s="87">
        <v>25000</v>
      </c>
      <c r="N137" s="88">
        <v>25000</v>
      </c>
    </row>
    <row r="138" spans="2:14" ht="15" customHeight="1" x14ac:dyDescent="0.2">
      <c r="B138" s="82" t="s">
        <v>918</v>
      </c>
      <c r="C138" s="81">
        <f>DATE(94,11,22)</f>
        <v>34660</v>
      </c>
      <c r="D138" s="82" t="s">
        <v>504</v>
      </c>
      <c r="E138" s="465" t="s">
        <v>828</v>
      </c>
      <c r="F138" s="495" t="s">
        <v>505</v>
      </c>
      <c r="G138" s="465" t="s">
        <v>340</v>
      </c>
      <c r="H138" s="465" t="s">
        <v>298</v>
      </c>
      <c r="I138" s="83" t="s">
        <v>411</v>
      </c>
      <c r="J138" s="85" t="s">
        <v>300</v>
      </c>
      <c r="K138" s="86" t="s">
        <v>343</v>
      </c>
      <c r="L138" s="85" t="s">
        <v>302</v>
      </c>
      <c r="M138" s="87">
        <v>150000</v>
      </c>
      <c r="N138" s="88">
        <v>150000</v>
      </c>
    </row>
    <row r="139" spans="2:14" ht="15" customHeight="1" x14ac:dyDescent="0.2">
      <c r="B139" s="82" t="s">
        <v>917</v>
      </c>
      <c r="C139" s="81">
        <f>DATE(94,11,22)</f>
        <v>34660</v>
      </c>
      <c r="D139" s="82" t="s">
        <v>510</v>
      </c>
      <c r="E139" s="465" t="s">
        <v>828</v>
      </c>
      <c r="F139" s="495" t="s">
        <v>511</v>
      </c>
      <c r="G139" s="465" t="s">
        <v>340</v>
      </c>
      <c r="H139" s="465" t="s">
        <v>977</v>
      </c>
      <c r="I139" s="83" t="s">
        <v>341</v>
      </c>
      <c r="J139" s="85" t="s">
        <v>512</v>
      </c>
      <c r="K139" s="86" t="s">
        <v>513</v>
      </c>
      <c r="L139" s="85" t="s">
        <v>302</v>
      </c>
      <c r="M139" s="87">
        <v>1500</v>
      </c>
      <c r="N139" s="88">
        <v>1500</v>
      </c>
    </row>
    <row r="140" spans="2:14" x14ac:dyDescent="0.2">
      <c r="B140" s="82"/>
      <c r="C140" s="81"/>
      <c r="D140" s="82"/>
      <c r="E140" s="465"/>
      <c r="F140" s="495"/>
      <c r="G140" s="465"/>
      <c r="H140" s="465"/>
      <c r="I140" s="83"/>
      <c r="J140" s="85"/>
      <c r="K140" s="86"/>
      <c r="L140" s="85"/>
      <c r="M140" s="87"/>
      <c r="N140" s="88"/>
    </row>
    <row r="141" spans="2:14" s="14" customFormat="1" x14ac:dyDescent="0.2">
      <c r="B141" s="102" t="s">
        <v>353</v>
      </c>
      <c r="C141" s="9"/>
      <c r="D141" s="3"/>
      <c r="E141" s="3"/>
      <c r="F141" s="494"/>
      <c r="G141" s="3"/>
      <c r="H141" s="3"/>
      <c r="I141" s="10"/>
      <c r="J141" s="11"/>
      <c r="K141" s="12"/>
      <c r="L141" s="11"/>
      <c r="M141" s="13"/>
      <c r="N141" s="89">
        <f>SUM(N142:N144)</f>
        <v>77500</v>
      </c>
    </row>
    <row r="142" spans="2:14" s="14" customFormat="1" ht="15" customHeight="1" x14ac:dyDescent="0.2">
      <c r="B142" s="82" t="s">
        <v>490</v>
      </c>
      <c r="C142" s="81">
        <f>DATE(94,4,9)</f>
        <v>34433</v>
      </c>
      <c r="D142" s="82" t="s">
        <v>487</v>
      </c>
      <c r="E142" s="465" t="s">
        <v>828</v>
      </c>
      <c r="F142" s="495" t="s">
        <v>488</v>
      </c>
      <c r="G142" s="465" t="s">
        <v>353</v>
      </c>
      <c r="H142" s="465" t="s">
        <v>489</v>
      </c>
      <c r="I142" s="83" t="s">
        <v>341</v>
      </c>
      <c r="J142" s="85" t="s">
        <v>300</v>
      </c>
      <c r="K142" s="86" t="s">
        <v>481</v>
      </c>
      <c r="L142" s="85" t="s">
        <v>302</v>
      </c>
      <c r="M142" s="87">
        <v>45000</v>
      </c>
      <c r="N142" s="88">
        <v>45000</v>
      </c>
    </row>
    <row r="143" spans="2:14" ht="15" customHeight="1" x14ac:dyDescent="0.2">
      <c r="B143" s="82" t="s">
        <v>927</v>
      </c>
      <c r="C143" s="81">
        <f>DATE(95,2,21)</f>
        <v>34751</v>
      </c>
      <c r="D143" s="82" t="s">
        <v>459</v>
      </c>
      <c r="E143" s="465" t="s">
        <v>294</v>
      </c>
      <c r="F143" s="495" t="s">
        <v>976</v>
      </c>
      <c r="G143" s="465" t="s">
        <v>353</v>
      </c>
      <c r="H143" s="465" t="s">
        <v>489</v>
      </c>
      <c r="I143" s="83" t="s">
        <v>459</v>
      </c>
      <c r="J143" s="85" t="s">
        <v>528</v>
      </c>
      <c r="K143" s="86" t="s">
        <v>529</v>
      </c>
      <c r="L143" s="85" t="s">
        <v>302</v>
      </c>
      <c r="M143" s="87">
        <v>22500</v>
      </c>
      <c r="N143" s="88">
        <v>22500</v>
      </c>
    </row>
    <row r="144" spans="2:14" ht="15" customHeight="1" x14ac:dyDescent="0.2">
      <c r="B144" s="82" t="s">
        <v>926</v>
      </c>
      <c r="C144" s="81">
        <f>DATE(94,12,31)</f>
        <v>34699</v>
      </c>
      <c r="D144" s="82" t="s">
        <v>351</v>
      </c>
      <c r="E144" s="465" t="s">
        <v>828</v>
      </c>
      <c r="F144" s="495" t="s">
        <v>524</v>
      </c>
      <c r="G144" s="465" t="s">
        <v>353</v>
      </c>
      <c r="H144" s="465" t="s">
        <v>525</v>
      </c>
      <c r="I144" s="83" t="s">
        <v>526</v>
      </c>
      <c r="J144" s="85" t="s">
        <v>527</v>
      </c>
      <c r="K144" s="86" t="s">
        <v>363</v>
      </c>
      <c r="L144" s="85" t="s">
        <v>302</v>
      </c>
      <c r="M144" s="87">
        <v>10000</v>
      </c>
      <c r="N144" s="88">
        <v>10000</v>
      </c>
    </row>
    <row r="145" spans="2:14" x14ac:dyDescent="0.2">
      <c r="B145" s="82"/>
      <c r="C145" s="81"/>
      <c r="D145" s="82"/>
      <c r="E145" s="465"/>
      <c r="F145" s="495"/>
      <c r="G145" s="465"/>
      <c r="H145" s="465"/>
      <c r="I145" s="83"/>
      <c r="J145" s="85"/>
      <c r="K145" s="86"/>
      <c r="L145" s="85"/>
      <c r="M145" s="87"/>
      <c r="N145" s="88"/>
    </row>
    <row r="146" spans="2:14" s="14" customFormat="1" x14ac:dyDescent="0.2">
      <c r="B146" s="102" t="s">
        <v>688</v>
      </c>
      <c r="C146" s="9"/>
      <c r="D146" s="3"/>
      <c r="E146" s="3"/>
      <c r="F146" s="494"/>
      <c r="G146" s="3"/>
      <c r="H146" s="3"/>
      <c r="I146" s="10"/>
      <c r="J146" s="11"/>
      <c r="K146" s="12"/>
      <c r="L146" s="11"/>
      <c r="M146" s="13"/>
      <c r="N146" s="89">
        <f>SUM(N147:N148)</f>
        <v>84697</v>
      </c>
    </row>
    <row r="147" spans="2:14" s="14" customFormat="1" ht="15" customHeight="1" x14ac:dyDescent="0.2">
      <c r="B147" s="20" t="s">
        <v>914</v>
      </c>
      <c r="C147" s="81">
        <f>DATE(94,7,9)</f>
        <v>34524</v>
      </c>
      <c r="D147" s="82" t="s">
        <v>494</v>
      </c>
      <c r="E147" s="465" t="s">
        <v>895</v>
      </c>
      <c r="F147" s="498" t="s">
        <v>495</v>
      </c>
      <c r="G147" s="537" t="s">
        <v>688</v>
      </c>
      <c r="H147" s="465" t="s">
        <v>496</v>
      </c>
      <c r="I147" s="83">
        <v>5.9499999999999997E-2</v>
      </c>
      <c r="J147" s="85" t="s">
        <v>457</v>
      </c>
      <c r="K147" s="86" t="s">
        <v>342</v>
      </c>
      <c r="L147" s="85" t="s">
        <v>302</v>
      </c>
      <c r="M147" s="87">
        <v>8697</v>
      </c>
      <c r="N147" s="88">
        <v>8697</v>
      </c>
    </row>
    <row r="148" spans="2:14" ht="15" customHeight="1" x14ac:dyDescent="0.2">
      <c r="B148" s="82" t="s">
        <v>958</v>
      </c>
      <c r="C148" s="81">
        <v>34656</v>
      </c>
      <c r="D148" s="82" t="s">
        <v>391</v>
      </c>
      <c r="E148" s="465" t="s">
        <v>828</v>
      </c>
      <c r="F148" s="495" t="s">
        <v>839</v>
      </c>
      <c r="G148" s="465" t="s">
        <v>688</v>
      </c>
      <c r="H148" s="465" t="s">
        <v>518</v>
      </c>
      <c r="I148" s="83" t="s">
        <v>492</v>
      </c>
      <c r="J148" s="85" t="s">
        <v>715</v>
      </c>
      <c r="K148" s="86" t="s">
        <v>752</v>
      </c>
      <c r="L148" s="85" t="s">
        <v>302</v>
      </c>
      <c r="M148" s="87">
        <v>76000</v>
      </c>
      <c r="N148" s="88">
        <v>76000</v>
      </c>
    </row>
    <row r="149" spans="2:14" x14ac:dyDescent="0.2">
      <c r="B149" s="20"/>
      <c r="C149" s="81"/>
      <c r="D149" s="82"/>
      <c r="E149" s="465"/>
      <c r="F149" s="498"/>
      <c r="G149" s="537"/>
      <c r="H149" s="465"/>
      <c r="I149" s="83"/>
      <c r="J149" s="85"/>
      <c r="K149" s="86"/>
      <c r="L149" s="85"/>
      <c r="M149" s="87"/>
      <c r="N149" s="88"/>
    </row>
    <row r="150" spans="2:14" s="14" customFormat="1" x14ac:dyDescent="0.2">
      <c r="B150" s="102" t="s">
        <v>438</v>
      </c>
      <c r="C150" s="9"/>
      <c r="D150" s="3"/>
      <c r="E150" s="3"/>
      <c r="F150" s="494"/>
      <c r="G150" s="3"/>
      <c r="H150" s="3"/>
      <c r="I150" s="10"/>
      <c r="J150" s="11"/>
      <c r="K150" s="12"/>
      <c r="L150" s="11"/>
      <c r="M150" s="13"/>
      <c r="N150" s="89">
        <f>SUM(N151:N152)</f>
        <v>55380</v>
      </c>
    </row>
    <row r="151" spans="2:14" ht="15" customHeight="1" x14ac:dyDescent="0.2">
      <c r="B151" s="82" t="s">
        <v>486</v>
      </c>
      <c r="C151" s="81">
        <f>DATE(94,3,29)</f>
        <v>34422</v>
      </c>
      <c r="D151" s="82" t="s">
        <v>361</v>
      </c>
      <c r="E151" s="465" t="s">
        <v>294</v>
      </c>
      <c r="F151" s="495" t="s">
        <v>437</v>
      </c>
      <c r="G151" s="465" t="s">
        <v>438</v>
      </c>
      <c r="H151" s="465" t="s">
        <v>439</v>
      </c>
      <c r="I151" s="83">
        <v>0.03</v>
      </c>
      <c r="J151" s="85" t="s">
        <v>323</v>
      </c>
      <c r="K151" s="86" t="s">
        <v>425</v>
      </c>
      <c r="L151" s="85" t="s">
        <v>366</v>
      </c>
      <c r="M151" s="87">
        <v>2240000</v>
      </c>
      <c r="N151" s="88">
        <v>21380</v>
      </c>
    </row>
    <row r="152" spans="2:14" ht="15" customHeight="1" x14ac:dyDescent="0.2">
      <c r="B152" s="82" t="s">
        <v>482</v>
      </c>
      <c r="C152" s="81">
        <f>DATE(94,3,11)</f>
        <v>34404</v>
      </c>
      <c r="D152" s="82" t="s">
        <v>479</v>
      </c>
      <c r="E152" s="465" t="s">
        <v>828</v>
      </c>
      <c r="F152" s="495" t="s">
        <v>480</v>
      </c>
      <c r="G152" s="465" t="s">
        <v>438</v>
      </c>
      <c r="H152" s="465" t="s">
        <v>439</v>
      </c>
      <c r="I152" s="83" t="s">
        <v>411</v>
      </c>
      <c r="J152" s="85" t="s">
        <v>332</v>
      </c>
      <c r="K152" s="86" t="s">
        <v>481</v>
      </c>
      <c r="L152" s="85" t="s">
        <v>302</v>
      </c>
      <c r="M152" s="87">
        <v>34000</v>
      </c>
      <c r="N152" s="88">
        <v>34000</v>
      </c>
    </row>
    <row r="153" spans="2:14" x14ac:dyDescent="0.2">
      <c r="B153" s="82"/>
      <c r="C153" s="81"/>
      <c r="D153" s="82"/>
      <c r="E153" s="465"/>
      <c r="F153" s="495"/>
      <c r="G153" s="465"/>
      <c r="H153" s="465"/>
      <c r="I153" s="83"/>
      <c r="J153" s="85"/>
      <c r="K153" s="86"/>
      <c r="L153" s="85"/>
      <c r="M153" s="87"/>
      <c r="N153" s="88"/>
    </row>
    <row r="154" spans="2:14" s="14" customFormat="1" x14ac:dyDescent="0.2">
      <c r="B154" s="102" t="s">
        <v>991</v>
      </c>
      <c r="C154" s="9"/>
      <c r="D154" s="3"/>
      <c r="E154" s="3"/>
      <c r="F154" s="494"/>
      <c r="G154" s="3"/>
      <c r="H154" s="3"/>
      <c r="I154" s="10"/>
      <c r="J154" s="11"/>
      <c r="K154" s="12"/>
      <c r="L154" s="11"/>
      <c r="M154" s="13"/>
      <c r="N154" s="89">
        <f>SUM(N155:N157)</f>
        <v>311730</v>
      </c>
    </row>
    <row r="155" spans="2:14" ht="15" customHeight="1" x14ac:dyDescent="0.2">
      <c r="B155" s="82" t="s">
        <v>919</v>
      </c>
      <c r="C155" s="81">
        <f>DATE(94,12,7)</f>
        <v>34675</v>
      </c>
      <c r="D155" s="82" t="s">
        <v>628</v>
      </c>
      <c r="E155" s="465" t="s">
        <v>294</v>
      </c>
      <c r="F155" s="495" t="s">
        <v>1765</v>
      </c>
      <c r="G155" s="465" t="s">
        <v>381</v>
      </c>
      <c r="H155" s="465" t="s">
        <v>509</v>
      </c>
      <c r="I155" s="83">
        <v>0.03</v>
      </c>
      <c r="J155" s="85" t="s">
        <v>323</v>
      </c>
      <c r="K155" s="86" t="s">
        <v>425</v>
      </c>
      <c r="L155" s="85" t="s">
        <v>470</v>
      </c>
      <c r="M155" s="87">
        <v>34147</v>
      </c>
      <c r="N155" s="88">
        <v>21730</v>
      </c>
    </row>
    <row r="156" spans="2:14" ht="15" customHeight="1" x14ac:dyDescent="0.2">
      <c r="B156" s="82" t="s">
        <v>921</v>
      </c>
      <c r="C156" s="81">
        <f>DATE(94,12,9)</f>
        <v>34677</v>
      </c>
      <c r="D156" s="82" t="s">
        <v>507</v>
      </c>
      <c r="E156" s="465" t="s">
        <v>828</v>
      </c>
      <c r="F156" s="495" t="s">
        <v>508</v>
      </c>
      <c r="G156" s="465" t="s">
        <v>381</v>
      </c>
      <c r="H156" s="465" t="s">
        <v>969</v>
      </c>
      <c r="I156" s="83" t="s">
        <v>341</v>
      </c>
      <c r="J156" s="85" t="s">
        <v>370</v>
      </c>
      <c r="K156" s="86" t="s">
        <v>425</v>
      </c>
      <c r="L156" s="85" t="s">
        <v>302</v>
      </c>
      <c r="M156" s="87">
        <v>140000</v>
      </c>
      <c r="N156" s="88">
        <v>140000</v>
      </c>
    </row>
    <row r="157" spans="2:14" ht="15" customHeight="1" x14ac:dyDescent="0.2">
      <c r="B157" s="82" t="s">
        <v>922</v>
      </c>
      <c r="C157" s="81">
        <f>DATE(94,12,28)</f>
        <v>34696</v>
      </c>
      <c r="D157" s="82" t="s">
        <v>522</v>
      </c>
      <c r="E157" s="465" t="s">
        <v>828</v>
      </c>
      <c r="F157" s="495" t="s">
        <v>523</v>
      </c>
      <c r="G157" s="465" t="s">
        <v>381</v>
      </c>
      <c r="H157" s="465" t="s">
        <v>382</v>
      </c>
      <c r="I157" s="83" t="s">
        <v>411</v>
      </c>
      <c r="J157" s="85" t="s">
        <v>300</v>
      </c>
      <c r="K157" s="86" t="s">
        <v>481</v>
      </c>
      <c r="L157" s="85" t="s">
        <v>302</v>
      </c>
      <c r="M157" s="87">
        <v>150000</v>
      </c>
      <c r="N157" s="88">
        <v>150000</v>
      </c>
    </row>
    <row r="158" spans="2:14" x14ac:dyDescent="0.2">
      <c r="B158" s="82"/>
      <c r="C158" s="81"/>
      <c r="D158" s="82"/>
      <c r="E158" s="465"/>
      <c r="F158" s="495"/>
      <c r="G158" s="465"/>
      <c r="H158" s="465"/>
      <c r="I158" s="83"/>
      <c r="J158" s="85"/>
      <c r="K158" s="86"/>
      <c r="L158" s="85"/>
      <c r="M158" s="87"/>
      <c r="N158" s="88"/>
    </row>
    <row r="159" spans="2:14" s="14" customFormat="1" x14ac:dyDescent="0.2">
      <c r="B159" s="102" t="s">
        <v>305</v>
      </c>
      <c r="C159" s="9"/>
      <c r="D159" s="3"/>
      <c r="E159" s="3"/>
      <c r="F159" s="494"/>
      <c r="G159" s="3"/>
      <c r="H159" s="3"/>
      <c r="I159" s="10"/>
      <c r="J159" s="11"/>
      <c r="K159" s="12"/>
      <c r="L159" s="11"/>
      <c r="M159" s="13"/>
      <c r="N159" s="89">
        <f>SUM(N160:N164)</f>
        <v>458000</v>
      </c>
    </row>
    <row r="160" spans="2:14" ht="15" customHeight="1" x14ac:dyDescent="0.2">
      <c r="B160" s="82" t="s">
        <v>485</v>
      </c>
      <c r="C160" s="81">
        <f>DATE(94,5,24)</f>
        <v>34478</v>
      </c>
      <c r="D160" s="82" t="s">
        <v>483</v>
      </c>
      <c r="E160" s="465" t="s">
        <v>828</v>
      </c>
      <c r="F160" s="495" t="s">
        <v>484</v>
      </c>
      <c r="G160" s="465" t="s">
        <v>305</v>
      </c>
      <c r="H160" s="465" t="s">
        <v>374</v>
      </c>
      <c r="I160" s="83" t="s">
        <v>411</v>
      </c>
      <c r="J160" s="85" t="s">
        <v>332</v>
      </c>
      <c r="K160" s="86" t="s">
        <v>481</v>
      </c>
      <c r="L160" s="85" t="s">
        <v>302</v>
      </c>
      <c r="M160" s="87">
        <v>150000</v>
      </c>
      <c r="N160" s="88">
        <v>150000</v>
      </c>
    </row>
    <row r="161" spans="2:14" ht="15" customHeight="1" x14ac:dyDescent="0.2">
      <c r="B161" s="82" t="s">
        <v>493</v>
      </c>
      <c r="C161" s="81">
        <f>DATE(94,5,24)</f>
        <v>34478</v>
      </c>
      <c r="D161" s="82" t="s">
        <v>351</v>
      </c>
      <c r="E161" s="465" t="s">
        <v>828</v>
      </c>
      <c r="F161" s="495" t="s">
        <v>491</v>
      </c>
      <c r="G161" s="465" t="s">
        <v>305</v>
      </c>
      <c r="H161" s="465" t="s">
        <v>374</v>
      </c>
      <c r="I161" s="83" t="s">
        <v>492</v>
      </c>
      <c r="J161" s="85" t="s">
        <v>394</v>
      </c>
      <c r="K161" s="86" t="s">
        <v>375</v>
      </c>
      <c r="L161" s="85" t="s">
        <v>302</v>
      </c>
      <c r="M161" s="87">
        <v>1000</v>
      </c>
      <c r="N161" s="88">
        <v>1000</v>
      </c>
    </row>
    <row r="162" spans="2:14" ht="15" customHeight="1" x14ac:dyDescent="0.2">
      <c r="B162" s="82" t="s">
        <v>916</v>
      </c>
      <c r="C162" s="81">
        <f>DATE(94,9,21)</f>
        <v>34598</v>
      </c>
      <c r="D162" s="82" t="s">
        <v>351</v>
      </c>
      <c r="E162" s="465" t="s">
        <v>828</v>
      </c>
      <c r="F162" s="495" t="s">
        <v>501</v>
      </c>
      <c r="G162" s="465" t="s">
        <v>305</v>
      </c>
      <c r="H162" s="465" t="s">
        <v>374</v>
      </c>
      <c r="I162" s="83" t="s">
        <v>492</v>
      </c>
      <c r="J162" s="85" t="s">
        <v>497</v>
      </c>
      <c r="K162" s="86" t="s">
        <v>502</v>
      </c>
      <c r="L162" s="85" t="s">
        <v>302</v>
      </c>
      <c r="M162" s="87">
        <v>50000</v>
      </c>
      <c r="N162" s="88">
        <v>50000</v>
      </c>
    </row>
    <row r="163" spans="2:14" ht="15" customHeight="1" x14ac:dyDescent="0.2">
      <c r="B163" s="82" t="s">
        <v>920</v>
      </c>
      <c r="C163" s="81">
        <f>DATE(94,12,9)</f>
        <v>34677</v>
      </c>
      <c r="D163" s="82" t="s">
        <v>506</v>
      </c>
      <c r="E163" s="465" t="s">
        <v>828</v>
      </c>
      <c r="F163" s="495" t="s">
        <v>957</v>
      </c>
      <c r="G163" s="465" t="s">
        <v>305</v>
      </c>
      <c r="H163" s="465" t="s">
        <v>374</v>
      </c>
      <c r="I163" s="83" t="s">
        <v>341</v>
      </c>
      <c r="J163" s="85" t="s">
        <v>370</v>
      </c>
      <c r="K163" s="86" t="s">
        <v>481</v>
      </c>
      <c r="L163" s="85" t="s">
        <v>302</v>
      </c>
      <c r="M163" s="87">
        <v>252000</v>
      </c>
      <c r="N163" s="88">
        <v>252000</v>
      </c>
    </row>
    <row r="164" spans="2:14" ht="15" customHeight="1" thickBot="1" x14ac:dyDescent="0.25">
      <c r="B164" s="95" t="s">
        <v>923</v>
      </c>
      <c r="C164" s="94">
        <f>DATE(94,12,28)</f>
        <v>34696</v>
      </c>
      <c r="D164" s="95" t="s">
        <v>519</v>
      </c>
      <c r="E164" s="466" t="s">
        <v>828</v>
      </c>
      <c r="F164" s="496" t="s">
        <v>520</v>
      </c>
      <c r="G164" s="466" t="s">
        <v>305</v>
      </c>
      <c r="H164" s="466" t="s">
        <v>374</v>
      </c>
      <c r="I164" s="96">
        <v>3.7499999999999999E-2</v>
      </c>
      <c r="J164" s="98" t="s">
        <v>332</v>
      </c>
      <c r="K164" s="99" t="s">
        <v>521</v>
      </c>
      <c r="L164" s="98" t="s">
        <v>302</v>
      </c>
      <c r="M164" s="100">
        <v>5000</v>
      </c>
      <c r="N164" s="101">
        <v>5000</v>
      </c>
    </row>
    <row r="165" spans="2:14" ht="13.5" thickTop="1" x14ac:dyDescent="0.2">
      <c r="B165" s="336"/>
      <c r="C165" s="335"/>
      <c r="D165" s="336"/>
      <c r="E165" s="467"/>
      <c r="F165" s="491"/>
      <c r="G165" s="467"/>
      <c r="H165" s="467"/>
      <c r="I165" s="337"/>
      <c r="J165" s="331"/>
      <c r="K165" s="338"/>
      <c r="L165" s="339"/>
      <c r="M165" s="332"/>
      <c r="N165" s="334"/>
    </row>
    <row r="166" spans="2:14" s="256" customFormat="1" ht="18" x14ac:dyDescent="0.25">
      <c r="B166" s="257">
        <v>1995</v>
      </c>
      <c r="C166" s="258"/>
      <c r="D166" s="257"/>
      <c r="E166" s="468"/>
      <c r="F166" s="493"/>
      <c r="G166" s="468"/>
      <c r="H166" s="468"/>
      <c r="I166" s="252"/>
      <c r="J166" s="253"/>
      <c r="K166" s="254"/>
      <c r="L166" s="253"/>
      <c r="M166" s="255"/>
      <c r="N166" s="250">
        <f>+N167+N170+N173+N178+N181+N184+N187+N190</f>
        <v>678359.86400000006</v>
      </c>
    </row>
    <row r="167" spans="2:14" s="14" customFormat="1" x14ac:dyDescent="0.2">
      <c r="B167" s="102" t="s">
        <v>296</v>
      </c>
      <c r="C167" s="9"/>
      <c r="D167" s="3"/>
      <c r="E167" s="3"/>
      <c r="F167" s="494"/>
      <c r="G167" s="3"/>
      <c r="H167" s="3"/>
      <c r="I167" s="10"/>
      <c r="J167" s="11"/>
      <c r="K167" s="12"/>
      <c r="L167" s="11"/>
      <c r="M167" s="13"/>
      <c r="N167" s="89">
        <f>SUM(N168)</f>
        <v>3400</v>
      </c>
    </row>
    <row r="168" spans="2:14" ht="15" customHeight="1" x14ac:dyDescent="0.2">
      <c r="B168" s="82" t="s">
        <v>544</v>
      </c>
      <c r="C168" s="81">
        <f>DATE(95,9,9)</f>
        <v>34951</v>
      </c>
      <c r="D168" s="82" t="s">
        <v>628</v>
      </c>
      <c r="E168" s="465" t="s">
        <v>294</v>
      </c>
      <c r="F168" s="495" t="s">
        <v>542</v>
      </c>
      <c r="G168" s="465" t="s">
        <v>296</v>
      </c>
      <c r="H168" s="465" t="s">
        <v>543</v>
      </c>
      <c r="I168" s="83">
        <v>7.4999999999999997E-3</v>
      </c>
      <c r="J168" s="85" t="s">
        <v>307</v>
      </c>
      <c r="K168" s="86" t="s">
        <v>468</v>
      </c>
      <c r="L168" s="85" t="s">
        <v>470</v>
      </c>
      <c r="M168" s="87">
        <v>5000</v>
      </c>
      <c r="N168" s="88">
        <v>3400</v>
      </c>
    </row>
    <row r="169" spans="2:14" x14ac:dyDescent="0.2">
      <c r="B169" s="82"/>
      <c r="C169" s="81"/>
      <c r="D169" s="82"/>
      <c r="E169" s="465"/>
      <c r="F169" s="495"/>
      <c r="G169" s="465"/>
      <c r="H169" s="465"/>
      <c r="I169" s="83"/>
      <c r="J169" s="85"/>
      <c r="K169" s="86"/>
      <c r="L169" s="85"/>
      <c r="M169" s="87"/>
      <c r="N169" s="88"/>
    </row>
    <row r="170" spans="2:14" s="14" customFormat="1" x14ac:dyDescent="0.2">
      <c r="B170" s="102" t="s">
        <v>310</v>
      </c>
      <c r="C170" s="9"/>
      <c r="D170" s="3"/>
      <c r="E170" s="3"/>
      <c r="F170" s="494"/>
      <c r="G170" s="3"/>
      <c r="H170" s="3"/>
      <c r="I170" s="10"/>
      <c r="J170" s="11"/>
      <c r="K170" s="12"/>
      <c r="L170" s="11"/>
      <c r="M170" s="13"/>
      <c r="N170" s="89">
        <f>SUM(N171)</f>
        <v>11839.864</v>
      </c>
    </row>
    <row r="171" spans="2:14" ht="15" customHeight="1" x14ac:dyDescent="0.2">
      <c r="B171" s="82" t="s">
        <v>573</v>
      </c>
      <c r="C171" s="81">
        <f>DATE(95,12,29)</f>
        <v>35062</v>
      </c>
      <c r="D171" s="82" t="s">
        <v>572</v>
      </c>
      <c r="E171" s="465" t="s">
        <v>294</v>
      </c>
      <c r="F171" s="495" t="s">
        <v>309</v>
      </c>
      <c r="G171" s="465" t="s">
        <v>310</v>
      </c>
      <c r="H171" s="465" t="s">
        <v>311</v>
      </c>
      <c r="I171" s="83">
        <v>3.4000000000000002E-2</v>
      </c>
      <c r="J171" s="85" t="s">
        <v>528</v>
      </c>
      <c r="K171" s="86" t="s">
        <v>323</v>
      </c>
      <c r="L171" s="85" t="s">
        <v>302</v>
      </c>
      <c r="M171" s="87">
        <v>11839.864</v>
      </c>
      <c r="N171" s="88">
        <v>11839.864</v>
      </c>
    </row>
    <row r="172" spans="2:14" x14ac:dyDescent="0.2">
      <c r="B172" s="82"/>
      <c r="C172" s="81"/>
      <c r="D172" s="82"/>
      <c r="E172" s="465"/>
      <c r="F172" s="495"/>
      <c r="G172" s="465"/>
      <c r="H172" s="465"/>
      <c r="I172" s="83"/>
      <c r="J172" s="85"/>
      <c r="K172" s="86"/>
      <c r="L172" s="85"/>
      <c r="M172" s="87"/>
      <c r="N172" s="88"/>
    </row>
    <row r="173" spans="2:14" s="14" customFormat="1" x14ac:dyDescent="0.2">
      <c r="B173" s="102" t="s">
        <v>340</v>
      </c>
      <c r="C173" s="9"/>
      <c r="D173" s="3"/>
      <c r="E173" s="3"/>
      <c r="F173" s="494"/>
      <c r="G173" s="3"/>
      <c r="H173" s="3"/>
      <c r="I173" s="10"/>
      <c r="J173" s="11"/>
      <c r="K173" s="12"/>
      <c r="L173" s="11"/>
      <c r="M173" s="13"/>
      <c r="N173" s="89">
        <f>SUM(N174:N176)</f>
        <v>129000</v>
      </c>
    </row>
    <row r="174" spans="2:14" ht="15" customHeight="1" x14ac:dyDescent="0.2">
      <c r="B174" s="82" t="s">
        <v>531</v>
      </c>
      <c r="C174" s="81">
        <f>DATE(95,1,13)</f>
        <v>34712</v>
      </c>
      <c r="D174" s="82" t="s">
        <v>530</v>
      </c>
      <c r="E174" s="465" t="s">
        <v>828</v>
      </c>
      <c r="F174" s="495" t="s">
        <v>358</v>
      </c>
      <c r="G174" s="465" t="s">
        <v>340</v>
      </c>
      <c r="H174" s="465" t="s">
        <v>359</v>
      </c>
      <c r="I174" s="83" t="s">
        <v>341</v>
      </c>
      <c r="J174" s="85" t="s">
        <v>332</v>
      </c>
      <c r="K174" s="86" t="s">
        <v>300</v>
      </c>
      <c r="L174" s="85" t="s">
        <v>302</v>
      </c>
      <c r="M174" s="87">
        <v>100000</v>
      </c>
      <c r="N174" s="88">
        <v>100000</v>
      </c>
    </row>
    <row r="175" spans="2:14" ht="15" customHeight="1" x14ac:dyDescent="0.2">
      <c r="B175" s="82" t="s">
        <v>571</v>
      </c>
      <c r="C175" s="81">
        <f>DATE(96,2,8)</f>
        <v>35103</v>
      </c>
      <c r="D175" s="82" t="s">
        <v>567</v>
      </c>
      <c r="E175" s="465" t="s">
        <v>828</v>
      </c>
      <c r="F175" s="495" t="s">
        <v>568</v>
      </c>
      <c r="G175" s="465" t="s">
        <v>340</v>
      </c>
      <c r="H175" s="465" t="s">
        <v>359</v>
      </c>
      <c r="I175" s="83">
        <v>0.02</v>
      </c>
      <c r="J175" s="85" t="s">
        <v>569</v>
      </c>
      <c r="K175" s="86" t="s">
        <v>570</v>
      </c>
      <c r="L175" s="85" t="s">
        <v>302</v>
      </c>
      <c r="M175" s="87">
        <v>25000</v>
      </c>
      <c r="N175" s="88">
        <v>25000</v>
      </c>
    </row>
    <row r="176" spans="2:14" ht="15" customHeight="1" x14ac:dyDescent="0.2">
      <c r="B176" s="82" t="s">
        <v>548</v>
      </c>
      <c r="C176" s="81">
        <f>DATE(95,12,6)</f>
        <v>35039</v>
      </c>
      <c r="D176" s="82" t="s">
        <v>545</v>
      </c>
      <c r="E176" s="465" t="s">
        <v>828</v>
      </c>
      <c r="F176" s="495" t="s">
        <v>546</v>
      </c>
      <c r="G176" s="465" t="s">
        <v>340</v>
      </c>
      <c r="H176" s="465" t="s">
        <v>298</v>
      </c>
      <c r="I176" s="83" t="s">
        <v>341</v>
      </c>
      <c r="J176" s="85" t="s">
        <v>370</v>
      </c>
      <c r="K176" s="86" t="s">
        <v>547</v>
      </c>
      <c r="L176" s="85" t="s">
        <v>302</v>
      </c>
      <c r="M176" s="87">
        <v>4000</v>
      </c>
      <c r="N176" s="88">
        <v>4000</v>
      </c>
    </row>
    <row r="177" spans="2:14" x14ac:dyDescent="0.2">
      <c r="B177" s="82"/>
      <c r="C177" s="81"/>
      <c r="D177" s="82"/>
      <c r="E177" s="465"/>
      <c r="F177" s="495"/>
      <c r="G177" s="465"/>
      <c r="H177" s="465"/>
      <c r="I177" s="83"/>
      <c r="J177" s="85"/>
      <c r="K177" s="86"/>
      <c r="L177" s="85"/>
      <c r="M177" s="87"/>
      <c r="N177" s="88"/>
    </row>
    <row r="178" spans="2:14" s="14" customFormat="1" x14ac:dyDescent="0.2">
      <c r="B178" s="102" t="s">
        <v>621</v>
      </c>
      <c r="C178" s="9"/>
      <c r="D178" s="3"/>
      <c r="E178" s="3"/>
      <c r="F178" s="494"/>
      <c r="G178" s="3"/>
      <c r="H178" s="3"/>
      <c r="I178" s="10"/>
      <c r="J178" s="11"/>
      <c r="K178" s="12"/>
      <c r="L178" s="11"/>
      <c r="M178" s="13"/>
      <c r="N178" s="89">
        <f>SUM(N179)</f>
        <v>146400</v>
      </c>
    </row>
    <row r="179" spans="2:14" ht="15" customHeight="1" x14ac:dyDescent="0.2">
      <c r="B179" s="82" t="s">
        <v>561</v>
      </c>
      <c r="C179" s="81">
        <f>DATE(95,12,12)</f>
        <v>35045</v>
      </c>
      <c r="D179" s="82" t="s">
        <v>557</v>
      </c>
      <c r="E179" s="465" t="s">
        <v>828</v>
      </c>
      <c r="F179" s="495" t="s">
        <v>558</v>
      </c>
      <c r="G179" s="465" t="s">
        <v>559</v>
      </c>
      <c r="H179" s="465" t="s">
        <v>560</v>
      </c>
      <c r="I179" s="83" t="s">
        <v>411</v>
      </c>
      <c r="J179" s="85" t="s">
        <v>370</v>
      </c>
      <c r="K179" s="86" t="s">
        <v>551</v>
      </c>
      <c r="L179" s="85" t="s">
        <v>302</v>
      </c>
      <c r="M179" s="87">
        <v>146400</v>
      </c>
      <c r="N179" s="88">
        <v>146400</v>
      </c>
    </row>
    <row r="180" spans="2:14" x14ac:dyDescent="0.2">
      <c r="B180" s="82"/>
      <c r="C180" s="81"/>
      <c r="D180" s="82"/>
      <c r="E180" s="465"/>
      <c r="F180" s="495"/>
      <c r="G180" s="465"/>
      <c r="H180" s="465"/>
      <c r="I180" s="83"/>
      <c r="J180" s="85"/>
      <c r="K180" s="86"/>
      <c r="L180" s="85"/>
      <c r="M180" s="87"/>
      <c r="N180" s="88"/>
    </row>
    <row r="181" spans="2:14" s="14" customFormat="1" x14ac:dyDescent="0.2">
      <c r="B181" s="102" t="s">
        <v>353</v>
      </c>
      <c r="C181" s="9"/>
      <c r="D181" s="3"/>
      <c r="E181" s="3"/>
      <c r="F181" s="494"/>
      <c r="G181" s="3"/>
      <c r="H181" s="3"/>
      <c r="I181" s="10"/>
      <c r="J181" s="11"/>
      <c r="K181" s="12"/>
      <c r="L181" s="11"/>
      <c r="M181" s="13"/>
      <c r="N181" s="89">
        <f>SUM(N182)</f>
        <v>155000</v>
      </c>
    </row>
    <row r="182" spans="2:14" ht="15" customHeight="1" x14ac:dyDescent="0.2">
      <c r="B182" s="82" t="s">
        <v>533</v>
      </c>
      <c r="C182" s="81">
        <f>DATE(95,3,3)</f>
        <v>34761</v>
      </c>
      <c r="D182" s="82" t="s">
        <v>459</v>
      </c>
      <c r="E182" s="465" t="s">
        <v>294</v>
      </c>
      <c r="F182" s="495" t="s">
        <v>532</v>
      </c>
      <c r="G182" s="465" t="s">
        <v>353</v>
      </c>
      <c r="H182" s="465" t="s">
        <v>949</v>
      </c>
      <c r="I182" s="83" t="s">
        <v>459</v>
      </c>
      <c r="J182" s="85" t="s">
        <v>528</v>
      </c>
      <c r="K182" s="86" t="s">
        <v>481</v>
      </c>
      <c r="L182" s="85" t="s">
        <v>302</v>
      </c>
      <c r="M182" s="87">
        <v>155000</v>
      </c>
      <c r="N182" s="88">
        <v>155000</v>
      </c>
    </row>
    <row r="183" spans="2:14" x14ac:dyDescent="0.2">
      <c r="B183" s="82"/>
      <c r="C183" s="81"/>
      <c r="D183" s="82"/>
      <c r="E183" s="465"/>
      <c r="F183" s="495"/>
      <c r="G183" s="465"/>
      <c r="H183" s="465"/>
      <c r="I183" s="83"/>
      <c r="J183" s="85"/>
      <c r="K183" s="86"/>
      <c r="L183" s="85"/>
      <c r="M183" s="87"/>
      <c r="N183" s="88"/>
    </row>
    <row r="184" spans="2:14" s="14" customFormat="1" x14ac:dyDescent="0.2">
      <c r="B184" s="102" t="s">
        <v>960</v>
      </c>
      <c r="C184" s="9"/>
      <c r="D184" s="3"/>
      <c r="E184" s="3"/>
      <c r="F184" s="494"/>
      <c r="G184" s="3"/>
      <c r="H184" s="3"/>
      <c r="I184" s="10"/>
      <c r="J184" s="11"/>
      <c r="K184" s="12"/>
      <c r="L184" s="11"/>
      <c r="M184" s="13"/>
      <c r="N184" s="89">
        <f>SUM(N185)</f>
        <v>4600</v>
      </c>
    </row>
    <row r="185" spans="2:14" ht="15" customHeight="1" x14ac:dyDescent="0.2">
      <c r="B185" s="82" t="s">
        <v>536</v>
      </c>
      <c r="C185" s="81">
        <f>DATE(95,3,31)</f>
        <v>34789</v>
      </c>
      <c r="D185" s="82" t="s">
        <v>534</v>
      </c>
      <c r="E185" s="465" t="s">
        <v>970</v>
      </c>
      <c r="F185" s="495" t="s">
        <v>535</v>
      </c>
      <c r="G185" s="465" t="s">
        <v>960</v>
      </c>
      <c r="H185" s="465" t="s">
        <v>336</v>
      </c>
      <c r="I185" s="83">
        <v>0</v>
      </c>
      <c r="J185" s="85" t="s">
        <v>312</v>
      </c>
      <c r="K185" s="86" t="s">
        <v>323</v>
      </c>
      <c r="L185" s="85" t="s">
        <v>537</v>
      </c>
      <c r="M185" s="87">
        <v>2845.7626</v>
      </c>
      <c r="N185" s="88">
        <v>4600</v>
      </c>
    </row>
    <row r="186" spans="2:14" x14ac:dyDescent="0.2">
      <c r="B186" s="82"/>
      <c r="C186" s="81"/>
      <c r="D186" s="82"/>
      <c r="E186" s="465"/>
      <c r="F186" s="495"/>
      <c r="G186" s="465"/>
      <c r="H186" s="465"/>
      <c r="I186" s="83"/>
      <c r="J186" s="85"/>
      <c r="K186" s="86"/>
      <c r="L186" s="85"/>
      <c r="M186" s="87"/>
      <c r="N186" s="88"/>
    </row>
    <row r="187" spans="2:14" s="14" customFormat="1" x14ac:dyDescent="0.2">
      <c r="B187" s="102" t="s">
        <v>381</v>
      </c>
      <c r="C187" s="9"/>
      <c r="D187" s="3"/>
      <c r="E187" s="3"/>
      <c r="F187" s="494"/>
      <c r="G187" s="3"/>
      <c r="H187" s="3"/>
      <c r="I187" s="10"/>
      <c r="J187" s="11"/>
      <c r="K187" s="12"/>
      <c r="L187" s="11"/>
      <c r="M187" s="13"/>
      <c r="N187" s="89">
        <f>SUM(N188)</f>
        <v>11770</v>
      </c>
    </row>
    <row r="188" spans="2:14" ht="15" customHeight="1" x14ac:dyDescent="0.2">
      <c r="B188" s="82" t="s">
        <v>566</v>
      </c>
      <c r="C188" s="81">
        <f>DATE(95,12,21)</f>
        <v>35054</v>
      </c>
      <c r="D188" s="82" t="s">
        <v>433</v>
      </c>
      <c r="E188" s="465" t="s">
        <v>294</v>
      </c>
      <c r="F188" s="495" t="s">
        <v>562</v>
      </c>
      <c r="G188" s="465" t="s">
        <v>381</v>
      </c>
      <c r="H188" s="465" t="s">
        <v>563</v>
      </c>
      <c r="I188" s="83">
        <v>0.03</v>
      </c>
      <c r="J188" s="85" t="s">
        <v>564</v>
      </c>
      <c r="K188" s="86" t="s">
        <v>565</v>
      </c>
      <c r="L188" s="85" t="s">
        <v>435</v>
      </c>
      <c r="M188" s="87">
        <v>58300</v>
      </c>
      <c r="N188" s="88">
        <v>11770</v>
      </c>
    </row>
    <row r="189" spans="2:14" x14ac:dyDescent="0.2">
      <c r="B189" s="82"/>
      <c r="C189" s="81"/>
      <c r="D189" s="82"/>
      <c r="E189" s="465"/>
      <c r="F189" s="495"/>
      <c r="G189" s="465"/>
      <c r="H189" s="465"/>
      <c r="I189" s="83"/>
      <c r="J189" s="85"/>
      <c r="K189" s="86"/>
      <c r="L189" s="85"/>
      <c r="M189" s="87"/>
      <c r="N189" s="88"/>
    </row>
    <row r="190" spans="2:14" s="14" customFormat="1" x14ac:dyDescent="0.2">
      <c r="B190" s="102" t="s">
        <v>305</v>
      </c>
      <c r="C190" s="9"/>
      <c r="D190" s="3"/>
      <c r="E190" s="3"/>
      <c r="F190" s="494"/>
      <c r="G190" s="3"/>
      <c r="H190" s="3"/>
      <c r="I190" s="10"/>
      <c r="J190" s="11"/>
      <c r="K190" s="12"/>
      <c r="L190" s="11"/>
      <c r="M190" s="13"/>
      <c r="N190" s="89">
        <f>SUM(N191:N193)</f>
        <v>216350</v>
      </c>
    </row>
    <row r="191" spans="2:14" ht="15" customHeight="1" x14ac:dyDescent="0.2">
      <c r="B191" s="82" t="s">
        <v>541</v>
      </c>
      <c r="C191" s="81">
        <f>DATE(95,7,12)</f>
        <v>34892</v>
      </c>
      <c r="D191" s="82" t="s">
        <v>978</v>
      </c>
      <c r="E191" s="465" t="s">
        <v>828</v>
      </c>
      <c r="F191" s="495" t="s">
        <v>539</v>
      </c>
      <c r="G191" s="465" t="s">
        <v>305</v>
      </c>
      <c r="H191" s="465" t="s">
        <v>374</v>
      </c>
      <c r="I191" s="93" t="s">
        <v>538</v>
      </c>
      <c r="J191" s="85" t="s">
        <v>528</v>
      </c>
      <c r="K191" s="86" t="s">
        <v>540</v>
      </c>
      <c r="L191" s="85" t="s">
        <v>404</v>
      </c>
      <c r="M191" s="87">
        <v>27000</v>
      </c>
      <c r="N191" s="88">
        <v>36350</v>
      </c>
    </row>
    <row r="192" spans="2:14" ht="15" customHeight="1" x14ac:dyDescent="0.2">
      <c r="B192" s="82" t="s">
        <v>552</v>
      </c>
      <c r="C192" s="81">
        <f>DATE(95,12,6)</f>
        <v>35039</v>
      </c>
      <c r="D192" s="82" t="s">
        <v>549</v>
      </c>
      <c r="E192" s="465" t="s">
        <v>828</v>
      </c>
      <c r="F192" s="495" t="s">
        <v>550</v>
      </c>
      <c r="G192" s="465" t="s">
        <v>305</v>
      </c>
      <c r="H192" s="465" t="s">
        <v>374</v>
      </c>
      <c r="I192" s="83" t="s">
        <v>411</v>
      </c>
      <c r="J192" s="85" t="s">
        <v>370</v>
      </c>
      <c r="K192" s="86" t="s">
        <v>551</v>
      </c>
      <c r="L192" s="85" t="s">
        <v>302</v>
      </c>
      <c r="M192" s="87">
        <v>90000</v>
      </c>
      <c r="N192" s="88">
        <v>90000</v>
      </c>
    </row>
    <row r="193" spans="2:16" ht="15" customHeight="1" thickBot="1" x14ac:dyDescent="0.25">
      <c r="B193" s="95" t="s">
        <v>556</v>
      </c>
      <c r="C193" s="94">
        <f>DATE(95,12,8)</f>
        <v>35041</v>
      </c>
      <c r="D193" s="95" t="s">
        <v>553</v>
      </c>
      <c r="E193" s="466" t="s">
        <v>828</v>
      </c>
      <c r="F193" s="496" t="s">
        <v>550</v>
      </c>
      <c r="G193" s="466" t="s">
        <v>305</v>
      </c>
      <c r="H193" s="466" t="s">
        <v>374</v>
      </c>
      <c r="I193" s="96" t="s">
        <v>341</v>
      </c>
      <c r="J193" s="98" t="s">
        <v>554</v>
      </c>
      <c r="K193" s="99" t="s">
        <v>555</v>
      </c>
      <c r="L193" s="98" t="s">
        <v>302</v>
      </c>
      <c r="M193" s="100">
        <v>90000</v>
      </c>
      <c r="N193" s="101">
        <v>90000</v>
      </c>
    </row>
    <row r="194" spans="2:16" ht="13.5" thickTop="1" x14ac:dyDescent="0.2">
      <c r="B194" s="336"/>
      <c r="C194" s="335"/>
      <c r="D194" s="336"/>
      <c r="E194" s="467"/>
      <c r="F194" s="491"/>
      <c r="G194" s="467"/>
      <c r="H194" s="467"/>
      <c r="I194" s="337"/>
      <c r="J194" s="331"/>
      <c r="K194" s="338"/>
      <c r="L194" s="339"/>
      <c r="M194" s="332"/>
      <c r="N194" s="334"/>
    </row>
    <row r="195" spans="2:16" s="256" customFormat="1" ht="18" x14ac:dyDescent="0.25">
      <c r="B195" s="257">
        <v>1996</v>
      </c>
      <c r="C195" s="258"/>
      <c r="D195" s="257"/>
      <c r="E195" s="468"/>
      <c r="F195" s="493"/>
      <c r="G195" s="468"/>
      <c r="H195" s="468"/>
      <c r="I195" s="252"/>
      <c r="J195" s="253"/>
      <c r="K195" s="254"/>
      <c r="L195" s="253"/>
      <c r="M195" s="255"/>
      <c r="N195" s="250">
        <f>+N196+N203+N207+N211+N214+N218+N222+N229+N233+N236</f>
        <v>1806309</v>
      </c>
    </row>
    <row r="196" spans="2:16" s="14" customFormat="1" x14ac:dyDescent="0.2">
      <c r="B196" s="102" t="s">
        <v>992</v>
      </c>
      <c r="C196" s="9"/>
      <c r="D196" s="3"/>
      <c r="E196" s="3"/>
      <c r="F196" s="494"/>
      <c r="G196" s="3"/>
      <c r="H196" s="3"/>
      <c r="I196" s="10"/>
      <c r="J196" s="11"/>
      <c r="K196" s="12"/>
      <c r="L196" s="11"/>
      <c r="M196" s="13"/>
      <c r="N196" s="89">
        <f>SUM(N197:N200)</f>
        <v>176550</v>
      </c>
    </row>
    <row r="197" spans="2:16" s="14" customFormat="1" ht="15" customHeight="1" x14ac:dyDescent="0.2">
      <c r="B197" s="82" t="s">
        <v>941</v>
      </c>
      <c r="C197" s="81">
        <f>DATE(96,4,10)</f>
        <v>35165</v>
      </c>
      <c r="D197" s="82" t="s">
        <v>583</v>
      </c>
      <c r="E197" s="465" t="s">
        <v>828</v>
      </c>
      <c r="F197" s="495" t="s">
        <v>584</v>
      </c>
      <c r="G197" s="465" t="s">
        <v>296</v>
      </c>
      <c r="H197" s="465" t="s">
        <v>322</v>
      </c>
      <c r="I197" s="93" t="s">
        <v>583</v>
      </c>
      <c r="J197" s="85" t="s">
        <v>332</v>
      </c>
      <c r="K197" s="86" t="s">
        <v>585</v>
      </c>
      <c r="L197" s="85" t="s">
        <v>430</v>
      </c>
      <c r="M197" s="87">
        <v>8250</v>
      </c>
      <c r="N197" s="88">
        <v>12030</v>
      </c>
    </row>
    <row r="198" spans="2:16" s="14" customFormat="1" ht="15" customHeight="1" x14ac:dyDescent="0.2">
      <c r="B198" s="82" t="s">
        <v>940</v>
      </c>
      <c r="C198" s="81">
        <f>DATE(96,4,19)</f>
        <v>35174</v>
      </c>
      <c r="D198" s="82" t="s">
        <v>1038</v>
      </c>
      <c r="E198" s="465" t="s">
        <v>828</v>
      </c>
      <c r="F198" s="495" t="s">
        <v>582</v>
      </c>
      <c r="G198" s="465" t="s">
        <v>296</v>
      </c>
      <c r="H198" s="465" t="s">
        <v>322</v>
      </c>
      <c r="I198" s="93" t="s">
        <v>341</v>
      </c>
      <c r="J198" s="85" t="s">
        <v>528</v>
      </c>
      <c r="K198" s="86" t="s">
        <v>540</v>
      </c>
      <c r="L198" s="85" t="s">
        <v>302</v>
      </c>
      <c r="M198" s="87">
        <v>21000</v>
      </c>
      <c r="N198" s="88">
        <v>21000</v>
      </c>
    </row>
    <row r="199" spans="2:16" s="14" customFormat="1" ht="15" customHeight="1" x14ac:dyDescent="0.2">
      <c r="B199" s="82" t="s">
        <v>600</v>
      </c>
      <c r="C199" s="81">
        <f>DATE(96,8,21)</f>
        <v>35298</v>
      </c>
      <c r="D199" s="82" t="s">
        <v>1039</v>
      </c>
      <c r="E199" s="465" t="s">
        <v>828</v>
      </c>
      <c r="F199" s="495" t="s">
        <v>597</v>
      </c>
      <c r="G199" s="465" t="s">
        <v>296</v>
      </c>
      <c r="H199" s="465" t="s">
        <v>322</v>
      </c>
      <c r="I199" s="93" t="s">
        <v>411</v>
      </c>
      <c r="J199" s="85" t="s">
        <v>598</v>
      </c>
      <c r="K199" s="86" t="s">
        <v>599</v>
      </c>
      <c r="L199" s="85" t="s">
        <v>302</v>
      </c>
      <c r="M199" s="87">
        <v>85000</v>
      </c>
      <c r="N199" s="88">
        <v>85000</v>
      </c>
    </row>
    <row r="200" spans="2:16" ht="15" customHeight="1" x14ac:dyDescent="0.2">
      <c r="B200" s="82" t="s">
        <v>936</v>
      </c>
      <c r="C200" s="113">
        <v>35429</v>
      </c>
      <c r="D200" s="82" t="s">
        <v>361</v>
      </c>
      <c r="E200" s="465" t="s">
        <v>294</v>
      </c>
      <c r="F200" s="495" t="s">
        <v>618</v>
      </c>
      <c r="G200" s="465" t="s">
        <v>296</v>
      </c>
      <c r="H200" s="465" t="s">
        <v>322</v>
      </c>
      <c r="I200" s="83">
        <v>0.03</v>
      </c>
      <c r="J200" s="85" t="s">
        <v>596</v>
      </c>
      <c r="K200" s="86" t="s">
        <v>619</v>
      </c>
      <c r="L200" s="85" t="s">
        <v>366</v>
      </c>
      <c r="M200" s="87">
        <v>6723000</v>
      </c>
      <c r="N200" s="88">
        <v>58520</v>
      </c>
    </row>
    <row r="201" spans="2:16" x14ac:dyDescent="0.2">
      <c r="B201" s="82"/>
      <c r="C201" s="81"/>
      <c r="D201" s="82"/>
      <c r="E201" s="465"/>
      <c r="F201" s="495"/>
      <c r="G201" s="465"/>
      <c r="H201" s="465"/>
      <c r="I201" s="93"/>
      <c r="J201" s="85"/>
      <c r="K201" s="86"/>
      <c r="L201" s="85"/>
      <c r="M201" s="87"/>
      <c r="N201" s="88"/>
    </row>
    <row r="202" spans="2:16" x14ac:dyDescent="0.2">
      <c r="B202" s="82"/>
      <c r="C202" s="81"/>
      <c r="D202" s="82"/>
      <c r="E202" s="465"/>
      <c r="F202" s="495"/>
      <c r="G202" s="465"/>
      <c r="H202" s="465"/>
      <c r="I202" s="93"/>
      <c r="J202" s="85"/>
      <c r="K202" s="86"/>
      <c r="L202" s="85"/>
      <c r="M202" s="87"/>
      <c r="N202" s="88"/>
    </row>
    <row r="203" spans="2:16" s="14" customFormat="1" x14ac:dyDescent="0.2">
      <c r="B203" s="102" t="s">
        <v>340</v>
      </c>
      <c r="C203" s="9"/>
      <c r="D203" s="3"/>
      <c r="E203" s="3"/>
      <c r="F203" s="494"/>
      <c r="G203" s="3"/>
      <c r="H203" s="3"/>
      <c r="I203" s="10"/>
      <c r="J203" s="11"/>
      <c r="K203" s="12"/>
      <c r="L203" s="11"/>
      <c r="M203" s="13"/>
      <c r="N203" s="89">
        <f>SUM(N204:N205)</f>
        <v>250000</v>
      </c>
    </row>
    <row r="204" spans="2:16" ht="15" customHeight="1" x14ac:dyDescent="0.2">
      <c r="B204" s="82" t="s">
        <v>928</v>
      </c>
      <c r="C204" s="81">
        <f>DATE(96,2,16)</f>
        <v>35111</v>
      </c>
      <c r="D204" s="82" t="s">
        <v>459</v>
      </c>
      <c r="E204" s="465" t="s">
        <v>294</v>
      </c>
      <c r="F204" s="495" t="s">
        <v>574</v>
      </c>
      <c r="G204" s="465" t="s">
        <v>340</v>
      </c>
      <c r="H204" s="465" t="s">
        <v>359</v>
      </c>
      <c r="I204" s="83" t="s">
        <v>459</v>
      </c>
      <c r="J204" s="85" t="s">
        <v>528</v>
      </c>
      <c r="K204" s="86" t="s">
        <v>575</v>
      </c>
      <c r="L204" s="85" t="s">
        <v>366</v>
      </c>
      <c r="M204" s="87">
        <v>100000</v>
      </c>
      <c r="N204" s="88">
        <v>100000</v>
      </c>
      <c r="P204" s="114"/>
    </row>
    <row r="205" spans="2:16" ht="15" customHeight="1" x14ac:dyDescent="0.2">
      <c r="B205" s="115" t="s">
        <v>627</v>
      </c>
      <c r="C205" s="113">
        <v>35427</v>
      </c>
      <c r="D205" s="115" t="s">
        <v>1040</v>
      </c>
      <c r="E205" s="465" t="s">
        <v>828</v>
      </c>
      <c r="F205" s="499" t="s">
        <v>624</v>
      </c>
      <c r="G205" s="54" t="s">
        <v>340</v>
      </c>
      <c r="H205" s="54" t="s">
        <v>298</v>
      </c>
      <c r="I205" s="55" t="s">
        <v>341</v>
      </c>
      <c r="J205" s="92" t="s">
        <v>625</v>
      </c>
      <c r="K205" s="117" t="s">
        <v>626</v>
      </c>
      <c r="L205" s="118" t="s">
        <v>302</v>
      </c>
      <c r="M205" s="119">
        <v>150000</v>
      </c>
      <c r="N205" s="120">
        <v>150000</v>
      </c>
      <c r="P205" s="114"/>
    </row>
    <row r="206" spans="2:16" x14ac:dyDescent="0.2">
      <c r="B206" s="115"/>
      <c r="C206" s="113"/>
      <c r="D206" s="115"/>
      <c r="E206" s="465"/>
      <c r="F206" s="499"/>
      <c r="G206" s="54"/>
      <c r="H206" s="54"/>
      <c r="I206" s="55"/>
      <c r="J206" s="92"/>
      <c r="K206" s="117"/>
      <c r="L206" s="118"/>
      <c r="M206" s="119"/>
      <c r="N206" s="120"/>
    </row>
    <row r="207" spans="2:16" s="14" customFormat="1" x14ac:dyDescent="0.2">
      <c r="B207" s="102" t="s">
        <v>621</v>
      </c>
      <c r="C207" s="9"/>
      <c r="D207" s="3"/>
      <c r="E207" s="3"/>
      <c r="F207" s="494"/>
      <c r="G207" s="3"/>
      <c r="H207" s="3"/>
      <c r="I207" s="10"/>
      <c r="J207" s="11"/>
      <c r="K207" s="12"/>
      <c r="L207" s="11"/>
      <c r="M207" s="13"/>
      <c r="N207" s="89">
        <f>SUM(N208:N209)</f>
        <v>100500</v>
      </c>
    </row>
    <row r="208" spans="2:16" s="14" customFormat="1" ht="15" customHeight="1" x14ac:dyDescent="0.2">
      <c r="B208" s="82" t="s">
        <v>603</v>
      </c>
      <c r="C208" s="81">
        <f>DATE(96,9,25)</f>
        <v>35333</v>
      </c>
      <c r="D208" s="82" t="s">
        <v>1042</v>
      </c>
      <c r="E208" s="465" t="s">
        <v>828</v>
      </c>
      <c r="F208" s="495" t="s">
        <v>601</v>
      </c>
      <c r="G208" s="465" t="s">
        <v>559</v>
      </c>
      <c r="H208" s="465" t="s">
        <v>560</v>
      </c>
      <c r="I208" s="93" t="s">
        <v>341</v>
      </c>
      <c r="J208" s="85" t="s">
        <v>602</v>
      </c>
      <c r="K208" s="86" t="s">
        <v>449</v>
      </c>
      <c r="L208" s="85" t="s">
        <v>302</v>
      </c>
      <c r="M208" s="87">
        <v>500</v>
      </c>
      <c r="N208" s="88">
        <v>500</v>
      </c>
    </row>
    <row r="209" spans="2:14" ht="15" customHeight="1" x14ac:dyDescent="0.2">
      <c r="B209" s="22" t="s">
        <v>942</v>
      </c>
      <c r="C209" s="113">
        <v>35407</v>
      </c>
      <c r="D209" s="115" t="s">
        <v>1041</v>
      </c>
      <c r="E209" s="465" t="s">
        <v>828</v>
      </c>
      <c r="F209" s="499" t="s">
        <v>620</v>
      </c>
      <c r="G209" s="54" t="s">
        <v>621</v>
      </c>
      <c r="H209" s="54" t="s">
        <v>560</v>
      </c>
      <c r="I209" s="55" t="s">
        <v>341</v>
      </c>
      <c r="J209" s="92" t="s">
        <v>610</v>
      </c>
      <c r="K209" s="117" t="s">
        <v>425</v>
      </c>
      <c r="L209" s="92" t="s">
        <v>302</v>
      </c>
      <c r="M209" s="119">
        <v>100000</v>
      </c>
      <c r="N209" s="120">
        <v>100000</v>
      </c>
    </row>
    <row r="210" spans="2:14" x14ac:dyDescent="0.2">
      <c r="B210" s="82"/>
      <c r="C210" s="81"/>
      <c r="D210" s="82"/>
      <c r="E210" s="465"/>
      <c r="F210" s="495"/>
      <c r="G210" s="465"/>
      <c r="H210" s="465"/>
      <c r="I210" s="93"/>
      <c r="J210" s="85"/>
      <c r="K210" s="86"/>
      <c r="L210" s="85"/>
      <c r="M210" s="87"/>
      <c r="N210" s="88"/>
    </row>
    <row r="211" spans="2:14" s="14" customFormat="1" x14ac:dyDescent="0.2">
      <c r="B211" s="102" t="s">
        <v>353</v>
      </c>
      <c r="C211" s="9"/>
      <c r="D211" s="3"/>
      <c r="E211" s="3"/>
      <c r="F211" s="494"/>
      <c r="G211" s="3"/>
      <c r="H211" s="3"/>
      <c r="I211" s="10"/>
      <c r="J211" s="11"/>
      <c r="K211" s="12"/>
      <c r="L211" s="11"/>
      <c r="M211" s="13"/>
      <c r="N211" s="89">
        <f>SUM(N212)</f>
        <v>287270</v>
      </c>
    </row>
    <row r="212" spans="2:14" ht="15" customHeight="1" x14ac:dyDescent="0.2">
      <c r="B212" s="82" t="s">
        <v>933</v>
      </c>
      <c r="C212" s="113">
        <v>35428</v>
      </c>
      <c r="D212" s="82" t="s">
        <v>361</v>
      </c>
      <c r="E212" s="465" t="s">
        <v>294</v>
      </c>
      <c r="F212" s="495" t="s">
        <v>612</v>
      </c>
      <c r="G212" s="465" t="s">
        <v>353</v>
      </c>
      <c r="H212" s="465" t="s">
        <v>453</v>
      </c>
      <c r="I212" s="93" t="s">
        <v>613</v>
      </c>
      <c r="J212" s="85" t="s">
        <v>333</v>
      </c>
      <c r="K212" s="86" t="s">
        <v>614</v>
      </c>
      <c r="L212" s="85" t="s">
        <v>366</v>
      </c>
      <c r="M212" s="87">
        <v>33000000</v>
      </c>
      <c r="N212" s="88">
        <v>287270</v>
      </c>
    </row>
    <row r="213" spans="2:14" x14ac:dyDescent="0.2">
      <c r="B213" s="82"/>
      <c r="C213" s="113"/>
      <c r="D213" s="82"/>
      <c r="E213" s="465"/>
      <c r="F213" s="495"/>
      <c r="G213" s="465"/>
      <c r="H213" s="465"/>
      <c r="I213" s="93"/>
      <c r="J213" s="85"/>
      <c r="K213" s="86"/>
      <c r="L213" s="85"/>
      <c r="M213" s="87"/>
      <c r="N213" s="88"/>
    </row>
    <row r="214" spans="2:14" s="14" customFormat="1" x14ac:dyDescent="0.2">
      <c r="B214" s="102" t="s">
        <v>688</v>
      </c>
      <c r="C214" s="9"/>
      <c r="D214" s="3"/>
      <c r="E214" s="3"/>
      <c r="F214" s="494"/>
      <c r="G214" s="3"/>
      <c r="H214" s="3"/>
      <c r="I214" s="10"/>
      <c r="J214" s="11"/>
      <c r="K214" s="12"/>
      <c r="L214" s="11"/>
      <c r="M214" s="13"/>
      <c r="N214" s="89">
        <f>SUM(N215:N216)</f>
        <v>16299</v>
      </c>
    </row>
    <row r="215" spans="2:14" ht="15" customHeight="1" x14ac:dyDescent="0.2">
      <c r="B215" s="21" t="s">
        <v>937</v>
      </c>
      <c r="C215" s="81">
        <f>DATE(96,8,25)</f>
        <v>35302</v>
      </c>
      <c r="D215" s="82" t="s">
        <v>594</v>
      </c>
      <c r="E215" s="465" t="s">
        <v>895</v>
      </c>
      <c r="F215" s="495" t="s">
        <v>595</v>
      </c>
      <c r="G215" s="465" t="s">
        <v>688</v>
      </c>
      <c r="H215" s="465" t="s">
        <v>496</v>
      </c>
      <c r="I215" s="83">
        <v>0</v>
      </c>
      <c r="J215" s="85" t="s">
        <v>300</v>
      </c>
      <c r="K215" s="86" t="s">
        <v>596</v>
      </c>
      <c r="L215" s="85" t="s">
        <v>302</v>
      </c>
      <c r="M215" s="87">
        <v>9999</v>
      </c>
      <c r="N215" s="88">
        <v>9999</v>
      </c>
    </row>
    <row r="216" spans="2:14" ht="15" customHeight="1" x14ac:dyDescent="0.2">
      <c r="B216" s="22" t="s">
        <v>938</v>
      </c>
      <c r="C216" s="113">
        <v>35415</v>
      </c>
      <c r="D216" s="115" t="s">
        <v>622</v>
      </c>
      <c r="E216" s="465" t="s">
        <v>895</v>
      </c>
      <c r="F216" s="499" t="s">
        <v>623</v>
      </c>
      <c r="G216" s="54" t="s">
        <v>688</v>
      </c>
      <c r="H216" s="54" t="s">
        <v>496</v>
      </c>
      <c r="I216" s="83">
        <v>0</v>
      </c>
      <c r="J216" s="92" t="s">
        <v>449</v>
      </c>
      <c r="K216" s="117" t="s">
        <v>323</v>
      </c>
      <c r="L216" s="92" t="s">
        <v>302</v>
      </c>
      <c r="M216" s="119">
        <v>6300</v>
      </c>
      <c r="N216" s="122">
        <v>6300</v>
      </c>
    </row>
    <row r="217" spans="2:14" x14ac:dyDescent="0.2">
      <c r="B217" s="22"/>
      <c r="C217" s="113"/>
      <c r="D217" s="115"/>
      <c r="E217" s="465"/>
      <c r="F217" s="499"/>
      <c r="G217" s="54"/>
      <c r="H217" s="54"/>
      <c r="I217" s="83"/>
      <c r="J217" s="92"/>
      <c r="K217" s="117"/>
      <c r="L217" s="92"/>
      <c r="M217" s="119"/>
      <c r="N217" s="122"/>
    </row>
    <row r="218" spans="2:14" s="14" customFormat="1" x14ac:dyDescent="0.2">
      <c r="B218" s="102" t="s">
        <v>438</v>
      </c>
      <c r="C218" s="9"/>
      <c r="D218" s="3"/>
      <c r="E218" s="3"/>
      <c r="F218" s="494"/>
      <c r="G218" s="3"/>
      <c r="H218" s="3"/>
      <c r="I218" s="10"/>
      <c r="J218" s="11"/>
      <c r="K218" s="12"/>
      <c r="L218" s="11"/>
      <c r="M218" s="13"/>
      <c r="N218" s="89">
        <f>SUM(N219:N220)</f>
        <v>12490</v>
      </c>
    </row>
    <row r="219" spans="2:14" ht="15" customHeight="1" x14ac:dyDescent="0.2">
      <c r="B219" s="82" t="s">
        <v>932</v>
      </c>
      <c r="C219" s="81">
        <f>DATE(96,10,18)</f>
        <v>35356</v>
      </c>
      <c r="D219" s="82" t="s">
        <v>433</v>
      </c>
      <c r="E219" s="465" t="s">
        <v>294</v>
      </c>
      <c r="F219" s="495" t="s">
        <v>604</v>
      </c>
      <c r="G219" s="465" t="s">
        <v>438</v>
      </c>
      <c r="H219" s="465" t="s">
        <v>439</v>
      </c>
      <c r="I219" s="83">
        <v>3.4000000000000002E-2</v>
      </c>
      <c r="J219" s="92" t="s">
        <v>689</v>
      </c>
      <c r="K219" s="117" t="s">
        <v>513</v>
      </c>
      <c r="L219" s="85" t="s">
        <v>435</v>
      </c>
      <c r="M219" s="87">
        <v>34500</v>
      </c>
      <c r="N219" s="120">
        <v>6290</v>
      </c>
    </row>
    <row r="220" spans="2:14" ht="15" customHeight="1" x14ac:dyDescent="0.2">
      <c r="B220" s="82" t="s">
        <v>932</v>
      </c>
      <c r="C220" s="81">
        <f>DATE(96,10,18)</f>
        <v>35356</v>
      </c>
      <c r="D220" s="82" t="s">
        <v>433</v>
      </c>
      <c r="E220" s="465" t="s">
        <v>294</v>
      </c>
      <c r="F220" s="495" t="s">
        <v>605</v>
      </c>
      <c r="G220" s="465" t="s">
        <v>438</v>
      </c>
      <c r="H220" s="465" t="s">
        <v>439</v>
      </c>
      <c r="I220" s="83">
        <v>3.4000000000000002E-2</v>
      </c>
      <c r="J220" s="92" t="s">
        <v>689</v>
      </c>
      <c r="K220" s="117" t="s">
        <v>513</v>
      </c>
      <c r="L220" s="85" t="s">
        <v>435</v>
      </c>
      <c r="M220" s="87">
        <v>30500</v>
      </c>
      <c r="N220" s="120">
        <v>6200</v>
      </c>
    </row>
    <row r="221" spans="2:14" x14ac:dyDescent="0.2">
      <c r="B221" s="82"/>
      <c r="C221" s="81"/>
      <c r="D221" s="82"/>
      <c r="E221" s="465"/>
      <c r="F221" s="495"/>
      <c r="G221" s="465"/>
      <c r="H221" s="465"/>
      <c r="I221" s="123"/>
      <c r="J221" s="92"/>
      <c r="K221" s="117"/>
      <c r="L221" s="85"/>
      <c r="M221" s="87"/>
      <c r="N221" s="120"/>
    </row>
    <row r="222" spans="2:14" s="14" customFormat="1" x14ac:dyDescent="0.2">
      <c r="B222" s="102" t="s">
        <v>381</v>
      </c>
      <c r="C222" s="9"/>
      <c r="D222" s="3"/>
      <c r="E222" s="3"/>
      <c r="F222" s="494"/>
      <c r="G222" s="3"/>
      <c r="H222" s="3"/>
      <c r="I222" s="10"/>
      <c r="J222" s="11"/>
      <c r="K222" s="12"/>
      <c r="L222" s="11"/>
      <c r="M222" s="13"/>
      <c r="N222" s="89">
        <f>SUM(N223:N227)</f>
        <v>229040</v>
      </c>
    </row>
    <row r="223" spans="2:14" ht="15" customHeight="1" x14ac:dyDescent="0.2">
      <c r="B223" s="82" t="s">
        <v>929</v>
      </c>
      <c r="C223" s="81">
        <f>DATE(96,2,29)</f>
        <v>35124</v>
      </c>
      <c r="D223" s="82" t="s">
        <v>433</v>
      </c>
      <c r="E223" s="465" t="s">
        <v>294</v>
      </c>
      <c r="F223" s="495" t="s">
        <v>576</v>
      </c>
      <c r="G223" s="465" t="s">
        <v>381</v>
      </c>
      <c r="H223" s="465" t="s">
        <v>946</v>
      </c>
      <c r="I223" s="83">
        <v>0.03</v>
      </c>
      <c r="J223" s="85" t="s">
        <v>564</v>
      </c>
      <c r="K223" s="86" t="s">
        <v>565</v>
      </c>
      <c r="L223" s="85" t="s">
        <v>435</v>
      </c>
      <c r="M223" s="87">
        <v>1700</v>
      </c>
      <c r="N223" s="88">
        <v>340</v>
      </c>
    </row>
    <row r="224" spans="2:14" ht="15" customHeight="1" x14ac:dyDescent="0.2">
      <c r="B224" s="82" t="s">
        <v>930</v>
      </c>
      <c r="C224" s="81">
        <f>DATE(96,3,24)</f>
        <v>35148</v>
      </c>
      <c r="D224" s="82" t="s">
        <v>361</v>
      </c>
      <c r="E224" s="465" t="s">
        <v>294</v>
      </c>
      <c r="F224" s="495" t="s">
        <v>577</v>
      </c>
      <c r="G224" s="465" t="s">
        <v>381</v>
      </c>
      <c r="H224" s="465" t="s">
        <v>382</v>
      </c>
      <c r="I224" s="83">
        <v>0.03</v>
      </c>
      <c r="J224" s="85" t="s">
        <v>578</v>
      </c>
      <c r="K224" s="86" t="s">
        <v>425</v>
      </c>
      <c r="L224" s="85" t="s">
        <v>366</v>
      </c>
      <c r="M224" s="87">
        <v>8427000</v>
      </c>
      <c r="N224" s="88">
        <v>78910</v>
      </c>
    </row>
    <row r="225" spans="2:14" ht="15" customHeight="1" x14ac:dyDescent="0.2">
      <c r="B225" s="82" t="s">
        <v>935</v>
      </c>
      <c r="C225" s="113">
        <v>35426</v>
      </c>
      <c r="D225" s="82" t="s">
        <v>361</v>
      </c>
      <c r="E225" s="465" t="s">
        <v>294</v>
      </c>
      <c r="F225" s="495" t="s">
        <v>616</v>
      </c>
      <c r="G225" s="465" t="s">
        <v>381</v>
      </c>
      <c r="H225" s="465" t="s">
        <v>496</v>
      </c>
      <c r="I225" s="93" t="s">
        <v>617</v>
      </c>
      <c r="J225" s="85" t="s">
        <v>333</v>
      </c>
      <c r="K225" s="86" t="s">
        <v>614</v>
      </c>
      <c r="L225" s="85" t="s">
        <v>366</v>
      </c>
      <c r="M225" s="87">
        <v>12660000</v>
      </c>
      <c r="N225" s="88">
        <v>110210</v>
      </c>
    </row>
    <row r="226" spans="2:14" ht="15" customHeight="1" x14ac:dyDescent="0.2">
      <c r="B226" s="115" t="s">
        <v>635</v>
      </c>
      <c r="C226" s="81">
        <v>35426</v>
      </c>
      <c r="D226" s="115" t="s">
        <v>628</v>
      </c>
      <c r="E226" s="54" t="s">
        <v>294</v>
      </c>
      <c r="F226" s="499" t="s">
        <v>633</v>
      </c>
      <c r="G226" s="54" t="s">
        <v>381</v>
      </c>
      <c r="H226" s="54" t="s">
        <v>467</v>
      </c>
      <c r="I226" s="55" t="s">
        <v>634</v>
      </c>
      <c r="J226" s="92" t="s">
        <v>323</v>
      </c>
      <c r="K226" s="117" t="s">
        <v>425</v>
      </c>
      <c r="L226" s="92" t="s">
        <v>470</v>
      </c>
      <c r="M226" s="87">
        <v>47966</v>
      </c>
      <c r="N226" s="88">
        <v>30890</v>
      </c>
    </row>
    <row r="227" spans="2:14" ht="15" customHeight="1" x14ac:dyDescent="0.2">
      <c r="B227" s="115" t="s">
        <v>632</v>
      </c>
      <c r="C227" s="113">
        <v>35427</v>
      </c>
      <c r="D227" s="115" t="s">
        <v>628</v>
      </c>
      <c r="E227" s="54" t="s">
        <v>629</v>
      </c>
      <c r="F227" s="499" t="s">
        <v>630</v>
      </c>
      <c r="G227" s="54" t="s">
        <v>381</v>
      </c>
      <c r="H227" s="54" t="s">
        <v>631</v>
      </c>
      <c r="I227" s="125">
        <v>7.4999999999999997E-3</v>
      </c>
      <c r="J227" s="92" t="s">
        <v>323</v>
      </c>
      <c r="K227" s="117" t="s">
        <v>468</v>
      </c>
      <c r="L227" s="92" t="s">
        <v>470</v>
      </c>
      <c r="M227" s="119">
        <v>13500</v>
      </c>
      <c r="N227" s="120">
        <v>8690</v>
      </c>
    </row>
    <row r="228" spans="2:14" x14ac:dyDescent="0.2">
      <c r="B228" s="115"/>
      <c r="C228" s="81"/>
      <c r="D228" s="115"/>
      <c r="E228" s="54"/>
      <c r="F228" s="499"/>
      <c r="G228" s="54"/>
      <c r="H228" s="54"/>
      <c r="I228" s="55"/>
      <c r="J228" s="92"/>
      <c r="K228" s="117"/>
      <c r="L228" s="92"/>
      <c r="M228" s="87"/>
      <c r="N228" s="88"/>
    </row>
    <row r="229" spans="2:14" s="14" customFormat="1" x14ac:dyDescent="0.2">
      <c r="B229" s="102" t="s">
        <v>959</v>
      </c>
      <c r="C229" s="9"/>
      <c r="D229" s="3"/>
      <c r="E229" s="3"/>
      <c r="F229" s="494"/>
      <c r="G229" s="3"/>
      <c r="H229" s="3"/>
      <c r="I229" s="10"/>
      <c r="J229" s="11"/>
      <c r="K229" s="12"/>
      <c r="L229" s="11"/>
      <c r="M229" s="13"/>
      <c r="N229" s="89">
        <f>SUM(N230:N231)</f>
        <v>300000</v>
      </c>
    </row>
    <row r="230" spans="2:14" ht="15" customHeight="1" x14ac:dyDescent="0.2">
      <c r="B230" s="82" t="s">
        <v>587</v>
      </c>
      <c r="C230" s="81">
        <f>DATE(96,7,11)</f>
        <v>35257</v>
      </c>
      <c r="D230" s="82" t="s">
        <v>1043</v>
      </c>
      <c r="E230" s="465" t="s">
        <v>828</v>
      </c>
      <c r="F230" s="495" t="s">
        <v>586</v>
      </c>
      <c r="G230" s="465" t="s">
        <v>959</v>
      </c>
      <c r="H230" s="465" t="s">
        <v>474</v>
      </c>
      <c r="I230" s="93" t="s">
        <v>341</v>
      </c>
      <c r="J230" s="85" t="s">
        <v>528</v>
      </c>
      <c r="K230" s="86" t="s">
        <v>555</v>
      </c>
      <c r="L230" s="85" t="s">
        <v>302</v>
      </c>
      <c r="M230" s="87">
        <v>150000</v>
      </c>
      <c r="N230" s="88">
        <v>150000</v>
      </c>
    </row>
    <row r="231" spans="2:14" ht="15" customHeight="1" x14ac:dyDescent="0.2">
      <c r="B231" s="82" t="s">
        <v>593</v>
      </c>
      <c r="C231" s="81">
        <f>DATE(96,8,20)</f>
        <v>35297</v>
      </c>
      <c r="D231" s="82" t="s">
        <v>1044</v>
      </c>
      <c r="E231" s="465" t="s">
        <v>828</v>
      </c>
      <c r="F231" s="495" t="s">
        <v>586</v>
      </c>
      <c r="G231" s="465" t="s">
        <v>959</v>
      </c>
      <c r="H231" s="465" t="s">
        <v>474</v>
      </c>
      <c r="I231" s="93" t="s">
        <v>411</v>
      </c>
      <c r="J231" s="85" t="s">
        <v>300</v>
      </c>
      <c r="K231" s="86" t="s">
        <v>592</v>
      </c>
      <c r="L231" s="85" t="s">
        <v>302</v>
      </c>
      <c r="M231" s="87">
        <v>150000</v>
      </c>
      <c r="N231" s="88">
        <v>150000</v>
      </c>
    </row>
    <row r="232" spans="2:14" x14ac:dyDescent="0.2">
      <c r="B232" s="82"/>
      <c r="C232" s="81"/>
      <c r="D232" s="82"/>
      <c r="E232" s="465"/>
      <c r="F232" s="495"/>
      <c r="G232" s="465"/>
      <c r="H232" s="465"/>
      <c r="I232" s="93"/>
      <c r="J232" s="85"/>
      <c r="K232" s="86"/>
      <c r="L232" s="85"/>
      <c r="M232" s="87"/>
      <c r="N232" s="88"/>
    </row>
    <row r="233" spans="2:14" s="14" customFormat="1" x14ac:dyDescent="0.2">
      <c r="B233" s="102" t="s">
        <v>607</v>
      </c>
      <c r="C233" s="9"/>
      <c r="D233" s="3"/>
      <c r="E233" s="3"/>
      <c r="F233" s="494"/>
      <c r="G233" s="3"/>
      <c r="H233" s="3"/>
      <c r="I233" s="10"/>
      <c r="J233" s="11"/>
      <c r="K233" s="12"/>
      <c r="L233" s="11"/>
      <c r="M233" s="13"/>
      <c r="N233" s="89">
        <f>SUM(N234)</f>
        <v>1500</v>
      </c>
    </row>
    <row r="234" spans="2:14" ht="15" customHeight="1" x14ac:dyDescent="0.2">
      <c r="B234" s="82" t="s">
        <v>611</v>
      </c>
      <c r="C234" s="81">
        <v>35375</v>
      </c>
      <c r="D234" s="82" t="s">
        <v>1045</v>
      </c>
      <c r="E234" s="465" t="s">
        <v>828</v>
      </c>
      <c r="F234" s="495" t="s">
        <v>606</v>
      </c>
      <c r="G234" s="465" t="s">
        <v>607</v>
      </c>
      <c r="H234" s="465" t="s">
        <v>608</v>
      </c>
      <c r="I234" s="93" t="s">
        <v>341</v>
      </c>
      <c r="J234" s="92" t="s">
        <v>715</v>
      </c>
      <c r="K234" s="117" t="s">
        <v>610</v>
      </c>
      <c r="L234" s="85" t="s">
        <v>302</v>
      </c>
      <c r="M234" s="87">
        <v>1500</v>
      </c>
      <c r="N234" s="120">
        <v>1500</v>
      </c>
    </row>
    <row r="235" spans="2:14" x14ac:dyDescent="0.2">
      <c r="B235" s="82"/>
      <c r="C235" s="81"/>
      <c r="D235" s="82"/>
      <c r="E235" s="465"/>
      <c r="F235" s="495"/>
      <c r="G235" s="465"/>
      <c r="H235" s="465"/>
      <c r="I235" s="93"/>
      <c r="J235" s="92"/>
      <c r="K235" s="117"/>
      <c r="L235" s="85"/>
      <c r="M235" s="87"/>
      <c r="N235" s="120"/>
    </row>
    <row r="236" spans="2:14" s="14" customFormat="1" x14ac:dyDescent="0.2">
      <c r="B236" s="102" t="s">
        <v>305</v>
      </c>
      <c r="C236" s="9"/>
      <c r="D236" s="3"/>
      <c r="E236" s="3"/>
      <c r="F236" s="494"/>
      <c r="G236" s="3"/>
      <c r="H236" s="3"/>
      <c r="I236" s="10"/>
      <c r="J236" s="11"/>
      <c r="K236" s="12"/>
      <c r="L236" s="11"/>
      <c r="M236" s="13"/>
      <c r="N236" s="89">
        <f>SUM(N237:N240)</f>
        <v>432660</v>
      </c>
    </row>
    <row r="237" spans="2:14" s="14" customFormat="1" ht="15" customHeight="1" x14ac:dyDescent="0.2">
      <c r="B237" s="82" t="s">
        <v>939</v>
      </c>
      <c r="C237" s="81">
        <f>DATE(96,4,26)</f>
        <v>35181</v>
      </c>
      <c r="D237" s="82" t="s">
        <v>391</v>
      </c>
      <c r="E237" s="465" t="s">
        <v>828</v>
      </c>
      <c r="F237" s="495" t="s">
        <v>580</v>
      </c>
      <c r="G237" s="465" t="s">
        <v>305</v>
      </c>
      <c r="H237" s="465" t="s">
        <v>374</v>
      </c>
      <c r="I237" s="83" t="s">
        <v>492</v>
      </c>
      <c r="J237" s="85" t="s">
        <v>528</v>
      </c>
      <c r="K237" s="86" t="s">
        <v>581</v>
      </c>
      <c r="L237" s="85" t="s">
        <v>302</v>
      </c>
      <c r="M237" s="87">
        <v>80000</v>
      </c>
      <c r="N237" s="88">
        <v>80000</v>
      </c>
    </row>
    <row r="238" spans="2:14" ht="15" customHeight="1" x14ac:dyDescent="0.2">
      <c r="B238" s="82" t="s">
        <v>931</v>
      </c>
      <c r="C238" s="81">
        <f>DATE(96,3,24)</f>
        <v>35148</v>
      </c>
      <c r="D238" s="82" t="s">
        <v>361</v>
      </c>
      <c r="E238" s="465" t="s">
        <v>294</v>
      </c>
      <c r="F238" s="495" t="s">
        <v>579</v>
      </c>
      <c r="G238" s="465" t="s">
        <v>305</v>
      </c>
      <c r="H238" s="465" t="s">
        <v>374</v>
      </c>
      <c r="I238" s="83">
        <v>0.03</v>
      </c>
      <c r="J238" s="85" t="s">
        <v>578</v>
      </c>
      <c r="K238" s="86" t="s">
        <v>425</v>
      </c>
      <c r="L238" s="85" t="s">
        <v>366</v>
      </c>
      <c r="M238" s="87">
        <v>16624000</v>
      </c>
      <c r="N238" s="88">
        <v>155670</v>
      </c>
    </row>
    <row r="239" spans="2:14" ht="15" customHeight="1" x14ac:dyDescent="0.2">
      <c r="B239" s="82" t="s">
        <v>591</v>
      </c>
      <c r="C239" s="81">
        <f>DATE(96,6,5)</f>
        <v>35221</v>
      </c>
      <c r="D239" s="82" t="s">
        <v>628</v>
      </c>
      <c r="E239" s="465" t="s">
        <v>294</v>
      </c>
      <c r="F239" s="495" t="s">
        <v>588</v>
      </c>
      <c r="G239" s="465" t="s">
        <v>305</v>
      </c>
      <c r="H239" s="465" t="s">
        <v>374</v>
      </c>
      <c r="I239" s="93" t="s">
        <v>589</v>
      </c>
      <c r="J239" s="85" t="s">
        <v>578</v>
      </c>
      <c r="K239" s="86" t="s">
        <v>590</v>
      </c>
      <c r="L239" s="85" t="s">
        <v>470</v>
      </c>
      <c r="M239" s="87">
        <v>83000</v>
      </c>
      <c r="N239" s="88">
        <v>54050</v>
      </c>
    </row>
    <row r="240" spans="2:14" ht="15" customHeight="1" x14ac:dyDescent="0.2">
      <c r="B240" s="82" t="s">
        <v>934</v>
      </c>
      <c r="C240" s="113">
        <v>35427</v>
      </c>
      <c r="D240" s="82" t="s">
        <v>361</v>
      </c>
      <c r="E240" s="465" t="s">
        <v>294</v>
      </c>
      <c r="F240" s="495" t="s">
        <v>615</v>
      </c>
      <c r="G240" s="465" t="s">
        <v>305</v>
      </c>
      <c r="H240" s="465" t="s">
        <v>374</v>
      </c>
      <c r="I240" s="93" t="s">
        <v>613</v>
      </c>
      <c r="J240" s="85" t="s">
        <v>333</v>
      </c>
      <c r="K240" s="86" t="s">
        <v>614</v>
      </c>
      <c r="L240" s="85" t="s">
        <v>366</v>
      </c>
      <c r="M240" s="87">
        <v>16421000</v>
      </c>
      <c r="N240" s="88">
        <v>142940</v>
      </c>
    </row>
    <row r="241" spans="2:14" ht="13.5" thickBot="1" x14ac:dyDescent="0.25">
      <c r="B241" s="126"/>
      <c r="C241" s="127"/>
      <c r="D241" s="126"/>
      <c r="E241" s="137"/>
      <c r="F241" s="500"/>
      <c r="G241" s="137"/>
      <c r="H241" s="137"/>
      <c r="I241" s="130"/>
      <c r="J241" s="131"/>
      <c r="K241" s="132"/>
      <c r="L241" s="131"/>
      <c r="M241" s="100"/>
      <c r="N241" s="101"/>
    </row>
    <row r="242" spans="2:14" ht="13.5" thickTop="1" x14ac:dyDescent="0.2">
      <c r="B242" s="336"/>
      <c r="C242" s="335"/>
      <c r="D242" s="336"/>
      <c r="E242" s="467"/>
      <c r="F242" s="491"/>
      <c r="G242" s="467"/>
      <c r="H242" s="467"/>
      <c r="I242" s="337"/>
      <c r="J242" s="331"/>
      <c r="K242" s="338"/>
      <c r="L242" s="339"/>
      <c r="M242" s="332"/>
      <c r="N242" s="334"/>
    </row>
    <row r="243" spans="2:14" s="256" customFormat="1" ht="18" x14ac:dyDescent="0.25">
      <c r="B243" s="257">
        <v>1997</v>
      </c>
      <c r="C243" s="258"/>
      <c r="D243" s="257"/>
      <c r="E243" s="468"/>
      <c r="F243" s="493"/>
      <c r="G243" s="468"/>
      <c r="H243" s="468"/>
      <c r="I243" s="252"/>
      <c r="J243" s="253"/>
      <c r="K243" s="254"/>
      <c r="L243" s="253"/>
      <c r="M243" s="255"/>
      <c r="N243" s="250">
        <f>+N244+N250+N260+N263+N266+N270+N277+N280+N285</f>
        <v>1707527</v>
      </c>
    </row>
    <row r="244" spans="2:14" s="14" customFormat="1" x14ac:dyDescent="0.2">
      <c r="B244" s="102" t="s">
        <v>296</v>
      </c>
      <c r="C244" s="9"/>
      <c r="D244" s="3"/>
      <c r="E244" s="3"/>
      <c r="F244" s="494"/>
      <c r="G244" s="3"/>
      <c r="H244" s="3"/>
      <c r="I244" s="10"/>
      <c r="J244" s="11"/>
      <c r="K244" s="12"/>
      <c r="L244" s="11"/>
      <c r="M244" s="13"/>
      <c r="N244" s="89">
        <f>SUM(N245:N248)</f>
        <v>150800</v>
      </c>
    </row>
    <row r="245" spans="2:14" s="14" customFormat="1" ht="15" customHeight="1" x14ac:dyDescent="0.2">
      <c r="B245" s="115" t="s">
        <v>655</v>
      </c>
      <c r="C245" s="113">
        <v>35521</v>
      </c>
      <c r="D245" s="115" t="s">
        <v>1046</v>
      </c>
      <c r="E245" s="54" t="s">
        <v>828</v>
      </c>
      <c r="F245" s="499" t="s">
        <v>653</v>
      </c>
      <c r="G245" s="54" t="s">
        <v>296</v>
      </c>
      <c r="H245" s="54" t="s">
        <v>966</v>
      </c>
      <c r="I245" s="55" t="s">
        <v>411</v>
      </c>
      <c r="J245" s="92" t="s">
        <v>650</v>
      </c>
      <c r="K245" s="117" t="s">
        <v>654</v>
      </c>
      <c r="L245" s="92" t="s">
        <v>302</v>
      </c>
      <c r="M245" s="133">
        <v>51000</v>
      </c>
      <c r="N245" s="122">
        <v>51000</v>
      </c>
    </row>
    <row r="246" spans="2:14" s="14" customFormat="1" ht="15" customHeight="1" x14ac:dyDescent="0.2">
      <c r="B246" s="115" t="s">
        <v>664</v>
      </c>
      <c r="C246" s="113">
        <v>35719</v>
      </c>
      <c r="D246" s="115" t="s">
        <v>1047</v>
      </c>
      <c r="E246" s="54" t="s">
        <v>828</v>
      </c>
      <c r="F246" s="499" t="s">
        <v>663</v>
      </c>
      <c r="G246" s="54" t="s">
        <v>296</v>
      </c>
      <c r="H246" s="54" t="s">
        <v>322</v>
      </c>
      <c r="I246" s="55" t="s">
        <v>341</v>
      </c>
      <c r="J246" s="92" t="s">
        <v>610</v>
      </c>
      <c r="K246" s="117" t="s">
        <v>481</v>
      </c>
      <c r="L246" s="92" t="s">
        <v>302</v>
      </c>
      <c r="M246" s="119">
        <v>45600</v>
      </c>
      <c r="N246" s="120">
        <v>45600</v>
      </c>
    </row>
    <row r="247" spans="2:14" ht="15" customHeight="1" x14ac:dyDescent="0.2">
      <c r="B247" s="115" t="s">
        <v>677</v>
      </c>
      <c r="C247" s="113">
        <v>35745</v>
      </c>
      <c r="D247" s="115" t="s">
        <v>361</v>
      </c>
      <c r="E247" s="54" t="s">
        <v>294</v>
      </c>
      <c r="F247" s="499" t="s">
        <v>1766</v>
      </c>
      <c r="G247" s="54" t="s">
        <v>296</v>
      </c>
      <c r="H247" s="54" t="s">
        <v>322</v>
      </c>
      <c r="I247" s="55" t="s">
        <v>673</v>
      </c>
      <c r="J247" s="92" t="s">
        <v>661</v>
      </c>
      <c r="K247" s="117" t="s">
        <v>670</v>
      </c>
      <c r="L247" s="92" t="s">
        <v>366</v>
      </c>
      <c r="M247" s="119">
        <v>5677000</v>
      </c>
      <c r="N247" s="120">
        <v>45700</v>
      </c>
    </row>
    <row r="248" spans="2:14" ht="15" customHeight="1" x14ac:dyDescent="0.2">
      <c r="B248" s="115" t="s">
        <v>682</v>
      </c>
      <c r="C248" s="113">
        <v>35763</v>
      </c>
      <c r="D248" s="115" t="s">
        <v>628</v>
      </c>
      <c r="E248" s="54" t="s">
        <v>294</v>
      </c>
      <c r="F248" s="499" t="s">
        <v>681</v>
      </c>
      <c r="G248" s="54" t="s">
        <v>296</v>
      </c>
      <c r="H248" s="54" t="s">
        <v>543</v>
      </c>
      <c r="I248" s="125" t="s">
        <v>1037</v>
      </c>
      <c r="J248" s="92" t="s">
        <v>323</v>
      </c>
      <c r="K248" s="117" t="s">
        <v>468</v>
      </c>
      <c r="L248" s="92" t="s">
        <v>470</v>
      </c>
      <c r="M248" s="119">
        <v>15000</v>
      </c>
      <c r="N248" s="120">
        <v>8500</v>
      </c>
    </row>
    <row r="249" spans="2:14" x14ac:dyDescent="0.2">
      <c r="B249" s="115"/>
      <c r="C249" s="113"/>
      <c r="D249" s="115"/>
      <c r="E249" s="54"/>
      <c r="F249" s="499"/>
      <c r="G249" s="54"/>
      <c r="H249" s="54"/>
      <c r="I249" s="55"/>
      <c r="J249" s="92"/>
      <c r="K249" s="117"/>
      <c r="L249" s="92"/>
      <c r="M249" s="119"/>
      <c r="N249" s="120"/>
    </row>
    <row r="250" spans="2:14" s="14" customFormat="1" x14ac:dyDescent="0.2">
      <c r="B250" s="102" t="s">
        <v>340</v>
      </c>
      <c r="C250" s="9"/>
      <c r="D250" s="3"/>
      <c r="E250" s="3"/>
      <c r="F250" s="494"/>
      <c r="G250" s="3"/>
      <c r="H250" s="3"/>
      <c r="I250" s="10"/>
      <c r="J250" s="11"/>
      <c r="K250" s="12"/>
      <c r="L250" s="11"/>
      <c r="M250" s="13"/>
      <c r="N250" s="89">
        <f>SUM(N251:N258)</f>
        <v>861750</v>
      </c>
    </row>
    <row r="251" spans="2:14" ht="15" customHeight="1" x14ac:dyDescent="0.2">
      <c r="B251" s="115" t="s">
        <v>651</v>
      </c>
      <c r="C251" s="113">
        <v>35488</v>
      </c>
      <c r="D251" s="115" t="s">
        <v>459</v>
      </c>
      <c r="E251" s="54" t="s">
        <v>294</v>
      </c>
      <c r="F251" s="499" t="s">
        <v>1126</v>
      </c>
      <c r="G251" s="54" t="s">
        <v>340</v>
      </c>
      <c r="H251" s="54" t="s">
        <v>298</v>
      </c>
      <c r="I251" s="55" t="s">
        <v>1141</v>
      </c>
      <c r="J251" s="92" t="s">
        <v>650</v>
      </c>
      <c r="K251" s="117" t="s">
        <v>575</v>
      </c>
      <c r="L251" s="92" t="s">
        <v>366</v>
      </c>
      <c r="M251" s="133">
        <v>38000</v>
      </c>
      <c r="N251" s="122">
        <v>38000</v>
      </c>
    </row>
    <row r="252" spans="2:14" ht="15" customHeight="1" x14ac:dyDescent="0.2">
      <c r="B252" s="115" t="s">
        <v>652</v>
      </c>
      <c r="C252" s="113">
        <v>35488</v>
      </c>
      <c r="D252" s="115" t="s">
        <v>459</v>
      </c>
      <c r="E252" s="54" t="s">
        <v>294</v>
      </c>
      <c r="F252" s="499" t="s">
        <v>1112</v>
      </c>
      <c r="G252" s="54" t="s">
        <v>340</v>
      </c>
      <c r="H252" s="54" t="s">
        <v>298</v>
      </c>
      <c r="I252" s="55" t="s">
        <v>1141</v>
      </c>
      <c r="J252" s="92" t="s">
        <v>610</v>
      </c>
      <c r="K252" s="117" t="s">
        <v>648</v>
      </c>
      <c r="L252" s="92" t="s">
        <v>366</v>
      </c>
      <c r="M252" s="133">
        <v>80000</v>
      </c>
      <c r="N252" s="122">
        <v>80000</v>
      </c>
    </row>
    <row r="253" spans="2:14" ht="15" customHeight="1" x14ac:dyDescent="0.2">
      <c r="B253" s="115" t="s">
        <v>640</v>
      </c>
      <c r="C253" s="113">
        <v>35469</v>
      </c>
      <c r="D253" s="115" t="s">
        <v>1048</v>
      </c>
      <c r="E253" s="54" t="s">
        <v>828</v>
      </c>
      <c r="F253" s="499" t="s">
        <v>639</v>
      </c>
      <c r="G253" s="54" t="s">
        <v>340</v>
      </c>
      <c r="H253" s="54" t="s">
        <v>298</v>
      </c>
      <c r="I253" s="55" t="s">
        <v>341</v>
      </c>
      <c r="J253" s="92" t="s">
        <v>625</v>
      </c>
      <c r="K253" s="117" t="s">
        <v>626</v>
      </c>
      <c r="L253" s="92" t="s">
        <v>302</v>
      </c>
      <c r="M253" s="133">
        <v>235500</v>
      </c>
      <c r="N253" s="122">
        <v>235500</v>
      </c>
    </row>
    <row r="254" spans="2:14" ht="15" customHeight="1" x14ac:dyDescent="0.2">
      <c r="B254" s="115" t="s">
        <v>649</v>
      </c>
      <c r="C254" s="113">
        <v>35480</v>
      </c>
      <c r="D254" s="115" t="s">
        <v>1049</v>
      </c>
      <c r="E254" s="54" t="s">
        <v>828</v>
      </c>
      <c r="F254" s="499" t="s">
        <v>840</v>
      </c>
      <c r="G254" s="54" t="s">
        <v>340</v>
      </c>
      <c r="H254" s="54" t="s">
        <v>298</v>
      </c>
      <c r="I254" s="55" t="s">
        <v>411</v>
      </c>
      <c r="J254" s="92" t="s">
        <v>610</v>
      </c>
      <c r="K254" s="117" t="s">
        <v>648</v>
      </c>
      <c r="L254" s="92" t="s">
        <v>302</v>
      </c>
      <c r="M254" s="133">
        <v>183000</v>
      </c>
      <c r="N254" s="122">
        <v>183000</v>
      </c>
    </row>
    <row r="255" spans="2:14" ht="15" customHeight="1" x14ac:dyDescent="0.2">
      <c r="B255" s="115" t="s">
        <v>649</v>
      </c>
      <c r="C255" s="113">
        <v>35481</v>
      </c>
      <c r="D255" s="115" t="s">
        <v>1049</v>
      </c>
      <c r="E255" s="54" t="s">
        <v>828</v>
      </c>
      <c r="F255" s="499" t="s">
        <v>840</v>
      </c>
      <c r="G255" s="54" t="s">
        <v>340</v>
      </c>
      <c r="H255" s="54" t="s">
        <v>298</v>
      </c>
      <c r="I255" s="55" t="s">
        <v>411</v>
      </c>
      <c r="J255" s="92" t="s">
        <v>610</v>
      </c>
      <c r="K255" s="117" t="s">
        <v>648</v>
      </c>
      <c r="L255" s="92" t="s">
        <v>302</v>
      </c>
      <c r="M255" s="133">
        <v>100000</v>
      </c>
      <c r="N255" s="122">
        <v>100000</v>
      </c>
    </row>
    <row r="256" spans="2:14" ht="15" customHeight="1" x14ac:dyDescent="0.2">
      <c r="B256" s="22" t="s">
        <v>638</v>
      </c>
      <c r="C256" s="113">
        <v>35423</v>
      </c>
      <c r="D256" s="115" t="s">
        <v>636</v>
      </c>
      <c r="E256" s="54" t="s">
        <v>828</v>
      </c>
      <c r="F256" s="499" t="s">
        <v>637</v>
      </c>
      <c r="G256" s="54" t="s">
        <v>340</v>
      </c>
      <c r="H256" s="54" t="s">
        <v>298</v>
      </c>
      <c r="I256" s="55" t="s">
        <v>636</v>
      </c>
      <c r="J256" s="92" t="s">
        <v>841</v>
      </c>
      <c r="K256" s="117" t="s">
        <v>625</v>
      </c>
      <c r="L256" s="92" t="s">
        <v>430</v>
      </c>
      <c r="M256" s="133">
        <v>160500</v>
      </c>
      <c r="N256" s="122">
        <v>221800</v>
      </c>
    </row>
    <row r="257" spans="2:14" ht="15" customHeight="1" x14ac:dyDescent="0.2">
      <c r="B257" s="115" t="s">
        <v>696</v>
      </c>
      <c r="C257" s="113">
        <v>35780</v>
      </c>
      <c r="D257" s="115" t="s">
        <v>1050</v>
      </c>
      <c r="E257" s="54" t="s">
        <v>828</v>
      </c>
      <c r="F257" s="499" t="s">
        <v>843</v>
      </c>
      <c r="G257" s="54" t="s">
        <v>340</v>
      </c>
      <c r="H257" s="54" t="s">
        <v>298</v>
      </c>
      <c r="I257" s="55" t="s">
        <v>341</v>
      </c>
      <c r="J257" s="92" t="s">
        <v>695</v>
      </c>
      <c r="K257" s="117" t="s">
        <v>670</v>
      </c>
      <c r="L257" s="92" t="s">
        <v>302</v>
      </c>
      <c r="M257" s="119">
        <v>750</v>
      </c>
      <c r="N257" s="120">
        <v>750</v>
      </c>
    </row>
    <row r="258" spans="2:14" ht="15" customHeight="1" x14ac:dyDescent="0.2">
      <c r="B258" s="115" t="s">
        <v>698</v>
      </c>
      <c r="C258" s="113">
        <v>35782</v>
      </c>
      <c r="D258" s="115" t="s">
        <v>1051</v>
      </c>
      <c r="E258" s="54" t="s">
        <v>828</v>
      </c>
      <c r="F258" s="499" t="s">
        <v>844</v>
      </c>
      <c r="G258" s="54" t="s">
        <v>340</v>
      </c>
      <c r="H258" s="54" t="s">
        <v>697</v>
      </c>
      <c r="I258" s="55" t="s">
        <v>341</v>
      </c>
      <c r="J258" s="92" t="s">
        <v>689</v>
      </c>
      <c r="K258" s="117" t="s">
        <v>513</v>
      </c>
      <c r="L258" s="92" t="s">
        <v>302</v>
      </c>
      <c r="M258" s="119">
        <v>2700</v>
      </c>
      <c r="N258" s="120">
        <v>2700</v>
      </c>
    </row>
    <row r="259" spans="2:14" x14ac:dyDescent="0.2">
      <c r="B259" s="115"/>
      <c r="C259" s="113"/>
      <c r="D259" s="115"/>
      <c r="E259" s="54"/>
      <c r="F259" s="499"/>
      <c r="G259" s="54"/>
      <c r="H259" s="54"/>
      <c r="I259" s="55"/>
      <c r="J259" s="92"/>
      <c r="K259" s="117"/>
      <c r="L259" s="92"/>
      <c r="M259" s="119"/>
      <c r="N259" s="120"/>
    </row>
    <row r="260" spans="2:14" s="14" customFormat="1" x14ac:dyDescent="0.2">
      <c r="B260" s="102" t="s">
        <v>621</v>
      </c>
      <c r="C260" s="9"/>
      <c r="D260" s="3"/>
      <c r="E260" s="3"/>
      <c r="F260" s="494"/>
      <c r="G260" s="3"/>
      <c r="H260" s="3"/>
      <c r="I260" s="10"/>
      <c r="J260" s="11"/>
      <c r="K260" s="12"/>
      <c r="L260" s="11"/>
      <c r="M260" s="13"/>
      <c r="N260" s="89">
        <f>SUM(N261)</f>
        <v>8390</v>
      </c>
    </row>
    <row r="261" spans="2:14" ht="15" customHeight="1" x14ac:dyDescent="0.2">
      <c r="B261" s="115" t="s">
        <v>703</v>
      </c>
      <c r="C261" s="113">
        <v>35805</v>
      </c>
      <c r="D261" s="115" t="s">
        <v>628</v>
      </c>
      <c r="E261" s="54" t="s">
        <v>294</v>
      </c>
      <c r="F261" s="499" t="s">
        <v>701</v>
      </c>
      <c r="G261" s="54" t="s">
        <v>621</v>
      </c>
      <c r="H261" s="54" t="s">
        <v>702</v>
      </c>
      <c r="I261" s="125">
        <v>7.4999999999999997E-3</v>
      </c>
      <c r="J261" s="92" t="s">
        <v>323</v>
      </c>
      <c r="K261" s="117" t="s">
        <v>468</v>
      </c>
      <c r="L261" s="92" t="s">
        <v>470</v>
      </c>
      <c r="M261" s="119">
        <v>15000</v>
      </c>
      <c r="N261" s="120">
        <v>8390</v>
      </c>
    </row>
    <row r="262" spans="2:14" x14ac:dyDescent="0.2">
      <c r="B262" s="115"/>
      <c r="C262" s="113"/>
      <c r="D262" s="115"/>
      <c r="E262" s="54"/>
      <c r="F262" s="499"/>
      <c r="G262" s="54"/>
      <c r="H262" s="54"/>
      <c r="I262" s="125"/>
      <c r="J262" s="92"/>
      <c r="K262" s="117"/>
      <c r="L262" s="92"/>
      <c r="M262" s="119"/>
      <c r="N262" s="120"/>
    </row>
    <row r="263" spans="2:14" s="14" customFormat="1" x14ac:dyDescent="0.2">
      <c r="B263" s="102" t="s">
        <v>353</v>
      </c>
      <c r="C263" s="9"/>
      <c r="D263" s="3"/>
      <c r="E263" s="3"/>
      <c r="F263" s="494"/>
      <c r="G263" s="3"/>
      <c r="H263" s="3"/>
      <c r="I263" s="10"/>
      <c r="J263" s="11"/>
      <c r="K263" s="12"/>
      <c r="L263" s="11"/>
      <c r="M263" s="13"/>
      <c r="N263" s="89">
        <f>SUM(N264)</f>
        <v>81630</v>
      </c>
    </row>
    <row r="264" spans="2:14" ht="15" customHeight="1" x14ac:dyDescent="0.2">
      <c r="B264" s="115" t="s">
        <v>671</v>
      </c>
      <c r="C264" s="113">
        <v>35745</v>
      </c>
      <c r="D264" s="115" t="s">
        <v>361</v>
      </c>
      <c r="E264" s="54" t="s">
        <v>294</v>
      </c>
      <c r="F264" s="499" t="s">
        <v>667</v>
      </c>
      <c r="G264" s="54" t="s">
        <v>353</v>
      </c>
      <c r="H264" s="54" t="s">
        <v>668</v>
      </c>
      <c r="I264" s="55" t="s">
        <v>669</v>
      </c>
      <c r="J264" s="92" t="s">
        <v>661</v>
      </c>
      <c r="K264" s="117" t="s">
        <v>670</v>
      </c>
      <c r="L264" s="92" t="s">
        <v>366</v>
      </c>
      <c r="M264" s="119">
        <v>10140000</v>
      </c>
      <c r="N264" s="120">
        <v>81630</v>
      </c>
    </row>
    <row r="265" spans="2:14" x14ac:dyDescent="0.2">
      <c r="B265" s="115"/>
      <c r="C265" s="113"/>
      <c r="D265" s="115"/>
      <c r="E265" s="54"/>
      <c r="F265" s="499"/>
      <c r="G265" s="54"/>
      <c r="H265" s="54"/>
      <c r="I265" s="55"/>
      <c r="J265" s="92"/>
      <c r="K265" s="117"/>
      <c r="L265" s="92"/>
      <c r="M265" s="119"/>
      <c r="N265" s="120"/>
    </row>
    <row r="266" spans="2:14" s="14" customFormat="1" x14ac:dyDescent="0.2">
      <c r="B266" s="102" t="s">
        <v>684</v>
      </c>
      <c r="C266" s="9"/>
      <c r="D266" s="3"/>
      <c r="E266" s="3"/>
      <c r="F266" s="494"/>
      <c r="G266" s="3"/>
      <c r="H266" s="3"/>
      <c r="I266" s="10"/>
      <c r="J266" s="11"/>
      <c r="K266" s="12"/>
      <c r="L266" s="11"/>
      <c r="M266" s="13"/>
      <c r="N266" s="89">
        <f>SUM(N267:N268)</f>
        <v>42500</v>
      </c>
    </row>
    <row r="267" spans="2:14" ht="15" customHeight="1" x14ac:dyDescent="0.2">
      <c r="B267" s="115" t="s">
        <v>686</v>
      </c>
      <c r="C267" s="113">
        <v>35775</v>
      </c>
      <c r="D267" s="115" t="s">
        <v>1052</v>
      </c>
      <c r="E267" s="54" t="s">
        <v>828</v>
      </c>
      <c r="F267" s="499" t="s">
        <v>683</v>
      </c>
      <c r="G267" s="54" t="s">
        <v>684</v>
      </c>
      <c r="H267" s="54" t="s">
        <v>685</v>
      </c>
      <c r="I267" s="55" t="s">
        <v>341</v>
      </c>
      <c r="J267" s="92" t="s">
        <v>610</v>
      </c>
      <c r="K267" s="117" t="s">
        <v>481</v>
      </c>
      <c r="L267" s="92" t="s">
        <v>302</v>
      </c>
      <c r="M267" s="119">
        <v>20000</v>
      </c>
      <c r="N267" s="120">
        <v>20000</v>
      </c>
    </row>
    <row r="268" spans="2:14" ht="15" customHeight="1" x14ac:dyDescent="0.2">
      <c r="B268" s="115" t="s">
        <v>694</v>
      </c>
      <c r="C268" s="113">
        <v>35779</v>
      </c>
      <c r="D268" s="115" t="s">
        <v>1053</v>
      </c>
      <c r="E268" s="54" t="s">
        <v>828</v>
      </c>
      <c r="F268" s="499" t="s">
        <v>693</v>
      </c>
      <c r="G268" s="54" t="s">
        <v>684</v>
      </c>
      <c r="H268" s="54" t="s">
        <v>685</v>
      </c>
      <c r="I268" s="55" t="s">
        <v>411</v>
      </c>
      <c r="J268" s="92" t="s">
        <v>610</v>
      </c>
      <c r="K268" s="117" t="s">
        <v>648</v>
      </c>
      <c r="L268" s="92" t="s">
        <v>302</v>
      </c>
      <c r="M268" s="119">
        <v>22500</v>
      </c>
      <c r="N268" s="120">
        <v>22500</v>
      </c>
    </row>
    <row r="269" spans="2:14" x14ac:dyDescent="0.2">
      <c r="B269" s="115"/>
      <c r="C269" s="113"/>
      <c r="D269" s="115"/>
      <c r="E269" s="54"/>
      <c r="F269" s="499"/>
      <c r="G269" s="54"/>
      <c r="H269" s="54"/>
      <c r="I269" s="55"/>
      <c r="J269" s="92"/>
      <c r="K269" s="117"/>
      <c r="L269" s="92"/>
      <c r="M269" s="119"/>
      <c r="N269" s="120"/>
    </row>
    <row r="270" spans="2:14" s="14" customFormat="1" x14ac:dyDescent="0.2">
      <c r="B270" s="102" t="s">
        <v>688</v>
      </c>
      <c r="C270" s="9"/>
      <c r="D270" s="3"/>
      <c r="E270" s="3"/>
      <c r="F270" s="494"/>
      <c r="G270" s="3"/>
      <c r="H270" s="3"/>
      <c r="I270" s="10"/>
      <c r="J270" s="11"/>
      <c r="K270" s="12"/>
      <c r="L270" s="11"/>
      <c r="M270" s="13"/>
      <c r="N270" s="89">
        <f>SUM(N271:N275)</f>
        <v>341577</v>
      </c>
    </row>
    <row r="271" spans="2:14" s="14" customFormat="1" ht="15" customHeight="1" x14ac:dyDescent="0.2">
      <c r="B271" s="22" t="s">
        <v>646</v>
      </c>
      <c r="C271" s="113">
        <v>35474</v>
      </c>
      <c r="D271" s="115" t="s">
        <v>641</v>
      </c>
      <c r="E271" s="54" t="s">
        <v>895</v>
      </c>
      <c r="F271" s="499" t="s">
        <v>642</v>
      </c>
      <c r="G271" s="54" t="s">
        <v>688</v>
      </c>
      <c r="H271" s="54" t="s">
        <v>496</v>
      </c>
      <c r="I271" s="55" t="s">
        <v>643</v>
      </c>
      <c r="J271" s="92" t="s">
        <v>644</v>
      </c>
      <c r="K271" s="117" t="s">
        <v>645</v>
      </c>
      <c r="L271" s="92" t="s">
        <v>647</v>
      </c>
      <c r="M271" s="133">
        <v>16407</v>
      </c>
      <c r="N271" s="122">
        <v>16407</v>
      </c>
    </row>
    <row r="272" spans="2:14" s="14" customFormat="1" ht="15" customHeight="1" x14ac:dyDescent="0.2">
      <c r="B272" s="115" t="s">
        <v>662</v>
      </c>
      <c r="C272" s="113">
        <v>35610</v>
      </c>
      <c r="D272" s="115" t="s">
        <v>391</v>
      </c>
      <c r="E272" s="54" t="s">
        <v>828</v>
      </c>
      <c r="F272" s="499" t="s">
        <v>658</v>
      </c>
      <c r="G272" s="54" t="s">
        <v>688</v>
      </c>
      <c r="H272" s="54" t="s">
        <v>518</v>
      </c>
      <c r="I272" s="55" t="s">
        <v>659</v>
      </c>
      <c r="J272" s="92" t="s">
        <v>660</v>
      </c>
      <c r="K272" s="117" t="s">
        <v>661</v>
      </c>
      <c r="L272" s="92" t="s">
        <v>302</v>
      </c>
      <c r="M272" s="119">
        <v>17100</v>
      </c>
      <c r="N272" s="120">
        <v>17100</v>
      </c>
    </row>
    <row r="273" spans="2:14" ht="15" customHeight="1" x14ac:dyDescent="0.2">
      <c r="B273" s="115" t="s">
        <v>700</v>
      </c>
      <c r="C273" s="113">
        <v>35783</v>
      </c>
      <c r="D273" s="115" t="s">
        <v>628</v>
      </c>
      <c r="E273" s="54" t="s">
        <v>294</v>
      </c>
      <c r="F273" s="499" t="s">
        <v>699</v>
      </c>
      <c r="G273" s="54" t="s">
        <v>688</v>
      </c>
      <c r="H273" s="54" t="s">
        <v>518</v>
      </c>
      <c r="I273" s="125">
        <v>0.02</v>
      </c>
      <c r="J273" s="92" t="s">
        <v>323</v>
      </c>
      <c r="K273" s="117" t="s">
        <v>425</v>
      </c>
      <c r="L273" s="92" t="s">
        <v>470</v>
      </c>
      <c r="M273" s="119">
        <v>14300</v>
      </c>
      <c r="N273" s="120">
        <v>8070</v>
      </c>
    </row>
    <row r="274" spans="2:14" ht="15" customHeight="1" x14ac:dyDescent="0.2">
      <c r="B274" s="115" t="s">
        <v>691</v>
      </c>
      <c r="C274" s="113">
        <v>35776</v>
      </c>
      <c r="D274" s="115" t="s">
        <v>1054</v>
      </c>
      <c r="E274" s="54" t="s">
        <v>828</v>
      </c>
      <c r="F274" s="499" t="s">
        <v>687</v>
      </c>
      <c r="G274" s="54" t="s">
        <v>688</v>
      </c>
      <c r="H274" s="54" t="s">
        <v>298</v>
      </c>
      <c r="I274" s="55" t="s">
        <v>341</v>
      </c>
      <c r="J274" s="92" t="s">
        <v>689</v>
      </c>
      <c r="K274" s="117" t="s">
        <v>690</v>
      </c>
      <c r="L274" s="92" t="s">
        <v>302</v>
      </c>
      <c r="M274" s="119">
        <v>150000</v>
      </c>
      <c r="N274" s="120">
        <v>150000</v>
      </c>
    </row>
    <row r="275" spans="2:14" ht="15" customHeight="1" x14ac:dyDescent="0.2">
      <c r="B275" s="115" t="s">
        <v>692</v>
      </c>
      <c r="C275" s="113">
        <v>35776</v>
      </c>
      <c r="D275" s="115" t="s">
        <v>1055</v>
      </c>
      <c r="E275" s="54" t="s">
        <v>828</v>
      </c>
      <c r="F275" s="499" t="s">
        <v>687</v>
      </c>
      <c r="G275" s="54" t="s">
        <v>688</v>
      </c>
      <c r="H275" s="54" t="s">
        <v>298</v>
      </c>
      <c r="I275" s="55" t="s">
        <v>411</v>
      </c>
      <c r="J275" s="92" t="s">
        <v>610</v>
      </c>
      <c r="K275" s="117" t="s">
        <v>648</v>
      </c>
      <c r="L275" s="92" t="s">
        <v>302</v>
      </c>
      <c r="M275" s="119">
        <v>150000</v>
      </c>
      <c r="N275" s="120">
        <v>150000</v>
      </c>
    </row>
    <row r="276" spans="2:14" x14ac:dyDescent="0.2">
      <c r="B276" s="22"/>
      <c r="C276" s="113"/>
      <c r="D276" s="115"/>
      <c r="E276" s="54"/>
      <c r="F276" s="499"/>
      <c r="G276" s="54"/>
      <c r="H276" s="54"/>
      <c r="I276" s="55"/>
      <c r="J276" s="92"/>
      <c r="K276" s="117"/>
      <c r="L276" s="92"/>
      <c r="M276" s="133"/>
      <c r="N276" s="122"/>
    </row>
    <row r="277" spans="2:14" s="14" customFormat="1" x14ac:dyDescent="0.2">
      <c r="B277" s="102" t="s">
        <v>381</v>
      </c>
      <c r="C277" s="9"/>
      <c r="D277" s="3"/>
      <c r="E277" s="3"/>
      <c r="F277" s="494"/>
      <c r="G277" s="3"/>
      <c r="H277" s="3"/>
      <c r="I277" s="10"/>
      <c r="J277" s="11"/>
      <c r="K277" s="12"/>
      <c r="L277" s="11"/>
      <c r="M277" s="13"/>
      <c r="N277" s="89">
        <f>SUM(N278)</f>
        <v>93700</v>
      </c>
    </row>
    <row r="278" spans="2:14" ht="15" customHeight="1" x14ac:dyDescent="0.2">
      <c r="B278" s="115" t="s">
        <v>674</v>
      </c>
      <c r="C278" s="113">
        <v>35745</v>
      </c>
      <c r="D278" s="115" t="s">
        <v>361</v>
      </c>
      <c r="E278" s="54" t="s">
        <v>294</v>
      </c>
      <c r="F278" s="499" t="s">
        <v>672</v>
      </c>
      <c r="G278" s="54" t="s">
        <v>381</v>
      </c>
      <c r="H278" s="54" t="s">
        <v>382</v>
      </c>
      <c r="I278" s="55" t="s">
        <v>673</v>
      </c>
      <c r="J278" s="92" t="s">
        <v>661</v>
      </c>
      <c r="K278" s="117" t="s">
        <v>670</v>
      </c>
      <c r="L278" s="92" t="s">
        <v>366</v>
      </c>
      <c r="M278" s="119">
        <v>11640000</v>
      </c>
      <c r="N278" s="120">
        <v>93700</v>
      </c>
    </row>
    <row r="279" spans="2:14" x14ac:dyDescent="0.2">
      <c r="B279" s="115"/>
      <c r="C279" s="113"/>
      <c r="D279" s="115"/>
      <c r="E279" s="54"/>
      <c r="F279" s="499"/>
      <c r="G279" s="54"/>
      <c r="H279" s="54"/>
      <c r="I279" s="55"/>
      <c r="J279" s="92"/>
      <c r="K279" s="117"/>
      <c r="L279" s="92"/>
      <c r="M279" s="119"/>
      <c r="N279" s="120"/>
    </row>
    <row r="280" spans="2:14" s="14" customFormat="1" x14ac:dyDescent="0.2">
      <c r="B280" s="102" t="s">
        <v>959</v>
      </c>
      <c r="C280" s="9"/>
      <c r="D280" s="3"/>
      <c r="E280" s="3"/>
      <c r="F280" s="494"/>
      <c r="G280" s="3"/>
      <c r="H280" s="3"/>
      <c r="I280" s="10"/>
      <c r="J280" s="11"/>
      <c r="K280" s="12"/>
      <c r="L280" s="11"/>
      <c r="M280" s="13"/>
      <c r="N280" s="89">
        <f>SUM(N281:N283)</f>
        <v>53250</v>
      </c>
    </row>
    <row r="281" spans="2:14" ht="15" customHeight="1" x14ac:dyDescent="0.2">
      <c r="B281" s="115" t="s">
        <v>657</v>
      </c>
      <c r="C281" s="113">
        <v>35571</v>
      </c>
      <c r="D281" s="115" t="s">
        <v>519</v>
      </c>
      <c r="E281" s="54" t="s">
        <v>828</v>
      </c>
      <c r="F281" s="499" t="s">
        <v>656</v>
      </c>
      <c r="G281" s="54" t="s">
        <v>959</v>
      </c>
      <c r="H281" s="54" t="s">
        <v>474</v>
      </c>
      <c r="I281" s="125">
        <v>0.04</v>
      </c>
      <c r="J281" s="92" t="s">
        <v>610</v>
      </c>
      <c r="K281" s="117" t="s">
        <v>648</v>
      </c>
      <c r="L281" s="92" t="s">
        <v>302</v>
      </c>
      <c r="M281" s="133">
        <v>5000</v>
      </c>
      <c r="N281" s="122">
        <v>5000</v>
      </c>
    </row>
    <row r="282" spans="2:14" ht="15" customHeight="1" x14ac:dyDescent="0.2">
      <c r="B282" s="115" t="s">
        <v>666</v>
      </c>
      <c r="C282" s="113">
        <v>35742</v>
      </c>
      <c r="D282" s="115" t="s">
        <v>1056</v>
      </c>
      <c r="E282" s="54" t="s">
        <v>828</v>
      </c>
      <c r="F282" s="499" t="s">
        <v>842</v>
      </c>
      <c r="G282" s="54" t="s">
        <v>959</v>
      </c>
      <c r="H282" s="54" t="s">
        <v>665</v>
      </c>
      <c r="I282" s="55" t="s">
        <v>341</v>
      </c>
      <c r="J282" s="92" t="s">
        <v>609</v>
      </c>
      <c r="K282" s="117" t="s">
        <v>610</v>
      </c>
      <c r="L282" s="92" t="s">
        <v>302</v>
      </c>
      <c r="M282" s="119">
        <v>140</v>
      </c>
      <c r="N282" s="120">
        <v>140</v>
      </c>
    </row>
    <row r="283" spans="2:14" ht="15" customHeight="1" x14ac:dyDescent="0.2">
      <c r="B283" s="115" t="s">
        <v>676</v>
      </c>
      <c r="C283" s="113">
        <v>35745</v>
      </c>
      <c r="D283" s="115" t="s">
        <v>361</v>
      </c>
      <c r="E283" s="54" t="s">
        <v>294</v>
      </c>
      <c r="F283" s="499" t="s">
        <v>1138</v>
      </c>
      <c r="G283" s="54" t="s">
        <v>959</v>
      </c>
      <c r="H283" s="54" t="s">
        <v>474</v>
      </c>
      <c r="I283" s="55" t="s">
        <v>675</v>
      </c>
      <c r="J283" s="92" t="s">
        <v>661</v>
      </c>
      <c r="K283" s="117" t="s">
        <v>670</v>
      </c>
      <c r="L283" s="92" t="s">
        <v>366</v>
      </c>
      <c r="M283" s="119">
        <v>5976000</v>
      </c>
      <c r="N283" s="120">
        <v>48110</v>
      </c>
    </row>
    <row r="284" spans="2:14" x14ac:dyDescent="0.2">
      <c r="B284" s="115"/>
      <c r="C284" s="113"/>
      <c r="D284" s="115"/>
      <c r="E284" s="54"/>
      <c r="F284" s="499"/>
      <c r="G284" s="54"/>
      <c r="H284" s="54"/>
      <c r="I284" s="55"/>
      <c r="J284" s="92"/>
      <c r="K284" s="117"/>
      <c r="L284" s="92"/>
      <c r="M284" s="119"/>
      <c r="N284" s="120"/>
    </row>
    <row r="285" spans="2:14" s="14" customFormat="1" x14ac:dyDescent="0.2">
      <c r="B285" s="102" t="s">
        <v>305</v>
      </c>
      <c r="C285" s="9"/>
      <c r="D285" s="3"/>
      <c r="E285" s="3"/>
      <c r="F285" s="494"/>
      <c r="G285" s="3"/>
      <c r="H285" s="3"/>
      <c r="I285" s="10"/>
      <c r="J285" s="11"/>
      <c r="K285" s="12"/>
      <c r="L285" s="11"/>
      <c r="M285" s="13"/>
      <c r="N285" s="89">
        <f>SUM(N286)</f>
        <v>73930</v>
      </c>
    </row>
    <row r="286" spans="2:14" ht="15" customHeight="1" thickBot="1" x14ac:dyDescent="0.25">
      <c r="B286" s="126" t="s">
        <v>680</v>
      </c>
      <c r="C286" s="127">
        <v>35745</v>
      </c>
      <c r="D286" s="126" t="s">
        <v>361</v>
      </c>
      <c r="E286" s="137" t="s">
        <v>294</v>
      </c>
      <c r="F286" s="500" t="s">
        <v>678</v>
      </c>
      <c r="G286" s="137" t="s">
        <v>305</v>
      </c>
      <c r="H286" s="137" t="s">
        <v>679</v>
      </c>
      <c r="I286" s="130" t="s">
        <v>669</v>
      </c>
      <c r="J286" s="131" t="s">
        <v>661</v>
      </c>
      <c r="K286" s="132" t="s">
        <v>670</v>
      </c>
      <c r="L286" s="131" t="s">
        <v>366</v>
      </c>
      <c r="M286" s="134">
        <v>9184000</v>
      </c>
      <c r="N286" s="135">
        <v>73930</v>
      </c>
    </row>
    <row r="287" spans="2:14" ht="13.5" thickTop="1" x14ac:dyDescent="0.2">
      <c r="B287" s="336"/>
      <c r="C287" s="335"/>
      <c r="D287" s="336"/>
      <c r="E287" s="467"/>
      <c r="F287" s="491"/>
      <c r="G287" s="467"/>
      <c r="H287" s="467"/>
      <c r="I287" s="337"/>
      <c r="J287" s="331"/>
      <c r="K287" s="338"/>
      <c r="L287" s="339"/>
      <c r="M287" s="332"/>
      <c r="N287" s="334"/>
    </row>
    <row r="288" spans="2:14" s="256" customFormat="1" ht="18" x14ac:dyDescent="0.25">
      <c r="B288" s="257">
        <v>1998</v>
      </c>
      <c r="C288" s="258"/>
      <c r="D288" s="257"/>
      <c r="E288" s="468"/>
      <c r="F288" s="493"/>
      <c r="G288" s="468"/>
      <c r="H288" s="468"/>
      <c r="I288" s="252"/>
      <c r="J288" s="253"/>
      <c r="K288" s="254"/>
      <c r="L288" s="253"/>
      <c r="M288" s="255"/>
      <c r="N288" s="250">
        <f>+N289+N292+N297+N304+N310+N301</f>
        <v>476619.02399999998</v>
      </c>
    </row>
    <row r="289" spans="2:14" s="14" customFormat="1" x14ac:dyDescent="0.2">
      <c r="B289" s="102" t="s">
        <v>296</v>
      </c>
      <c r="C289" s="9"/>
      <c r="D289" s="3"/>
      <c r="E289" s="3"/>
      <c r="F289" s="494"/>
      <c r="G289" s="3"/>
      <c r="H289" s="3"/>
      <c r="I289" s="10"/>
      <c r="J289" s="11"/>
      <c r="K289" s="12"/>
      <c r="L289" s="11"/>
      <c r="M289" s="13"/>
      <c r="N289" s="89">
        <f>SUM(N290:N290)</f>
        <v>50000</v>
      </c>
    </row>
    <row r="290" spans="2:14" ht="15" customHeight="1" x14ac:dyDescent="0.2">
      <c r="B290" s="115" t="s">
        <v>812</v>
      </c>
      <c r="C290" s="113">
        <v>36158</v>
      </c>
      <c r="D290" s="115" t="s">
        <v>741</v>
      </c>
      <c r="E290" s="54" t="s">
        <v>294</v>
      </c>
      <c r="F290" s="499" t="s">
        <v>810</v>
      </c>
      <c r="G290" s="54" t="s">
        <v>296</v>
      </c>
      <c r="H290" s="54" t="s">
        <v>811</v>
      </c>
      <c r="I290" s="55" t="s">
        <v>643</v>
      </c>
      <c r="J290" s="92" t="s">
        <v>772</v>
      </c>
      <c r="K290" s="117" t="s">
        <v>462</v>
      </c>
      <c r="L290" s="92" t="s">
        <v>302</v>
      </c>
      <c r="M290" s="119">
        <v>50000</v>
      </c>
      <c r="N290" s="120">
        <v>50000</v>
      </c>
    </row>
    <row r="291" spans="2:14" x14ac:dyDescent="0.2">
      <c r="B291" s="115"/>
      <c r="C291" s="113"/>
      <c r="D291" s="115"/>
      <c r="E291" s="54"/>
      <c r="F291" s="499"/>
      <c r="G291" s="54"/>
      <c r="H291" s="54"/>
      <c r="I291" s="55"/>
      <c r="J291" s="92"/>
      <c r="K291" s="117"/>
      <c r="L291" s="92"/>
      <c r="M291" s="119"/>
      <c r="N291" s="120"/>
    </row>
    <row r="292" spans="2:14" s="14" customFormat="1" x14ac:dyDescent="0.2">
      <c r="B292" s="102" t="s">
        <v>310</v>
      </c>
      <c r="C292" s="9"/>
      <c r="D292" s="3"/>
      <c r="E292" s="3"/>
      <c r="F292" s="494"/>
      <c r="G292" s="3"/>
      <c r="H292" s="3"/>
      <c r="I292" s="10"/>
      <c r="J292" s="11"/>
      <c r="K292" s="12"/>
      <c r="L292" s="11"/>
      <c r="M292" s="13"/>
      <c r="N292" s="89">
        <f>SUM(N293:N295)</f>
        <v>16073.023999999999</v>
      </c>
    </row>
    <row r="293" spans="2:14" ht="15" customHeight="1" x14ac:dyDescent="0.2">
      <c r="B293" s="115" t="s">
        <v>819</v>
      </c>
      <c r="C293" s="113">
        <v>36160</v>
      </c>
      <c r="D293" s="115" t="s">
        <v>816</v>
      </c>
      <c r="E293" s="54" t="s">
        <v>817</v>
      </c>
      <c r="F293" s="499" t="s">
        <v>309</v>
      </c>
      <c r="G293" s="54" t="s">
        <v>310</v>
      </c>
      <c r="H293" s="54" t="s">
        <v>814</v>
      </c>
      <c r="I293" s="55" t="s">
        <v>818</v>
      </c>
      <c r="J293" s="92" t="s">
        <v>772</v>
      </c>
      <c r="K293" s="117" t="s">
        <v>773</v>
      </c>
      <c r="L293" s="92" t="s">
        <v>1120</v>
      </c>
      <c r="M293" s="119">
        <v>12625</v>
      </c>
      <c r="N293" s="120">
        <f>+M293</f>
        <v>12625</v>
      </c>
    </row>
    <row r="294" spans="2:14" ht="15" customHeight="1" x14ac:dyDescent="0.2">
      <c r="B294" s="115" t="s">
        <v>819</v>
      </c>
      <c r="C294" s="113">
        <v>36160</v>
      </c>
      <c r="D294" s="115" t="s">
        <v>816</v>
      </c>
      <c r="E294" s="54" t="s">
        <v>817</v>
      </c>
      <c r="F294" s="499" t="s">
        <v>309</v>
      </c>
      <c r="G294" s="54" t="s">
        <v>310</v>
      </c>
      <c r="H294" s="54" t="s">
        <v>814</v>
      </c>
      <c r="I294" s="55" t="s">
        <v>818</v>
      </c>
      <c r="J294" s="92" t="s">
        <v>772</v>
      </c>
      <c r="K294" s="117" t="s">
        <v>773</v>
      </c>
      <c r="L294" s="92" t="s">
        <v>1142</v>
      </c>
      <c r="M294" s="119">
        <v>1769.0239999999999</v>
      </c>
      <c r="N294" s="120">
        <f>+M294</f>
        <v>1769.0239999999999</v>
      </c>
    </row>
    <row r="295" spans="2:14" ht="15" customHeight="1" x14ac:dyDescent="0.2">
      <c r="B295" s="115" t="s">
        <v>815</v>
      </c>
      <c r="C295" s="113">
        <v>36158</v>
      </c>
      <c r="D295" s="115" t="s">
        <v>813</v>
      </c>
      <c r="E295" s="54" t="s">
        <v>516</v>
      </c>
      <c r="F295" s="499" t="s">
        <v>309</v>
      </c>
      <c r="G295" s="54" t="s">
        <v>310</v>
      </c>
      <c r="H295" s="54" t="s">
        <v>814</v>
      </c>
      <c r="I295" s="125">
        <v>7.0000000000000007E-2</v>
      </c>
      <c r="J295" s="92" t="s">
        <v>715</v>
      </c>
      <c r="K295" s="117" t="s">
        <v>610</v>
      </c>
      <c r="L295" s="92" t="s">
        <v>302</v>
      </c>
      <c r="M295" s="119">
        <v>1679</v>
      </c>
      <c r="N295" s="120">
        <v>1679</v>
      </c>
    </row>
    <row r="296" spans="2:14" x14ac:dyDescent="0.2">
      <c r="B296" s="115"/>
      <c r="C296" s="113"/>
      <c r="D296" s="115"/>
      <c r="E296" s="54"/>
      <c r="F296" s="499"/>
      <c r="G296" s="54"/>
      <c r="H296" s="54"/>
      <c r="I296" s="125"/>
      <c r="J296" s="92"/>
      <c r="K296" s="117"/>
      <c r="L296" s="92"/>
      <c r="M296" s="119"/>
      <c r="N296" s="120"/>
    </row>
    <row r="297" spans="2:14" s="14" customFormat="1" x14ac:dyDescent="0.2">
      <c r="B297" s="102" t="s">
        <v>340</v>
      </c>
      <c r="C297" s="9"/>
      <c r="D297" s="3"/>
      <c r="E297" s="3"/>
      <c r="F297" s="494"/>
      <c r="G297" s="3"/>
      <c r="H297" s="3"/>
      <c r="I297" s="10"/>
      <c r="J297" s="11"/>
      <c r="K297" s="12"/>
      <c r="L297" s="11"/>
      <c r="M297" s="13"/>
      <c r="N297" s="89">
        <f>SUM(N298:N299)</f>
        <v>31500</v>
      </c>
    </row>
    <row r="298" spans="2:14" ht="15" customHeight="1" x14ac:dyDescent="0.2">
      <c r="B298" s="115" t="s">
        <v>790</v>
      </c>
      <c r="C298" s="113">
        <v>36040</v>
      </c>
      <c r="D298" s="115" t="s">
        <v>1057</v>
      </c>
      <c r="E298" s="54" t="s">
        <v>828</v>
      </c>
      <c r="F298" s="499" t="s">
        <v>787</v>
      </c>
      <c r="G298" s="54" t="s">
        <v>340</v>
      </c>
      <c r="H298" s="54" t="s">
        <v>788</v>
      </c>
      <c r="I298" s="55" t="s">
        <v>341</v>
      </c>
      <c r="J298" s="92" t="s">
        <v>609</v>
      </c>
      <c r="K298" s="117" t="s">
        <v>789</v>
      </c>
      <c r="L298" s="92" t="s">
        <v>302</v>
      </c>
      <c r="M298" s="119">
        <v>1500</v>
      </c>
      <c r="N298" s="120">
        <v>1500</v>
      </c>
    </row>
    <row r="299" spans="2:14" ht="15" customHeight="1" x14ac:dyDescent="0.2">
      <c r="B299" s="115" t="s">
        <v>794</v>
      </c>
      <c r="C299" s="113">
        <v>36070</v>
      </c>
      <c r="D299" s="115" t="s">
        <v>1058</v>
      </c>
      <c r="E299" s="54" t="s">
        <v>828</v>
      </c>
      <c r="F299" s="499" t="s">
        <v>980</v>
      </c>
      <c r="G299" s="54" t="s">
        <v>340</v>
      </c>
      <c r="H299" s="54" t="s">
        <v>359</v>
      </c>
      <c r="I299" s="55" t="s">
        <v>341</v>
      </c>
      <c r="J299" s="92" t="s">
        <v>689</v>
      </c>
      <c r="K299" s="117" t="s">
        <v>690</v>
      </c>
      <c r="L299" s="92" t="s">
        <v>302</v>
      </c>
      <c r="M299" s="119">
        <v>30000</v>
      </c>
      <c r="N299" s="120">
        <v>30000</v>
      </c>
    </row>
    <row r="300" spans="2:14" x14ac:dyDescent="0.2">
      <c r="B300" s="115"/>
      <c r="C300" s="113"/>
      <c r="D300" s="115"/>
      <c r="E300" s="54"/>
      <c r="F300" s="499"/>
      <c r="G300" s="54"/>
      <c r="H300" s="54"/>
      <c r="I300" s="55"/>
      <c r="J300" s="92"/>
      <c r="K300" s="117"/>
      <c r="L300" s="92"/>
      <c r="M300" s="119"/>
      <c r="N300" s="120"/>
    </row>
    <row r="301" spans="2:14" x14ac:dyDescent="0.2">
      <c r="B301" s="79" t="s">
        <v>987</v>
      </c>
      <c r="C301" s="113"/>
      <c r="D301" s="115"/>
      <c r="E301" s="54"/>
      <c r="F301" s="499"/>
      <c r="G301" s="54"/>
      <c r="H301" s="54"/>
      <c r="I301" s="55"/>
      <c r="J301" s="92"/>
      <c r="K301" s="117"/>
      <c r="L301" s="92"/>
      <c r="M301" s="119"/>
      <c r="N301" s="23">
        <f>+N302</f>
        <v>10000</v>
      </c>
    </row>
    <row r="302" spans="2:14" ht="15" customHeight="1" x14ac:dyDescent="0.2">
      <c r="B302" s="115" t="s">
        <v>786</v>
      </c>
      <c r="C302" s="113">
        <v>36007</v>
      </c>
      <c r="D302" s="115" t="s">
        <v>780</v>
      </c>
      <c r="E302" s="54" t="s">
        <v>294</v>
      </c>
      <c r="F302" s="499" t="s">
        <v>782</v>
      </c>
      <c r="G302" s="54" t="s">
        <v>962</v>
      </c>
      <c r="H302" s="54" t="s">
        <v>783</v>
      </c>
      <c r="I302" s="55" t="s">
        <v>784</v>
      </c>
      <c r="J302" s="92" t="s">
        <v>610</v>
      </c>
      <c r="K302" s="117" t="s">
        <v>785</v>
      </c>
      <c r="L302" s="92" t="s">
        <v>302</v>
      </c>
      <c r="M302" s="119">
        <v>10000</v>
      </c>
      <c r="N302" s="120">
        <v>10000</v>
      </c>
    </row>
    <row r="303" spans="2:14" ht="18" customHeight="1" x14ac:dyDescent="0.2">
      <c r="B303" s="115"/>
      <c r="C303" s="113"/>
      <c r="D303" s="115"/>
      <c r="E303" s="54"/>
      <c r="F303" s="499"/>
      <c r="G303" s="54"/>
      <c r="H303" s="54"/>
      <c r="I303" s="55"/>
      <c r="J303" s="92"/>
      <c r="K303" s="117"/>
      <c r="L303" s="92"/>
      <c r="M303" s="119"/>
      <c r="N303" s="120"/>
    </row>
    <row r="304" spans="2:14" s="14" customFormat="1" x14ac:dyDescent="0.2">
      <c r="B304" s="102" t="s">
        <v>438</v>
      </c>
      <c r="C304" s="9"/>
      <c r="D304" s="3"/>
      <c r="E304" s="3"/>
      <c r="F304" s="494"/>
      <c r="G304" s="3"/>
      <c r="H304" s="3"/>
      <c r="I304" s="10"/>
      <c r="J304" s="11"/>
      <c r="K304" s="12"/>
      <c r="L304" s="11"/>
      <c r="M304" s="13"/>
      <c r="N304" s="89">
        <f>SUM(N305:N308)</f>
        <v>13596</v>
      </c>
    </row>
    <row r="305" spans="2:14" ht="15" customHeight="1" x14ac:dyDescent="0.2">
      <c r="B305" s="115" t="s">
        <v>779</v>
      </c>
      <c r="C305" s="113">
        <v>35883</v>
      </c>
      <c r="D305" s="115" t="s">
        <v>628</v>
      </c>
      <c r="E305" s="54" t="s">
        <v>294</v>
      </c>
      <c r="F305" s="499" t="s">
        <v>981</v>
      </c>
      <c r="G305" s="54" t="s">
        <v>438</v>
      </c>
      <c r="H305" s="54" t="s">
        <v>439</v>
      </c>
      <c r="I305" s="125">
        <v>0.02</v>
      </c>
      <c r="J305" s="92" t="s">
        <v>323</v>
      </c>
      <c r="K305" s="117" t="s">
        <v>425</v>
      </c>
      <c r="L305" s="92" t="s">
        <v>470</v>
      </c>
      <c r="M305" s="119">
        <v>15000</v>
      </c>
      <c r="N305" s="120">
        <v>8243</v>
      </c>
    </row>
    <row r="306" spans="2:14" ht="15" customHeight="1" x14ac:dyDescent="0.2">
      <c r="B306" s="115" t="s">
        <v>798</v>
      </c>
      <c r="C306" s="113">
        <v>36078</v>
      </c>
      <c r="D306" s="115" t="s">
        <v>433</v>
      </c>
      <c r="E306" s="54" t="s">
        <v>294</v>
      </c>
      <c r="F306" s="499" t="s">
        <v>797</v>
      </c>
      <c r="G306" s="54" t="s">
        <v>438</v>
      </c>
      <c r="H306" s="54" t="s">
        <v>439</v>
      </c>
      <c r="I306" s="125">
        <v>2.9000000000000001E-2</v>
      </c>
      <c r="J306" s="92" t="s">
        <v>802</v>
      </c>
      <c r="K306" s="117" t="s">
        <v>803</v>
      </c>
      <c r="L306" s="92" t="s">
        <v>799</v>
      </c>
      <c r="M306" s="119">
        <v>8900</v>
      </c>
      <c r="N306" s="120">
        <v>1643</v>
      </c>
    </row>
    <row r="307" spans="2:14" ht="15" customHeight="1" x14ac:dyDescent="0.2">
      <c r="B307" s="115" t="s">
        <v>798</v>
      </c>
      <c r="C307" s="113">
        <v>36078</v>
      </c>
      <c r="D307" s="115" t="s">
        <v>433</v>
      </c>
      <c r="E307" s="54" t="s">
        <v>294</v>
      </c>
      <c r="F307" s="499" t="s">
        <v>800</v>
      </c>
      <c r="G307" s="54" t="s">
        <v>438</v>
      </c>
      <c r="H307" s="54" t="s">
        <v>439</v>
      </c>
      <c r="I307" s="125">
        <v>2.9000000000000001E-2</v>
      </c>
      <c r="J307" s="92" t="s">
        <v>802</v>
      </c>
      <c r="K307" s="117" t="s">
        <v>803</v>
      </c>
      <c r="L307" s="92" t="s">
        <v>799</v>
      </c>
      <c r="M307" s="119">
        <v>19900</v>
      </c>
      <c r="N307" s="120">
        <v>3673</v>
      </c>
    </row>
    <row r="308" spans="2:14" ht="15" customHeight="1" x14ac:dyDescent="0.2">
      <c r="B308" s="115" t="s">
        <v>798</v>
      </c>
      <c r="C308" s="113">
        <v>36078</v>
      </c>
      <c r="D308" s="115" t="s">
        <v>433</v>
      </c>
      <c r="E308" s="54" t="s">
        <v>294</v>
      </c>
      <c r="F308" s="499" t="s">
        <v>801</v>
      </c>
      <c r="G308" s="54" t="s">
        <v>438</v>
      </c>
      <c r="H308" s="54" t="s">
        <v>439</v>
      </c>
      <c r="I308" s="125">
        <v>2.9000000000000001E-2</v>
      </c>
      <c r="J308" s="92" t="s">
        <v>802</v>
      </c>
      <c r="K308" s="117" t="s">
        <v>803</v>
      </c>
      <c r="L308" s="92" t="s">
        <v>799</v>
      </c>
      <c r="M308" s="119">
        <v>200</v>
      </c>
      <c r="N308" s="120">
        <v>37</v>
      </c>
    </row>
    <row r="309" spans="2:14" x14ac:dyDescent="0.2">
      <c r="B309" s="115"/>
      <c r="C309" s="113"/>
      <c r="D309" s="115"/>
      <c r="E309" s="54"/>
      <c r="F309" s="499"/>
      <c r="G309" s="54"/>
      <c r="H309" s="54"/>
      <c r="I309" s="125"/>
      <c r="J309" s="92"/>
      <c r="K309" s="117"/>
      <c r="L309" s="92"/>
      <c r="M309" s="119"/>
      <c r="N309" s="120"/>
    </row>
    <row r="310" spans="2:14" s="14" customFormat="1" x14ac:dyDescent="0.2">
      <c r="B310" s="102" t="s">
        <v>305</v>
      </c>
      <c r="C310" s="9"/>
      <c r="D310" s="3"/>
      <c r="E310" s="3"/>
      <c r="F310" s="494"/>
      <c r="G310" s="3"/>
      <c r="H310" s="3"/>
      <c r="I310" s="10"/>
      <c r="J310" s="11"/>
      <c r="K310" s="12"/>
      <c r="L310" s="11"/>
      <c r="M310" s="13"/>
      <c r="N310" s="89">
        <f>SUM(N311:N314)</f>
        <v>355450</v>
      </c>
    </row>
    <row r="311" spans="2:14" ht="15" customHeight="1" x14ac:dyDescent="0.2">
      <c r="B311" s="115" t="s">
        <v>796</v>
      </c>
      <c r="C311" s="113">
        <v>36074</v>
      </c>
      <c r="D311" s="115" t="s">
        <v>628</v>
      </c>
      <c r="E311" s="54" t="s">
        <v>294</v>
      </c>
      <c r="F311" s="499" t="s">
        <v>795</v>
      </c>
      <c r="G311" s="54" t="s">
        <v>305</v>
      </c>
      <c r="H311" s="54" t="s">
        <v>961</v>
      </c>
      <c r="I311" s="125">
        <v>0.02</v>
      </c>
      <c r="J311" s="92" t="s">
        <v>323</v>
      </c>
      <c r="K311" s="117" t="s">
        <v>425</v>
      </c>
      <c r="L311" s="92" t="s">
        <v>470</v>
      </c>
      <c r="M311" s="119">
        <v>20000</v>
      </c>
      <c r="N311" s="120">
        <v>12250</v>
      </c>
    </row>
    <row r="312" spans="2:14" s="84" customFormat="1" ht="15" customHeight="1" x14ac:dyDescent="0.2">
      <c r="B312" s="115" t="s">
        <v>793</v>
      </c>
      <c r="C312" s="113">
        <v>36070</v>
      </c>
      <c r="D312" s="115" t="s">
        <v>1059</v>
      </c>
      <c r="E312" s="54" t="s">
        <v>828</v>
      </c>
      <c r="F312" s="499" t="s">
        <v>791</v>
      </c>
      <c r="G312" s="54" t="s">
        <v>305</v>
      </c>
      <c r="H312" s="54" t="s">
        <v>792</v>
      </c>
      <c r="I312" s="55" t="s">
        <v>411</v>
      </c>
      <c r="J312" s="92" t="s">
        <v>610</v>
      </c>
      <c r="K312" s="117" t="s">
        <v>648</v>
      </c>
      <c r="L312" s="92" t="s">
        <v>302</v>
      </c>
      <c r="M312" s="119">
        <v>38000</v>
      </c>
      <c r="N312" s="120">
        <v>38000</v>
      </c>
    </row>
    <row r="313" spans="2:14" ht="15" customHeight="1" x14ac:dyDescent="0.2">
      <c r="B313" s="115" t="s">
        <v>807</v>
      </c>
      <c r="C313" s="113">
        <v>36133</v>
      </c>
      <c r="D313" s="115" t="s">
        <v>391</v>
      </c>
      <c r="E313" s="54" t="s">
        <v>828</v>
      </c>
      <c r="F313" s="499" t="s">
        <v>804</v>
      </c>
      <c r="G313" s="54" t="s">
        <v>305</v>
      </c>
      <c r="H313" s="54" t="s">
        <v>961</v>
      </c>
      <c r="I313" s="55" t="s">
        <v>805</v>
      </c>
      <c r="J313" s="92" t="s">
        <v>806</v>
      </c>
      <c r="K313" s="117" t="s">
        <v>719</v>
      </c>
      <c r="L313" s="92" t="s">
        <v>302</v>
      </c>
      <c r="M313" s="119">
        <v>5200</v>
      </c>
      <c r="N313" s="120">
        <v>5200</v>
      </c>
    </row>
    <row r="314" spans="2:14" ht="15" customHeight="1" x14ac:dyDescent="0.2">
      <c r="B314" s="115" t="s">
        <v>808</v>
      </c>
      <c r="C314" s="113">
        <v>36157</v>
      </c>
      <c r="D314" s="115" t="s">
        <v>1060</v>
      </c>
      <c r="E314" s="54" t="s">
        <v>828</v>
      </c>
      <c r="F314" s="499" t="s">
        <v>809</v>
      </c>
      <c r="G314" s="54" t="s">
        <v>305</v>
      </c>
      <c r="H314" s="54" t="s">
        <v>961</v>
      </c>
      <c r="I314" s="55" t="s">
        <v>341</v>
      </c>
      <c r="J314" s="92" t="s">
        <v>610</v>
      </c>
      <c r="K314" s="117" t="s">
        <v>481</v>
      </c>
      <c r="L314" s="92" t="s">
        <v>302</v>
      </c>
      <c r="M314" s="119">
        <v>300000</v>
      </c>
      <c r="N314" s="120">
        <v>300000</v>
      </c>
    </row>
    <row r="315" spans="2:14" ht="13.5" thickBot="1" x14ac:dyDescent="0.25">
      <c r="B315" s="126"/>
      <c r="C315" s="127"/>
      <c r="D315" s="126"/>
      <c r="E315" s="137"/>
      <c r="F315" s="500"/>
      <c r="G315" s="137"/>
      <c r="H315" s="137"/>
      <c r="I315" s="130"/>
      <c r="J315" s="131"/>
      <c r="K315" s="132"/>
      <c r="L315" s="131"/>
      <c r="M315" s="134"/>
      <c r="N315" s="135"/>
    </row>
    <row r="316" spans="2:14" ht="13.5" thickTop="1" x14ac:dyDescent="0.2">
      <c r="B316" s="336"/>
      <c r="C316" s="335"/>
      <c r="D316" s="336"/>
      <c r="E316" s="467"/>
      <c r="F316" s="491"/>
      <c r="G316" s="467"/>
      <c r="H316" s="467"/>
      <c r="I316" s="337"/>
      <c r="J316" s="331"/>
      <c r="K316" s="338"/>
      <c r="L316" s="339"/>
      <c r="M316" s="332"/>
      <c r="N316" s="334"/>
    </row>
    <row r="317" spans="2:14" s="256" customFormat="1" ht="18" x14ac:dyDescent="0.25">
      <c r="B317" s="257">
        <v>1999</v>
      </c>
      <c r="C317" s="258"/>
      <c r="D317" s="257"/>
      <c r="E317" s="468"/>
      <c r="F317" s="493"/>
      <c r="G317" s="468"/>
      <c r="H317" s="468"/>
      <c r="I317" s="252"/>
      <c r="J317" s="253"/>
      <c r="K317" s="254"/>
      <c r="L317" s="253"/>
      <c r="M317" s="255"/>
      <c r="N317" s="250">
        <f>+N318+N321+N324+N335+N339+N346+N351+N355+N363</f>
        <v>2226027.23954</v>
      </c>
    </row>
    <row r="318" spans="2:14" s="14" customFormat="1" x14ac:dyDescent="0.2">
      <c r="B318" s="102" t="s">
        <v>296</v>
      </c>
      <c r="C318" s="9"/>
      <c r="D318" s="3"/>
      <c r="E318" s="3"/>
      <c r="F318" s="494"/>
      <c r="G318" s="3"/>
      <c r="H318" s="3"/>
      <c r="I318" s="10"/>
      <c r="J318" s="11"/>
      <c r="K318" s="12"/>
      <c r="L318" s="11"/>
      <c r="M318" s="13"/>
      <c r="N318" s="89">
        <f>+N319</f>
        <v>59790</v>
      </c>
    </row>
    <row r="319" spans="2:14" ht="15" customHeight="1" x14ac:dyDescent="0.2">
      <c r="B319" s="124" t="s">
        <v>725</v>
      </c>
      <c r="C319" s="113">
        <v>36258</v>
      </c>
      <c r="D319" s="115" t="s">
        <v>361</v>
      </c>
      <c r="E319" s="54" t="s">
        <v>294</v>
      </c>
      <c r="F319" s="499" t="s">
        <v>723</v>
      </c>
      <c r="G319" s="54" t="s">
        <v>296</v>
      </c>
      <c r="H319" s="54" t="s">
        <v>724</v>
      </c>
      <c r="I319" s="125" t="s">
        <v>1145</v>
      </c>
      <c r="J319" s="92" t="s">
        <v>867</v>
      </c>
      <c r="K319" s="117" t="s">
        <v>868</v>
      </c>
      <c r="L319" s="92" t="s">
        <v>366</v>
      </c>
      <c r="M319" s="119">
        <v>7259000</v>
      </c>
      <c r="N319" s="120">
        <v>59790</v>
      </c>
    </row>
    <row r="320" spans="2:14" x14ac:dyDescent="0.2">
      <c r="B320" s="54"/>
      <c r="C320" s="113"/>
      <c r="D320" s="115"/>
      <c r="E320" s="54"/>
      <c r="F320" s="499"/>
      <c r="G320" s="54"/>
      <c r="H320" s="54"/>
      <c r="I320" s="125"/>
      <c r="J320" s="92"/>
      <c r="K320" s="117"/>
      <c r="L320" s="92"/>
      <c r="M320" s="119"/>
      <c r="N320" s="120"/>
    </row>
    <row r="321" spans="2:14" s="14" customFormat="1" x14ac:dyDescent="0.2">
      <c r="B321" s="102" t="s">
        <v>310</v>
      </c>
      <c r="C321" s="9"/>
      <c r="D321" s="3"/>
      <c r="E321" s="3"/>
      <c r="F321" s="494"/>
      <c r="G321" s="3"/>
      <c r="H321" s="3"/>
      <c r="I321" s="10"/>
      <c r="J321" s="11"/>
      <c r="K321" s="12"/>
      <c r="L321" s="11"/>
      <c r="M321" s="13"/>
      <c r="N321" s="89">
        <f>+N322</f>
        <v>15602</v>
      </c>
    </row>
    <row r="322" spans="2:14" ht="15" customHeight="1" x14ac:dyDescent="0.2">
      <c r="B322" s="24" t="s">
        <v>945</v>
      </c>
      <c r="C322" s="113">
        <v>36428</v>
      </c>
      <c r="D322" s="115" t="s">
        <v>641</v>
      </c>
      <c r="E322" s="54" t="s">
        <v>970</v>
      </c>
      <c r="F322" s="499" t="s">
        <v>309</v>
      </c>
      <c r="G322" s="54" t="s">
        <v>310</v>
      </c>
      <c r="H322" s="54" t="s">
        <v>311</v>
      </c>
      <c r="I322" s="55" t="s">
        <v>643</v>
      </c>
      <c r="J322" s="92" t="s">
        <v>772</v>
      </c>
      <c r="K322" s="117" t="s">
        <v>773</v>
      </c>
      <c r="L322" s="92" t="s">
        <v>302</v>
      </c>
      <c r="M322" s="119">
        <v>15602</v>
      </c>
      <c r="N322" s="120">
        <v>15602</v>
      </c>
    </row>
    <row r="323" spans="2:14" x14ac:dyDescent="0.2">
      <c r="B323" s="24"/>
      <c r="C323" s="113"/>
      <c r="D323" s="115"/>
      <c r="E323" s="54"/>
      <c r="F323" s="499"/>
      <c r="G323" s="54"/>
      <c r="H323" s="54"/>
      <c r="I323" s="55"/>
      <c r="J323" s="92"/>
      <c r="K323" s="117"/>
      <c r="L323" s="92"/>
      <c r="M323" s="119"/>
      <c r="N323" s="120"/>
    </row>
    <row r="324" spans="2:14" s="14" customFormat="1" x14ac:dyDescent="0.2">
      <c r="B324" s="102" t="s">
        <v>340</v>
      </c>
      <c r="C324" s="9"/>
      <c r="D324" s="3"/>
      <c r="E324" s="3"/>
      <c r="F324" s="494"/>
      <c r="G324" s="3"/>
      <c r="H324" s="3"/>
      <c r="I324" s="10"/>
      <c r="J324" s="11"/>
      <c r="K324" s="12"/>
      <c r="L324" s="11"/>
      <c r="M324" s="13"/>
      <c r="N324" s="89">
        <f>SUM(N325:N333)</f>
        <v>1361568</v>
      </c>
    </row>
    <row r="325" spans="2:14" s="14" customFormat="1" ht="15" customHeight="1" x14ac:dyDescent="0.2">
      <c r="B325" s="124" t="s">
        <v>709</v>
      </c>
      <c r="C325" s="113">
        <v>36187</v>
      </c>
      <c r="D325" s="115" t="s">
        <v>1061</v>
      </c>
      <c r="E325" s="54" t="s">
        <v>828</v>
      </c>
      <c r="F325" s="499" t="s">
        <v>708</v>
      </c>
      <c r="G325" s="54" t="s">
        <v>340</v>
      </c>
      <c r="H325" s="54" t="s">
        <v>359</v>
      </c>
      <c r="I325" s="55" t="s">
        <v>341</v>
      </c>
      <c r="J325" s="92" t="s">
        <v>610</v>
      </c>
      <c r="K325" s="117" t="s">
        <v>481</v>
      </c>
      <c r="L325" s="92" t="s">
        <v>302</v>
      </c>
      <c r="M325" s="119">
        <v>200000</v>
      </c>
      <c r="N325" s="120">
        <v>200000</v>
      </c>
    </row>
    <row r="326" spans="2:14" s="14" customFormat="1" ht="15" customHeight="1" x14ac:dyDescent="0.2">
      <c r="B326" s="124" t="s">
        <v>740</v>
      </c>
      <c r="C326" s="113">
        <v>36273</v>
      </c>
      <c r="D326" s="115" t="s">
        <v>738</v>
      </c>
      <c r="E326" s="54" t="s">
        <v>828</v>
      </c>
      <c r="F326" s="499" t="s">
        <v>739</v>
      </c>
      <c r="G326" s="54" t="s">
        <v>340</v>
      </c>
      <c r="H326" s="54" t="s">
        <v>359</v>
      </c>
      <c r="I326" s="125">
        <v>0.04</v>
      </c>
      <c r="J326" s="92" t="s">
        <v>610</v>
      </c>
      <c r="K326" s="117" t="s">
        <v>648</v>
      </c>
      <c r="L326" s="92" t="s">
        <v>302</v>
      </c>
      <c r="M326" s="119">
        <v>4000</v>
      </c>
      <c r="N326" s="120">
        <v>4000</v>
      </c>
    </row>
    <row r="327" spans="2:14" ht="15" customHeight="1" x14ac:dyDescent="0.2">
      <c r="B327" s="124" t="s">
        <v>743</v>
      </c>
      <c r="C327" s="113">
        <v>36293</v>
      </c>
      <c r="D327" s="115" t="s">
        <v>741</v>
      </c>
      <c r="E327" s="54" t="s">
        <v>294</v>
      </c>
      <c r="F327" s="499" t="s">
        <v>742</v>
      </c>
      <c r="G327" s="54" t="s">
        <v>340</v>
      </c>
      <c r="H327" s="54" t="s">
        <v>359</v>
      </c>
      <c r="I327" s="55" t="s">
        <v>741</v>
      </c>
      <c r="J327" s="92" t="s">
        <v>900</v>
      </c>
      <c r="K327" s="117" t="s">
        <v>306</v>
      </c>
      <c r="L327" s="92" t="s">
        <v>366</v>
      </c>
      <c r="M327" s="119">
        <v>5000000</v>
      </c>
      <c r="N327" s="120">
        <v>41380</v>
      </c>
    </row>
    <row r="328" spans="2:14" ht="15" customHeight="1" x14ac:dyDescent="0.2">
      <c r="B328" s="124" t="s">
        <v>749</v>
      </c>
      <c r="C328" s="113">
        <v>36330</v>
      </c>
      <c r="D328" s="115" t="s">
        <v>1062</v>
      </c>
      <c r="E328" s="54" t="s">
        <v>828</v>
      </c>
      <c r="F328" s="499" t="s">
        <v>747</v>
      </c>
      <c r="G328" s="54" t="s">
        <v>340</v>
      </c>
      <c r="H328" s="54" t="s">
        <v>748</v>
      </c>
      <c r="I328" s="55" t="s">
        <v>411</v>
      </c>
      <c r="J328" s="92" t="s">
        <v>610</v>
      </c>
      <c r="K328" s="117" t="s">
        <v>648</v>
      </c>
      <c r="L328" s="92" t="s">
        <v>302</v>
      </c>
      <c r="M328" s="119">
        <v>300000</v>
      </c>
      <c r="N328" s="120">
        <v>300000</v>
      </c>
    </row>
    <row r="329" spans="2:14" ht="15" customHeight="1" x14ac:dyDescent="0.2">
      <c r="B329" s="124" t="s">
        <v>762</v>
      </c>
      <c r="C329" s="113">
        <v>36399</v>
      </c>
      <c r="D329" s="115" t="s">
        <v>1063</v>
      </c>
      <c r="E329" s="54" t="s">
        <v>828</v>
      </c>
      <c r="F329" s="499" t="s">
        <v>760</v>
      </c>
      <c r="G329" s="54" t="s">
        <v>340</v>
      </c>
      <c r="H329" s="54" t="s">
        <v>359</v>
      </c>
      <c r="I329" s="55" t="s">
        <v>761</v>
      </c>
      <c r="J329" s="92" t="s">
        <v>689</v>
      </c>
      <c r="K329" s="117" t="s">
        <v>715</v>
      </c>
      <c r="L329" s="92" t="s">
        <v>302</v>
      </c>
      <c r="M329" s="119">
        <v>300000</v>
      </c>
      <c r="N329" s="120">
        <v>300000</v>
      </c>
    </row>
    <row r="330" spans="2:14" ht="15" customHeight="1" x14ac:dyDescent="0.2">
      <c r="B330" s="124" t="s">
        <v>766</v>
      </c>
      <c r="C330" s="113">
        <v>36408</v>
      </c>
      <c r="D330" s="115" t="s">
        <v>1064</v>
      </c>
      <c r="E330" s="54" t="s">
        <v>828</v>
      </c>
      <c r="F330" s="499" t="s">
        <v>763</v>
      </c>
      <c r="G330" s="54" t="s">
        <v>340</v>
      </c>
      <c r="H330" s="54" t="s">
        <v>748</v>
      </c>
      <c r="I330" s="55" t="s">
        <v>341</v>
      </c>
      <c r="J330" s="92" t="s">
        <v>764</v>
      </c>
      <c r="K330" s="117" t="s">
        <v>765</v>
      </c>
      <c r="L330" s="92" t="s">
        <v>302</v>
      </c>
      <c r="M330" s="119">
        <v>10908</v>
      </c>
      <c r="N330" s="120">
        <v>10908</v>
      </c>
    </row>
    <row r="331" spans="2:14" ht="15" customHeight="1" x14ac:dyDescent="0.2">
      <c r="B331" s="124" t="s">
        <v>771</v>
      </c>
      <c r="C331" s="113">
        <v>36427</v>
      </c>
      <c r="D331" s="115" t="s">
        <v>741</v>
      </c>
      <c r="E331" s="54" t="s">
        <v>294</v>
      </c>
      <c r="F331" s="499" t="s">
        <v>708</v>
      </c>
      <c r="G331" s="54" t="s">
        <v>340</v>
      </c>
      <c r="H331" s="54" t="s">
        <v>359</v>
      </c>
      <c r="I331" s="55" t="s">
        <v>901</v>
      </c>
      <c r="J331" s="92" t="s">
        <v>610</v>
      </c>
      <c r="K331" s="117" t="s">
        <v>481</v>
      </c>
      <c r="L331" s="92" t="s">
        <v>366</v>
      </c>
      <c r="M331" s="119">
        <v>200000</v>
      </c>
      <c r="N331" s="120">
        <v>200000</v>
      </c>
    </row>
    <row r="332" spans="2:14" ht="15" customHeight="1" x14ac:dyDescent="0.2">
      <c r="B332" s="124" t="s">
        <v>909</v>
      </c>
      <c r="C332" s="113">
        <v>36487</v>
      </c>
      <c r="D332" s="115" t="s">
        <v>878</v>
      </c>
      <c r="E332" s="54" t="s">
        <v>294</v>
      </c>
      <c r="F332" s="499" t="s">
        <v>982</v>
      </c>
      <c r="G332" s="54" t="s">
        <v>340</v>
      </c>
      <c r="H332" s="54" t="s">
        <v>359</v>
      </c>
      <c r="I332" s="125">
        <v>0.02</v>
      </c>
      <c r="J332" s="92" t="s">
        <v>323</v>
      </c>
      <c r="K332" s="117" t="s">
        <v>425</v>
      </c>
      <c r="L332" s="92" t="s">
        <v>470</v>
      </c>
      <c r="M332" s="119">
        <v>10000</v>
      </c>
      <c r="N332" s="120">
        <v>5280</v>
      </c>
    </row>
    <row r="333" spans="2:14" ht="15" customHeight="1" x14ac:dyDescent="0.2">
      <c r="B333" s="124" t="s">
        <v>908</v>
      </c>
      <c r="C333" s="113">
        <v>36502</v>
      </c>
      <c r="D333" s="115" t="s">
        <v>774</v>
      </c>
      <c r="E333" s="54" t="s">
        <v>294</v>
      </c>
      <c r="F333" s="499" t="s">
        <v>983</v>
      </c>
      <c r="G333" s="54" t="s">
        <v>340</v>
      </c>
      <c r="H333" s="54" t="s">
        <v>298</v>
      </c>
      <c r="I333" s="55" t="s">
        <v>1143</v>
      </c>
      <c r="J333" s="92" t="s">
        <v>610</v>
      </c>
      <c r="K333" s="117" t="s">
        <v>648</v>
      </c>
      <c r="L333" s="92" t="s">
        <v>366</v>
      </c>
      <c r="M333" s="119">
        <v>300000</v>
      </c>
      <c r="N333" s="120">
        <v>300000</v>
      </c>
    </row>
    <row r="334" spans="2:14" x14ac:dyDescent="0.2">
      <c r="B334" s="54"/>
      <c r="C334" s="113"/>
      <c r="D334" s="115"/>
      <c r="E334" s="54"/>
      <c r="F334" s="499"/>
      <c r="G334" s="54"/>
      <c r="H334" s="54"/>
      <c r="I334" s="55"/>
      <c r="J334" s="92"/>
      <c r="K334" s="117"/>
      <c r="L334" s="92"/>
      <c r="M334" s="119"/>
      <c r="N334" s="120"/>
    </row>
    <row r="335" spans="2:14" s="14" customFormat="1" x14ac:dyDescent="0.2">
      <c r="B335" s="102" t="s">
        <v>353</v>
      </c>
      <c r="C335" s="9"/>
      <c r="D335" s="3"/>
      <c r="E335" s="3"/>
      <c r="F335" s="494"/>
      <c r="G335" s="3"/>
      <c r="H335" s="3"/>
      <c r="I335" s="10"/>
      <c r="J335" s="11"/>
      <c r="K335" s="12"/>
      <c r="L335" s="11"/>
      <c r="M335" s="13"/>
      <c r="N335" s="89">
        <f>SUM(N336:N337)</f>
        <v>133380</v>
      </c>
    </row>
    <row r="336" spans="2:14" ht="15" customHeight="1" x14ac:dyDescent="0.2">
      <c r="B336" s="124" t="s">
        <v>730</v>
      </c>
      <c r="C336" s="113">
        <v>36258</v>
      </c>
      <c r="D336" s="115" t="s">
        <v>361</v>
      </c>
      <c r="E336" s="54" t="s">
        <v>294</v>
      </c>
      <c r="F336" s="499" t="s">
        <v>729</v>
      </c>
      <c r="G336" s="54" t="s">
        <v>353</v>
      </c>
      <c r="H336" s="54" t="s">
        <v>453</v>
      </c>
      <c r="I336" s="125" t="s">
        <v>1146</v>
      </c>
      <c r="J336" s="92" t="s">
        <v>867</v>
      </c>
      <c r="K336" s="117" t="s">
        <v>868</v>
      </c>
      <c r="L336" s="92" t="s">
        <v>366</v>
      </c>
      <c r="M336" s="119">
        <v>13157000</v>
      </c>
      <c r="N336" s="120">
        <v>108380</v>
      </c>
    </row>
    <row r="337" spans="2:14" ht="15" customHeight="1" x14ac:dyDescent="0.2">
      <c r="B337" s="124" t="s">
        <v>759</v>
      </c>
      <c r="C337" s="113">
        <v>36379</v>
      </c>
      <c r="D337" s="115" t="s">
        <v>391</v>
      </c>
      <c r="E337" s="54" t="s">
        <v>828</v>
      </c>
      <c r="F337" s="499" t="s">
        <v>756</v>
      </c>
      <c r="G337" s="54" t="s">
        <v>353</v>
      </c>
      <c r="H337" s="54" t="s">
        <v>757</v>
      </c>
      <c r="I337" s="55" t="s">
        <v>751</v>
      </c>
      <c r="J337" s="92" t="s">
        <v>609</v>
      </c>
      <c r="K337" s="117" t="s">
        <v>758</v>
      </c>
      <c r="L337" s="92" t="s">
        <v>302</v>
      </c>
      <c r="M337" s="119">
        <v>25000</v>
      </c>
      <c r="N337" s="120">
        <f>+M337</f>
        <v>25000</v>
      </c>
    </row>
    <row r="338" spans="2:14" x14ac:dyDescent="0.2">
      <c r="B338" s="124"/>
      <c r="C338" s="113"/>
      <c r="D338" s="115"/>
      <c r="E338" s="54"/>
      <c r="F338" s="499"/>
      <c r="G338" s="54"/>
      <c r="H338" s="54"/>
      <c r="I338" s="55"/>
      <c r="J338" s="92"/>
      <c r="K338" s="117"/>
      <c r="L338" s="92"/>
      <c r="M338" s="119"/>
      <c r="N338" s="120"/>
    </row>
    <row r="339" spans="2:14" s="14" customFormat="1" x14ac:dyDescent="0.2">
      <c r="B339" s="136" t="s">
        <v>688</v>
      </c>
      <c r="C339" s="9"/>
      <c r="D339" s="3"/>
      <c r="E339" s="3"/>
      <c r="F339" s="494"/>
      <c r="G339" s="3"/>
      <c r="H339" s="3"/>
      <c r="I339" s="10"/>
      <c r="J339" s="11"/>
      <c r="K339" s="12"/>
      <c r="L339" s="11"/>
      <c r="M339" s="13"/>
      <c r="N339" s="89">
        <f>SUM(N340:N344)</f>
        <v>261195</v>
      </c>
    </row>
    <row r="340" spans="2:14" s="14" customFormat="1" ht="15" customHeight="1" x14ac:dyDescent="0.2">
      <c r="B340" s="124" t="s">
        <v>728</v>
      </c>
      <c r="C340" s="113">
        <v>36258</v>
      </c>
      <c r="D340" s="115" t="s">
        <v>361</v>
      </c>
      <c r="E340" s="54" t="s">
        <v>294</v>
      </c>
      <c r="F340" s="499" t="s">
        <v>727</v>
      </c>
      <c r="G340" s="54" t="s">
        <v>688</v>
      </c>
      <c r="H340" s="54" t="s">
        <v>474</v>
      </c>
      <c r="I340" s="125">
        <v>1.7000000000000001E-2</v>
      </c>
      <c r="J340" s="92" t="s">
        <v>661</v>
      </c>
      <c r="K340" s="117" t="s">
        <v>670</v>
      </c>
      <c r="L340" s="92" t="s">
        <v>366</v>
      </c>
      <c r="M340" s="119">
        <v>7003000</v>
      </c>
      <c r="N340" s="120">
        <v>57690</v>
      </c>
    </row>
    <row r="341" spans="2:14" s="14" customFormat="1" ht="15" customHeight="1" x14ac:dyDescent="0.2">
      <c r="B341" s="124" t="s">
        <v>734</v>
      </c>
      <c r="C341" s="113">
        <v>36266</v>
      </c>
      <c r="D341" s="115" t="s">
        <v>628</v>
      </c>
      <c r="E341" s="54" t="s">
        <v>294</v>
      </c>
      <c r="F341" s="499" t="s">
        <v>733</v>
      </c>
      <c r="G341" s="54" t="s">
        <v>688</v>
      </c>
      <c r="H341" s="54" t="s">
        <v>518</v>
      </c>
      <c r="I341" s="125">
        <v>7.4999999999999997E-3</v>
      </c>
      <c r="J341" s="92" t="s">
        <v>323</v>
      </c>
      <c r="K341" s="117" t="s">
        <v>468</v>
      </c>
      <c r="L341" s="92" t="s">
        <v>470</v>
      </c>
      <c r="M341" s="119">
        <v>18000</v>
      </c>
      <c r="N341" s="120">
        <v>9850</v>
      </c>
    </row>
    <row r="342" spans="2:14" s="14" customFormat="1" ht="15" customHeight="1" x14ac:dyDescent="0.2">
      <c r="B342" s="124" t="s">
        <v>716</v>
      </c>
      <c r="C342" s="113">
        <v>36199</v>
      </c>
      <c r="D342" s="115" t="s">
        <v>391</v>
      </c>
      <c r="E342" s="54" t="s">
        <v>828</v>
      </c>
      <c r="F342" s="499" t="s">
        <v>713</v>
      </c>
      <c r="G342" s="54" t="s">
        <v>688</v>
      </c>
      <c r="H342" s="54" t="s">
        <v>518</v>
      </c>
      <c r="I342" s="55" t="s">
        <v>714</v>
      </c>
      <c r="J342" s="92" t="s">
        <v>715</v>
      </c>
      <c r="K342" s="117" t="s">
        <v>323</v>
      </c>
      <c r="L342" s="92" t="s">
        <v>302</v>
      </c>
      <c r="M342" s="119">
        <v>17000</v>
      </c>
      <c r="N342" s="120">
        <v>17000</v>
      </c>
    </row>
    <row r="343" spans="2:14" s="14" customFormat="1" ht="15" customHeight="1" x14ac:dyDescent="0.2">
      <c r="B343" s="124" t="s">
        <v>778</v>
      </c>
      <c r="C343" s="113">
        <v>36450</v>
      </c>
      <c r="D343" s="115" t="s">
        <v>774</v>
      </c>
      <c r="E343" s="54" t="s">
        <v>294</v>
      </c>
      <c r="F343" s="499" t="s">
        <v>775</v>
      </c>
      <c r="G343" s="54" t="s">
        <v>688</v>
      </c>
      <c r="H343" s="54" t="s">
        <v>776</v>
      </c>
      <c r="I343" s="55" t="s">
        <v>643</v>
      </c>
      <c r="J343" s="92" t="s">
        <v>777</v>
      </c>
      <c r="K343" s="117" t="s">
        <v>764</v>
      </c>
      <c r="L343" s="92" t="s">
        <v>366</v>
      </c>
      <c r="M343" s="119">
        <v>150000</v>
      </c>
      <c r="N343" s="120">
        <v>150000</v>
      </c>
    </row>
    <row r="344" spans="2:14" ht="15" customHeight="1" x14ac:dyDescent="0.2">
      <c r="B344" s="124" t="s">
        <v>1147</v>
      </c>
      <c r="C344" s="113">
        <v>36497</v>
      </c>
      <c r="D344" s="124" t="s">
        <v>896</v>
      </c>
      <c r="E344" s="54" t="s">
        <v>824</v>
      </c>
      <c r="F344" s="499" t="s">
        <v>964</v>
      </c>
      <c r="G344" s="54" t="s">
        <v>688</v>
      </c>
      <c r="H344" s="54" t="s">
        <v>518</v>
      </c>
      <c r="I344" s="55" t="s">
        <v>897</v>
      </c>
      <c r="J344" s="92" t="s">
        <v>806</v>
      </c>
      <c r="K344" s="117" t="s">
        <v>899</v>
      </c>
      <c r="L344" s="92" t="s">
        <v>823</v>
      </c>
      <c r="M344" s="119">
        <v>26655</v>
      </c>
      <c r="N344" s="120">
        <v>26655</v>
      </c>
    </row>
    <row r="345" spans="2:14" x14ac:dyDescent="0.2">
      <c r="B345" s="124"/>
      <c r="C345" s="113"/>
      <c r="D345" s="115"/>
      <c r="E345" s="54"/>
      <c r="F345" s="499"/>
      <c r="G345" s="54"/>
      <c r="H345" s="54"/>
      <c r="I345" s="55"/>
      <c r="J345" s="92"/>
      <c r="K345" s="117"/>
      <c r="L345" s="92"/>
      <c r="M345" s="119"/>
      <c r="N345" s="120"/>
    </row>
    <row r="346" spans="2:14" s="14" customFormat="1" x14ac:dyDescent="0.2">
      <c r="B346" s="136" t="s">
        <v>991</v>
      </c>
      <c r="C346" s="9"/>
      <c r="D346" s="3"/>
      <c r="E346" s="3"/>
      <c r="F346" s="494"/>
      <c r="G346" s="3"/>
      <c r="H346" s="3"/>
      <c r="I346" s="10"/>
      <c r="J346" s="11"/>
      <c r="K346" s="12"/>
      <c r="L346" s="11"/>
      <c r="M346" s="13"/>
      <c r="N346" s="89">
        <f>SUM(N347:N349)</f>
        <v>130610</v>
      </c>
    </row>
    <row r="347" spans="2:14" ht="15" customHeight="1" x14ac:dyDescent="0.2">
      <c r="B347" s="124" t="s">
        <v>726</v>
      </c>
      <c r="C347" s="113">
        <v>36258</v>
      </c>
      <c r="D347" s="115" t="s">
        <v>361</v>
      </c>
      <c r="E347" s="54" t="s">
        <v>294</v>
      </c>
      <c r="F347" s="499" t="s">
        <v>979</v>
      </c>
      <c r="G347" s="54" t="s">
        <v>381</v>
      </c>
      <c r="H347" s="54" t="s">
        <v>969</v>
      </c>
      <c r="I347" s="125" t="s">
        <v>1145</v>
      </c>
      <c r="J347" s="92" t="s">
        <v>867</v>
      </c>
      <c r="K347" s="117" t="s">
        <v>868</v>
      </c>
      <c r="L347" s="92" t="s">
        <v>366</v>
      </c>
      <c r="M347" s="119">
        <v>13901000</v>
      </c>
      <c r="N347" s="120">
        <v>114500</v>
      </c>
    </row>
    <row r="348" spans="2:14" ht="15" customHeight="1" x14ac:dyDescent="0.2">
      <c r="B348" s="124" t="s">
        <v>737</v>
      </c>
      <c r="C348" s="113">
        <v>36271</v>
      </c>
      <c r="D348" s="115" t="s">
        <v>628</v>
      </c>
      <c r="E348" s="54" t="s">
        <v>294</v>
      </c>
      <c r="F348" s="499" t="s">
        <v>735</v>
      </c>
      <c r="G348" s="54" t="s">
        <v>381</v>
      </c>
      <c r="H348" s="54" t="s">
        <v>736</v>
      </c>
      <c r="I348" s="125">
        <v>0.02</v>
      </c>
      <c r="J348" s="92" t="s">
        <v>323</v>
      </c>
      <c r="K348" s="117" t="s">
        <v>425</v>
      </c>
      <c r="L348" s="92" t="s">
        <v>470</v>
      </c>
      <c r="M348" s="119">
        <v>10000</v>
      </c>
      <c r="N348" s="120">
        <v>5440</v>
      </c>
    </row>
    <row r="349" spans="2:14" ht="15" customHeight="1" x14ac:dyDescent="0.2">
      <c r="B349" s="124" t="s">
        <v>746</v>
      </c>
      <c r="C349" s="113">
        <v>36308</v>
      </c>
      <c r="D349" s="115" t="s">
        <v>628</v>
      </c>
      <c r="E349" s="54" t="s">
        <v>294</v>
      </c>
      <c r="F349" s="499" t="s">
        <v>744</v>
      </c>
      <c r="G349" s="54" t="s">
        <v>381</v>
      </c>
      <c r="H349" s="54" t="s">
        <v>745</v>
      </c>
      <c r="I349" s="125">
        <v>0.02</v>
      </c>
      <c r="J349" s="92" t="s">
        <v>323</v>
      </c>
      <c r="K349" s="117" t="s">
        <v>425</v>
      </c>
      <c r="L349" s="92" t="s">
        <v>470</v>
      </c>
      <c r="M349" s="119">
        <v>20000</v>
      </c>
      <c r="N349" s="120">
        <v>10670</v>
      </c>
    </row>
    <row r="350" spans="2:14" x14ac:dyDescent="0.2">
      <c r="B350" s="124"/>
      <c r="C350" s="113"/>
      <c r="D350" s="115"/>
      <c r="E350" s="54"/>
      <c r="F350" s="499"/>
      <c r="G350" s="54"/>
      <c r="H350" s="54"/>
      <c r="I350" s="125"/>
      <c r="J350" s="92"/>
      <c r="K350" s="117"/>
      <c r="L350" s="92"/>
      <c r="M350" s="119"/>
      <c r="N350" s="120"/>
    </row>
    <row r="351" spans="2:14" s="14" customFormat="1" x14ac:dyDescent="0.2">
      <c r="B351" s="136" t="s">
        <v>959</v>
      </c>
      <c r="C351" s="9"/>
      <c r="D351" s="3"/>
      <c r="E351" s="3"/>
      <c r="F351" s="494"/>
      <c r="G351" s="3"/>
      <c r="H351" s="3"/>
      <c r="I351" s="10"/>
      <c r="J351" s="11"/>
      <c r="K351" s="12"/>
      <c r="L351" s="11"/>
      <c r="M351" s="13"/>
      <c r="N351" s="89">
        <f>SUM(N352:N353)</f>
        <v>65640</v>
      </c>
    </row>
    <row r="352" spans="2:14" ht="15" customHeight="1" x14ac:dyDescent="0.2">
      <c r="B352" s="124" t="s">
        <v>712</v>
      </c>
      <c r="C352" s="113">
        <v>36187</v>
      </c>
      <c r="D352" s="115" t="s">
        <v>1065</v>
      </c>
      <c r="E352" s="54" t="s">
        <v>828</v>
      </c>
      <c r="F352" s="499" t="s">
        <v>710</v>
      </c>
      <c r="G352" s="54" t="s">
        <v>959</v>
      </c>
      <c r="H352" s="54" t="s">
        <v>711</v>
      </c>
      <c r="I352" s="55" t="s">
        <v>341</v>
      </c>
      <c r="J352" s="92" t="s">
        <v>689</v>
      </c>
      <c r="K352" s="117" t="s">
        <v>690</v>
      </c>
      <c r="L352" s="92" t="s">
        <v>302</v>
      </c>
      <c r="M352" s="119">
        <v>46600</v>
      </c>
      <c r="N352" s="120">
        <v>46600</v>
      </c>
    </row>
    <row r="353" spans="2:14" ht="15" customHeight="1" x14ac:dyDescent="0.2">
      <c r="B353" s="124" t="s">
        <v>904</v>
      </c>
      <c r="C353" s="113">
        <v>36498</v>
      </c>
      <c r="D353" s="115" t="s">
        <v>583</v>
      </c>
      <c r="E353" s="54" t="s">
        <v>828</v>
      </c>
      <c r="F353" s="499" t="s">
        <v>1767</v>
      </c>
      <c r="G353" s="54" t="s">
        <v>959</v>
      </c>
      <c r="H353" s="54" t="s">
        <v>474</v>
      </c>
      <c r="I353" s="55" t="s">
        <v>583</v>
      </c>
      <c r="J353" s="92" t="s">
        <v>689</v>
      </c>
      <c r="K353" s="117" t="s">
        <v>654</v>
      </c>
      <c r="L353" s="92" t="s">
        <v>430</v>
      </c>
      <c r="M353" s="119">
        <v>13900</v>
      </c>
      <c r="N353" s="120">
        <v>19040</v>
      </c>
    </row>
    <row r="354" spans="2:14" x14ac:dyDescent="0.2">
      <c r="B354" s="124"/>
      <c r="C354" s="113"/>
      <c r="D354" s="115"/>
      <c r="E354" s="54"/>
      <c r="F354" s="499"/>
      <c r="G354" s="54"/>
      <c r="H354" s="54"/>
      <c r="I354" s="55"/>
      <c r="J354" s="92"/>
      <c r="K354" s="117"/>
      <c r="L354" s="92"/>
      <c r="M354" s="119"/>
      <c r="N354" s="120"/>
    </row>
    <row r="355" spans="2:14" s="14" customFormat="1" x14ac:dyDescent="0.2">
      <c r="B355" s="136" t="s">
        <v>305</v>
      </c>
      <c r="C355" s="9"/>
      <c r="D355" s="3"/>
      <c r="E355" s="3"/>
      <c r="F355" s="494"/>
      <c r="G355" s="3"/>
      <c r="H355" s="3"/>
      <c r="I355" s="10"/>
      <c r="J355" s="11"/>
      <c r="K355" s="12"/>
      <c r="L355" s="11"/>
      <c r="M355" s="13"/>
      <c r="N355" s="89">
        <f>SUM(N356:N361)</f>
        <v>196839.23954000001</v>
      </c>
    </row>
    <row r="356" spans="2:14" ht="15" customHeight="1" x14ac:dyDescent="0.2">
      <c r="B356" s="124" t="s">
        <v>720</v>
      </c>
      <c r="C356" s="113">
        <v>36217</v>
      </c>
      <c r="D356" s="115" t="s">
        <v>717</v>
      </c>
      <c r="E356" s="54" t="s">
        <v>824</v>
      </c>
      <c r="F356" s="499" t="s">
        <v>718</v>
      </c>
      <c r="G356" s="54" t="s">
        <v>305</v>
      </c>
      <c r="H356" s="54" t="s">
        <v>374</v>
      </c>
      <c r="I356" s="55" t="s">
        <v>897</v>
      </c>
      <c r="J356" s="92" t="s">
        <v>898</v>
      </c>
      <c r="K356" s="117" t="s">
        <v>719</v>
      </c>
      <c r="L356" s="92" t="s">
        <v>302</v>
      </c>
      <c r="M356" s="119">
        <f>4512.585</f>
        <v>4512.585</v>
      </c>
      <c r="N356" s="120">
        <v>4513</v>
      </c>
    </row>
    <row r="357" spans="2:14" ht="15" customHeight="1" x14ac:dyDescent="0.2">
      <c r="B357" s="124" t="s">
        <v>722</v>
      </c>
      <c r="C357" s="113">
        <v>36217</v>
      </c>
      <c r="D357" s="115" t="s">
        <v>721</v>
      </c>
      <c r="E357" s="54" t="s">
        <v>516</v>
      </c>
      <c r="F357" s="499" t="s">
        <v>718</v>
      </c>
      <c r="G357" s="54" t="s">
        <v>305</v>
      </c>
      <c r="H357" s="54" t="s">
        <v>374</v>
      </c>
      <c r="I357" s="125">
        <v>7.0000000000000007E-2</v>
      </c>
      <c r="J357" s="92" t="s">
        <v>1144</v>
      </c>
      <c r="K357" s="117" t="s">
        <v>575</v>
      </c>
      <c r="L357" s="92" t="s">
        <v>302</v>
      </c>
      <c r="M357" s="119">
        <f>1907.015</f>
        <v>1907.0150000000001</v>
      </c>
      <c r="N357" s="120">
        <v>1907</v>
      </c>
    </row>
    <row r="358" spans="2:14" ht="15" customHeight="1" x14ac:dyDescent="0.2">
      <c r="B358" s="124" t="s">
        <v>732</v>
      </c>
      <c r="C358" s="113">
        <v>36258</v>
      </c>
      <c r="D358" s="115" t="s">
        <v>361</v>
      </c>
      <c r="E358" s="54" t="s">
        <v>294</v>
      </c>
      <c r="F358" s="499" t="s">
        <v>731</v>
      </c>
      <c r="G358" s="54" t="s">
        <v>305</v>
      </c>
      <c r="H358" s="54" t="s">
        <v>374</v>
      </c>
      <c r="I358" s="125" t="s">
        <v>1146</v>
      </c>
      <c r="J358" s="92" t="s">
        <v>867</v>
      </c>
      <c r="K358" s="117" t="s">
        <v>868</v>
      </c>
      <c r="L358" s="92" t="s">
        <v>366</v>
      </c>
      <c r="M358" s="119">
        <v>15833000</v>
      </c>
      <c r="N358" s="120">
        <v>130420</v>
      </c>
    </row>
    <row r="359" spans="2:14" ht="15" customHeight="1" x14ac:dyDescent="0.2">
      <c r="B359" s="124" t="s">
        <v>755</v>
      </c>
      <c r="C359" s="113">
        <v>36349</v>
      </c>
      <c r="D359" s="115" t="s">
        <v>754</v>
      </c>
      <c r="E359" s="54" t="s">
        <v>825</v>
      </c>
      <c r="F359" s="499" t="s">
        <v>718</v>
      </c>
      <c r="G359" s="54" t="s">
        <v>305</v>
      </c>
      <c r="H359" s="54" t="s">
        <v>374</v>
      </c>
      <c r="I359" s="55" t="s">
        <v>902</v>
      </c>
      <c r="J359" s="92" t="s">
        <v>898</v>
      </c>
      <c r="K359" s="117" t="s">
        <v>719</v>
      </c>
      <c r="L359" s="92" t="s">
        <v>302</v>
      </c>
      <c r="M359" s="119">
        <f>1999.23954</f>
        <v>1999.23954</v>
      </c>
      <c r="N359" s="120">
        <f>+M359</f>
        <v>1999.23954</v>
      </c>
    </row>
    <row r="360" spans="2:14" ht="15" customHeight="1" x14ac:dyDescent="0.2">
      <c r="B360" s="124" t="s">
        <v>753</v>
      </c>
      <c r="C360" s="113">
        <v>36339</v>
      </c>
      <c r="D360" s="115" t="s">
        <v>391</v>
      </c>
      <c r="E360" s="54" t="s">
        <v>828</v>
      </c>
      <c r="F360" s="499" t="s">
        <v>750</v>
      </c>
      <c r="G360" s="54" t="s">
        <v>305</v>
      </c>
      <c r="H360" s="54" t="s">
        <v>951</v>
      </c>
      <c r="I360" s="55" t="s">
        <v>751</v>
      </c>
      <c r="J360" s="92" t="s">
        <v>715</v>
      </c>
      <c r="K360" s="117" t="s">
        <v>752</v>
      </c>
      <c r="L360" s="92" t="s">
        <v>302</v>
      </c>
      <c r="M360" s="119">
        <v>50000</v>
      </c>
      <c r="N360" s="120">
        <v>50000</v>
      </c>
    </row>
    <row r="361" spans="2:14" ht="15" customHeight="1" x14ac:dyDescent="0.2">
      <c r="B361" s="124" t="s">
        <v>905</v>
      </c>
      <c r="C361" s="113">
        <v>36525</v>
      </c>
      <c r="D361" s="115" t="s">
        <v>391</v>
      </c>
      <c r="E361" s="54" t="s">
        <v>828</v>
      </c>
      <c r="F361" s="499" t="s">
        <v>984</v>
      </c>
      <c r="G361" s="54" t="s">
        <v>305</v>
      </c>
      <c r="H361" s="54" t="s">
        <v>374</v>
      </c>
      <c r="I361" s="55" t="s">
        <v>906</v>
      </c>
      <c r="J361" s="92" t="s">
        <v>852</v>
      </c>
      <c r="K361" s="117" t="s">
        <v>853</v>
      </c>
      <c r="L361" s="92" t="s">
        <v>302</v>
      </c>
      <c r="M361" s="119">
        <v>8000</v>
      </c>
      <c r="N361" s="120">
        <v>8000</v>
      </c>
    </row>
    <row r="362" spans="2:14" x14ac:dyDescent="0.2">
      <c r="B362" s="124"/>
      <c r="C362" s="113"/>
      <c r="D362" s="115"/>
      <c r="E362" s="54"/>
      <c r="F362" s="499"/>
      <c r="G362" s="54"/>
      <c r="H362" s="54"/>
      <c r="I362" s="55"/>
      <c r="J362" s="92"/>
      <c r="K362" s="117"/>
      <c r="L362" s="92"/>
      <c r="M362" s="119"/>
      <c r="N362" s="120"/>
    </row>
    <row r="363" spans="2:14" x14ac:dyDescent="0.2">
      <c r="B363" s="136" t="s">
        <v>960</v>
      </c>
      <c r="C363" s="9"/>
      <c r="D363" s="3"/>
      <c r="E363" s="3"/>
      <c r="F363" s="494"/>
      <c r="G363" s="3"/>
      <c r="H363" s="3"/>
      <c r="I363" s="10"/>
      <c r="J363" s="11"/>
      <c r="K363" s="12"/>
      <c r="L363" s="11"/>
      <c r="M363" s="13"/>
      <c r="N363" s="89">
        <f>+N364</f>
        <v>1403</v>
      </c>
    </row>
    <row r="364" spans="2:14" ht="15" customHeight="1" x14ac:dyDescent="0.2">
      <c r="B364" s="124" t="s">
        <v>770</v>
      </c>
      <c r="C364" s="113">
        <v>36422</v>
      </c>
      <c r="D364" s="115" t="s">
        <v>767</v>
      </c>
      <c r="E364" s="54" t="s">
        <v>826</v>
      </c>
      <c r="F364" s="501" t="s">
        <v>768</v>
      </c>
      <c r="G364" s="54" t="s">
        <v>960</v>
      </c>
      <c r="H364" s="54" t="s">
        <v>967</v>
      </c>
      <c r="I364" s="125">
        <v>0.08</v>
      </c>
      <c r="J364" s="92" t="s">
        <v>769</v>
      </c>
      <c r="K364" s="117" t="s">
        <v>1121</v>
      </c>
      <c r="L364" s="92" t="s">
        <v>302</v>
      </c>
      <c r="M364" s="119">
        <v>1403</v>
      </c>
      <c r="N364" s="120">
        <v>1403</v>
      </c>
    </row>
    <row r="365" spans="2:14" ht="13.5" thickBot="1" x14ac:dyDescent="0.25">
      <c r="B365" s="129"/>
      <c r="C365" s="127"/>
      <c r="D365" s="126"/>
      <c r="E365" s="137"/>
      <c r="F365" s="500"/>
      <c r="G365" s="137"/>
      <c r="H365" s="137"/>
      <c r="I365" s="130"/>
      <c r="J365" s="131"/>
      <c r="K365" s="132"/>
      <c r="L365" s="131"/>
      <c r="M365" s="134"/>
      <c r="N365" s="135"/>
    </row>
    <row r="366" spans="2:14" ht="13.5" thickTop="1" x14ac:dyDescent="0.2">
      <c r="B366" s="336"/>
      <c r="C366" s="335"/>
      <c r="D366" s="336"/>
      <c r="E366" s="467"/>
      <c r="F366" s="491"/>
      <c r="G366" s="467"/>
      <c r="H366" s="467"/>
      <c r="I366" s="337"/>
      <c r="J366" s="331"/>
      <c r="K366" s="338"/>
      <c r="L366" s="339"/>
      <c r="M366" s="332"/>
      <c r="N366" s="334"/>
    </row>
    <row r="367" spans="2:14" s="256" customFormat="1" ht="18" x14ac:dyDescent="0.25">
      <c r="B367" s="257">
        <v>2000</v>
      </c>
      <c r="C367" s="258"/>
      <c r="D367" s="257"/>
      <c r="E367" s="468"/>
      <c r="F367" s="493"/>
      <c r="G367" s="468"/>
      <c r="H367" s="468"/>
      <c r="I367" s="252"/>
      <c r="J367" s="253"/>
      <c r="K367" s="254"/>
      <c r="L367" s="253"/>
      <c r="M367" s="255"/>
      <c r="N367" s="250">
        <f>+N368+N372+N376+N379+N382+N386+N389+N392+N398+N402</f>
        <v>1261463</v>
      </c>
    </row>
    <row r="368" spans="2:14" s="14" customFormat="1" x14ac:dyDescent="0.2">
      <c r="B368" s="136" t="s">
        <v>296</v>
      </c>
      <c r="C368" s="9"/>
      <c r="D368" s="3"/>
      <c r="E368" s="3"/>
      <c r="F368" s="494"/>
      <c r="G368" s="3"/>
      <c r="H368" s="3"/>
      <c r="I368" s="10"/>
      <c r="J368" s="11"/>
      <c r="K368" s="12"/>
      <c r="L368" s="11"/>
      <c r="M368" s="13"/>
      <c r="N368" s="89">
        <f>SUM(N369:N370)</f>
        <v>62384</v>
      </c>
    </row>
    <row r="369" spans="2:14" s="84" customFormat="1" ht="15" customHeight="1" x14ac:dyDescent="0.2">
      <c r="B369" s="124" t="s">
        <v>869</v>
      </c>
      <c r="C369" s="113">
        <v>36768</v>
      </c>
      <c r="D369" s="115" t="s">
        <v>774</v>
      </c>
      <c r="E369" s="54" t="s">
        <v>972</v>
      </c>
      <c r="F369" s="499" t="s">
        <v>870</v>
      </c>
      <c r="G369" s="54" t="s">
        <v>296</v>
      </c>
      <c r="H369" s="54" t="s">
        <v>871</v>
      </c>
      <c r="I369" s="55" t="s">
        <v>872</v>
      </c>
      <c r="J369" s="92" t="s">
        <v>867</v>
      </c>
      <c r="K369" s="117" t="s">
        <v>868</v>
      </c>
      <c r="L369" s="92" t="s">
        <v>366</v>
      </c>
      <c r="M369" s="119">
        <v>5588</v>
      </c>
      <c r="N369" s="120">
        <v>52784</v>
      </c>
    </row>
    <row r="370" spans="2:14" ht="15" customHeight="1" x14ac:dyDescent="0.2">
      <c r="B370" s="124" t="s">
        <v>861</v>
      </c>
      <c r="C370" s="113">
        <v>36768</v>
      </c>
      <c r="D370" s="115" t="s">
        <v>411</v>
      </c>
      <c r="E370" s="54" t="s">
        <v>828</v>
      </c>
      <c r="F370" s="499" t="s">
        <v>862</v>
      </c>
      <c r="G370" s="54" t="s">
        <v>296</v>
      </c>
      <c r="H370" s="54" t="s">
        <v>322</v>
      </c>
      <c r="I370" s="55" t="s">
        <v>863</v>
      </c>
      <c r="J370" s="92" t="s">
        <v>610</v>
      </c>
      <c r="K370" s="117" t="s">
        <v>648</v>
      </c>
      <c r="L370" s="92" t="s">
        <v>302</v>
      </c>
      <c r="M370" s="119">
        <v>9600</v>
      </c>
      <c r="N370" s="120">
        <v>9600</v>
      </c>
    </row>
    <row r="371" spans="2:14" x14ac:dyDescent="0.2">
      <c r="B371" s="124"/>
      <c r="C371" s="113"/>
      <c r="D371" s="115"/>
      <c r="E371" s="54"/>
      <c r="F371" s="499"/>
      <c r="G371" s="54"/>
      <c r="H371" s="54"/>
      <c r="I371" s="55"/>
      <c r="J371" s="92"/>
      <c r="K371" s="117"/>
      <c r="L371" s="92"/>
      <c r="M371" s="119"/>
      <c r="N371" s="120"/>
    </row>
    <row r="372" spans="2:14" s="14" customFormat="1" x14ac:dyDescent="0.2">
      <c r="B372" s="136" t="s">
        <v>340</v>
      </c>
      <c r="C372" s="9"/>
      <c r="D372" s="3"/>
      <c r="E372" s="3"/>
      <c r="F372" s="494"/>
      <c r="G372" s="3"/>
      <c r="H372" s="3"/>
      <c r="I372" s="10"/>
      <c r="J372" s="11"/>
      <c r="K372" s="12"/>
      <c r="L372" s="11"/>
      <c r="M372" s="13"/>
      <c r="N372" s="89">
        <f>SUM(N373:N374)</f>
        <v>206500</v>
      </c>
    </row>
    <row r="373" spans="2:14" ht="15" customHeight="1" x14ac:dyDescent="0.2">
      <c r="B373" s="124" t="s">
        <v>845</v>
      </c>
      <c r="C373" s="113">
        <v>36559</v>
      </c>
      <c r="D373" s="115" t="s">
        <v>1066</v>
      </c>
      <c r="E373" s="54" t="s">
        <v>828</v>
      </c>
      <c r="F373" s="499" t="s">
        <v>846</v>
      </c>
      <c r="G373" s="54" t="s">
        <v>340</v>
      </c>
      <c r="H373" s="54" t="s">
        <v>847</v>
      </c>
      <c r="I373" s="55" t="s">
        <v>341</v>
      </c>
      <c r="J373" s="92" t="s">
        <v>610</v>
      </c>
      <c r="K373" s="117" t="s">
        <v>481</v>
      </c>
      <c r="L373" s="92" t="s">
        <v>302</v>
      </c>
      <c r="M373" s="119">
        <v>200000</v>
      </c>
      <c r="N373" s="120">
        <v>200000</v>
      </c>
    </row>
    <row r="374" spans="2:14" ht="15" customHeight="1" x14ac:dyDescent="0.2">
      <c r="B374" s="124" t="s">
        <v>848</v>
      </c>
      <c r="C374" s="113">
        <v>36596</v>
      </c>
      <c r="D374" s="115" t="s">
        <v>1067</v>
      </c>
      <c r="E374" s="54" t="s">
        <v>828</v>
      </c>
      <c r="F374" s="499" t="s">
        <v>1768</v>
      </c>
      <c r="G374" s="54" t="s">
        <v>340</v>
      </c>
      <c r="H374" s="54" t="s">
        <v>847</v>
      </c>
      <c r="I374" s="55" t="s">
        <v>341</v>
      </c>
      <c r="J374" s="92" t="s">
        <v>689</v>
      </c>
      <c r="K374" s="117" t="s">
        <v>513</v>
      </c>
      <c r="L374" s="92" t="s">
        <v>302</v>
      </c>
      <c r="M374" s="119">
        <v>6500</v>
      </c>
      <c r="N374" s="120">
        <v>6500</v>
      </c>
    </row>
    <row r="375" spans="2:14" x14ac:dyDescent="0.2">
      <c r="B375" s="124"/>
      <c r="C375" s="113"/>
      <c r="D375" s="115"/>
      <c r="E375" s="54"/>
      <c r="F375" s="499"/>
      <c r="G375" s="54"/>
      <c r="H375" s="54"/>
      <c r="I375" s="55"/>
      <c r="J375" s="92"/>
      <c r="K375" s="117"/>
      <c r="L375" s="92"/>
      <c r="M375" s="119"/>
      <c r="N375" s="120"/>
    </row>
    <row r="376" spans="2:14" s="14" customFormat="1" x14ac:dyDescent="0.2">
      <c r="B376" s="136" t="s">
        <v>621</v>
      </c>
      <c r="C376" s="9"/>
      <c r="D376" s="3"/>
      <c r="E376" s="3"/>
      <c r="F376" s="494"/>
      <c r="G376" s="3"/>
      <c r="H376" s="3"/>
      <c r="I376" s="10"/>
      <c r="J376" s="11"/>
      <c r="K376" s="12"/>
      <c r="L376" s="11"/>
      <c r="M376" s="13"/>
      <c r="N376" s="89">
        <f>SUM(N377)</f>
        <v>120000</v>
      </c>
    </row>
    <row r="377" spans="2:14" ht="15" customHeight="1" x14ac:dyDescent="0.2">
      <c r="B377" s="124" t="s">
        <v>883</v>
      </c>
      <c r="C377" s="113">
        <v>36826</v>
      </c>
      <c r="D377" s="115" t="s">
        <v>1068</v>
      </c>
      <c r="E377" s="54" t="s">
        <v>828</v>
      </c>
      <c r="F377" s="499" t="s">
        <v>985</v>
      </c>
      <c r="G377" s="54" t="s">
        <v>621</v>
      </c>
      <c r="H377" s="54" t="s">
        <v>560</v>
      </c>
      <c r="I377" s="55" t="s">
        <v>341</v>
      </c>
      <c r="J377" s="92" t="s">
        <v>884</v>
      </c>
      <c r="K377" s="117" t="s">
        <v>885</v>
      </c>
      <c r="L377" s="92" t="s">
        <v>302</v>
      </c>
      <c r="M377" s="119">
        <v>120000</v>
      </c>
      <c r="N377" s="120">
        <v>120000</v>
      </c>
    </row>
    <row r="378" spans="2:14" x14ac:dyDescent="0.2">
      <c r="B378" s="124"/>
      <c r="C378" s="113"/>
      <c r="D378" s="115"/>
      <c r="E378" s="54"/>
      <c r="F378" s="499"/>
      <c r="G378" s="54"/>
      <c r="H378" s="54"/>
      <c r="I378" s="55"/>
      <c r="J378" s="92"/>
      <c r="K378" s="117"/>
      <c r="L378" s="92"/>
      <c r="M378" s="119"/>
      <c r="N378" s="120"/>
    </row>
    <row r="379" spans="2:14" s="14" customFormat="1" x14ac:dyDescent="0.2">
      <c r="B379" s="136" t="s">
        <v>857</v>
      </c>
      <c r="C379" s="9"/>
      <c r="D379" s="3"/>
      <c r="E379" s="3"/>
      <c r="F379" s="494"/>
      <c r="G379" s="3"/>
      <c r="H379" s="3"/>
      <c r="I379" s="10"/>
      <c r="J379" s="11"/>
      <c r="K379" s="12"/>
      <c r="L379" s="11"/>
      <c r="M379" s="13"/>
      <c r="N379" s="89">
        <f>SUM(N380)</f>
        <v>5000</v>
      </c>
    </row>
    <row r="380" spans="2:14" ht="15" customHeight="1" x14ac:dyDescent="0.2">
      <c r="B380" s="124" t="s">
        <v>855</v>
      </c>
      <c r="C380" s="113">
        <v>36734</v>
      </c>
      <c r="D380" s="115" t="s">
        <v>856</v>
      </c>
      <c r="E380" s="54" t="s">
        <v>972</v>
      </c>
      <c r="F380" s="499" t="s">
        <v>857</v>
      </c>
      <c r="G380" s="54" t="s">
        <v>963</v>
      </c>
      <c r="H380" s="54" t="s">
        <v>858</v>
      </c>
      <c r="I380" s="55" t="s">
        <v>859</v>
      </c>
      <c r="J380" s="92" t="s">
        <v>610</v>
      </c>
      <c r="K380" s="117" t="s">
        <v>860</v>
      </c>
      <c r="L380" s="92" t="s">
        <v>302</v>
      </c>
      <c r="M380" s="119">
        <v>5000</v>
      </c>
      <c r="N380" s="120">
        <v>5000</v>
      </c>
    </row>
    <row r="381" spans="2:14" x14ac:dyDescent="0.2">
      <c r="B381" s="124"/>
      <c r="C381" s="113"/>
      <c r="D381" s="115"/>
      <c r="E381" s="54"/>
      <c r="F381" s="499"/>
      <c r="G381" s="54"/>
      <c r="H381" s="54"/>
      <c r="I381" s="55"/>
      <c r="J381" s="92"/>
      <c r="K381" s="117"/>
      <c r="L381" s="92"/>
      <c r="M381" s="119"/>
      <c r="N381" s="120"/>
    </row>
    <row r="382" spans="2:14" s="14" customFormat="1" x14ac:dyDescent="0.2">
      <c r="B382" s="136" t="s">
        <v>688</v>
      </c>
      <c r="C382" s="9"/>
      <c r="D382" s="3"/>
      <c r="E382" s="3"/>
      <c r="F382" s="494"/>
      <c r="G382" s="3"/>
      <c r="H382" s="3"/>
      <c r="I382" s="10"/>
      <c r="J382" s="11"/>
      <c r="K382" s="12"/>
      <c r="L382" s="11"/>
      <c r="M382" s="13"/>
      <c r="N382" s="89">
        <f>SUM(N383:N384)</f>
        <v>370000</v>
      </c>
    </row>
    <row r="383" spans="2:14" ht="15" customHeight="1" x14ac:dyDescent="0.2">
      <c r="B383" s="124" t="s">
        <v>882</v>
      </c>
      <c r="C383" s="113">
        <v>36826</v>
      </c>
      <c r="D383" s="115" t="s">
        <v>1069</v>
      </c>
      <c r="E383" s="54" t="s">
        <v>828</v>
      </c>
      <c r="F383" s="499" t="s">
        <v>1769</v>
      </c>
      <c r="G383" s="54" t="s">
        <v>688</v>
      </c>
      <c r="H383" s="54" t="s">
        <v>881</v>
      </c>
      <c r="I383" s="55" t="s">
        <v>341</v>
      </c>
      <c r="J383" s="92" t="s">
        <v>650</v>
      </c>
      <c r="K383" s="117" t="s">
        <v>821</v>
      </c>
      <c r="L383" s="92" t="s">
        <v>302</v>
      </c>
      <c r="M383" s="119">
        <v>120000</v>
      </c>
      <c r="N383" s="120">
        <v>120000</v>
      </c>
    </row>
    <row r="384" spans="2:14" ht="15" customHeight="1" x14ac:dyDescent="0.2">
      <c r="B384" s="124" t="s">
        <v>887</v>
      </c>
      <c r="C384" s="113">
        <v>36830</v>
      </c>
      <c r="D384" s="115" t="s">
        <v>391</v>
      </c>
      <c r="E384" s="54" t="s">
        <v>828</v>
      </c>
      <c r="F384" s="499" t="s">
        <v>1770</v>
      </c>
      <c r="G384" s="54" t="s">
        <v>688</v>
      </c>
      <c r="H384" s="54" t="s">
        <v>298</v>
      </c>
      <c r="I384" s="55" t="s">
        <v>888</v>
      </c>
      <c r="J384" s="92" t="s">
        <v>806</v>
      </c>
      <c r="K384" s="117" t="s">
        <v>889</v>
      </c>
      <c r="L384" s="92" t="s">
        <v>302</v>
      </c>
      <c r="M384" s="119">
        <v>250000</v>
      </c>
      <c r="N384" s="120">
        <v>250000</v>
      </c>
    </row>
    <row r="385" spans="2:14" x14ac:dyDescent="0.2">
      <c r="B385" s="124"/>
      <c r="C385" s="113"/>
      <c r="D385" s="115"/>
      <c r="E385" s="54"/>
      <c r="F385" s="499"/>
      <c r="G385" s="54"/>
      <c r="H385" s="54"/>
      <c r="I385" s="55"/>
      <c r="J385" s="92"/>
      <c r="K385" s="117"/>
      <c r="L385" s="92"/>
      <c r="M385" s="119"/>
      <c r="N385" s="120"/>
    </row>
    <row r="386" spans="2:14" s="14" customFormat="1" x14ac:dyDescent="0.2">
      <c r="B386" s="136" t="s">
        <v>960</v>
      </c>
      <c r="C386" s="9"/>
      <c r="D386" s="3"/>
      <c r="E386" s="3"/>
      <c r="F386" s="494"/>
      <c r="G386" s="3"/>
      <c r="H386" s="3"/>
      <c r="I386" s="10"/>
      <c r="J386" s="11"/>
      <c r="K386" s="12"/>
      <c r="L386" s="11"/>
      <c r="M386" s="13"/>
      <c r="N386" s="89">
        <f>+N387</f>
        <v>3500</v>
      </c>
    </row>
    <row r="387" spans="2:14" ht="15" customHeight="1" x14ac:dyDescent="0.2">
      <c r="B387" s="124" t="s">
        <v>877</v>
      </c>
      <c r="C387" s="113">
        <v>36802</v>
      </c>
      <c r="D387" s="115" t="s">
        <v>767</v>
      </c>
      <c r="E387" s="54" t="s">
        <v>892</v>
      </c>
      <c r="F387" s="499" t="s">
        <v>910</v>
      </c>
      <c r="G387" s="54" t="s">
        <v>960</v>
      </c>
      <c r="H387" s="54" t="s">
        <v>967</v>
      </c>
      <c r="I387" s="125">
        <v>0.09</v>
      </c>
      <c r="J387" s="92" t="s">
        <v>875</v>
      </c>
      <c r="K387" s="117" t="s">
        <v>893</v>
      </c>
      <c r="L387" s="92" t="s">
        <v>302</v>
      </c>
      <c r="M387" s="119">
        <v>3500</v>
      </c>
      <c r="N387" s="120">
        <v>3500</v>
      </c>
    </row>
    <row r="388" spans="2:14" x14ac:dyDescent="0.2">
      <c r="B388" s="124"/>
      <c r="C388" s="113"/>
      <c r="D388" s="115"/>
      <c r="E388" s="54"/>
      <c r="F388" s="499"/>
      <c r="G388" s="54"/>
      <c r="H388" s="54"/>
      <c r="I388" s="125"/>
      <c r="J388" s="92"/>
      <c r="K388" s="117"/>
      <c r="L388" s="92"/>
      <c r="M388" s="119"/>
      <c r="N388" s="120"/>
    </row>
    <row r="389" spans="2:14" s="14" customFormat="1" x14ac:dyDescent="0.2">
      <c r="B389" s="136" t="s">
        <v>438</v>
      </c>
      <c r="C389" s="9"/>
      <c r="D389" s="3"/>
      <c r="E389" s="3"/>
      <c r="F389" s="494"/>
      <c r="G389" s="3"/>
      <c r="H389" s="3"/>
      <c r="I389" s="10"/>
      <c r="J389" s="11"/>
      <c r="K389" s="12"/>
      <c r="L389" s="11"/>
      <c r="M389" s="13"/>
      <c r="N389" s="89">
        <f>+N390</f>
        <v>87000</v>
      </c>
    </row>
    <row r="390" spans="2:14" ht="15" customHeight="1" x14ac:dyDescent="0.2">
      <c r="B390" s="124" t="s">
        <v>886</v>
      </c>
      <c r="C390" s="113">
        <v>36829</v>
      </c>
      <c r="D390" s="115" t="s">
        <v>1070</v>
      </c>
      <c r="E390" s="54" t="s">
        <v>828</v>
      </c>
      <c r="F390" s="499" t="s">
        <v>912</v>
      </c>
      <c r="G390" s="54" t="s">
        <v>438</v>
      </c>
      <c r="H390" s="54" t="s">
        <v>439</v>
      </c>
      <c r="I390" s="55" t="s">
        <v>341</v>
      </c>
      <c r="J390" s="92" t="s">
        <v>884</v>
      </c>
      <c r="K390" s="117" t="s">
        <v>885</v>
      </c>
      <c r="L390" s="92" t="s">
        <v>302</v>
      </c>
      <c r="M390" s="119">
        <v>87000</v>
      </c>
      <c r="N390" s="120">
        <v>87000</v>
      </c>
    </row>
    <row r="391" spans="2:14" x14ac:dyDescent="0.2">
      <c r="B391" s="124"/>
      <c r="C391" s="113"/>
      <c r="D391" s="115"/>
      <c r="E391" s="54"/>
      <c r="F391" s="499"/>
      <c r="G391" s="54"/>
      <c r="H391" s="54"/>
      <c r="I391" s="55"/>
      <c r="J391" s="92"/>
      <c r="K391" s="117"/>
      <c r="L391" s="92"/>
      <c r="M391" s="119"/>
      <c r="N391" s="120"/>
    </row>
    <row r="392" spans="2:14" s="14" customFormat="1" x14ac:dyDescent="0.2">
      <c r="B392" s="136" t="s">
        <v>381</v>
      </c>
      <c r="C392" s="9"/>
      <c r="D392" s="3"/>
      <c r="E392" s="3"/>
      <c r="F392" s="494"/>
      <c r="G392" s="3"/>
      <c r="H392" s="3"/>
      <c r="I392" s="10"/>
      <c r="J392" s="11"/>
      <c r="K392" s="12"/>
      <c r="L392" s="11"/>
      <c r="M392" s="13"/>
      <c r="N392" s="89">
        <f>SUM(N393:N396)</f>
        <v>336902</v>
      </c>
    </row>
    <row r="393" spans="2:14" s="14" customFormat="1" ht="15" customHeight="1" x14ac:dyDescent="0.2">
      <c r="B393" s="124" t="s">
        <v>849</v>
      </c>
      <c r="C393" s="113">
        <v>36643</v>
      </c>
      <c r="D393" s="115" t="s">
        <v>391</v>
      </c>
      <c r="E393" s="54" t="s">
        <v>828</v>
      </c>
      <c r="F393" s="499" t="s">
        <v>850</v>
      </c>
      <c r="G393" s="465" t="s">
        <v>381</v>
      </c>
      <c r="H393" s="54" t="s">
        <v>382</v>
      </c>
      <c r="I393" s="55" t="s">
        <v>851</v>
      </c>
      <c r="J393" s="92" t="s">
        <v>852</v>
      </c>
      <c r="K393" s="117" t="s">
        <v>853</v>
      </c>
      <c r="L393" s="92" t="s">
        <v>302</v>
      </c>
      <c r="M393" s="119">
        <v>25000</v>
      </c>
      <c r="N393" s="120">
        <v>25000</v>
      </c>
    </row>
    <row r="394" spans="2:14" ht="15" customHeight="1" x14ac:dyDescent="0.2">
      <c r="B394" s="124" t="s">
        <v>873</v>
      </c>
      <c r="C394" s="113">
        <v>36768</v>
      </c>
      <c r="D394" s="115" t="s">
        <v>774</v>
      </c>
      <c r="E394" s="54" t="s">
        <v>972</v>
      </c>
      <c r="F394" s="499" t="s">
        <v>1771</v>
      </c>
      <c r="G394" s="54" t="s">
        <v>381</v>
      </c>
      <c r="H394" s="54" t="s">
        <v>968</v>
      </c>
      <c r="I394" s="125" t="s">
        <v>874</v>
      </c>
      <c r="J394" s="92" t="s">
        <v>867</v>
      </c>
      <c r="K394" s="117" t="s">
        <v>868</v>
      </c>
      <c r="L394" s="92" t="s">
        <v>366</v>
      </c>
      <c r="M394" s="119">
        <v>7636000</v>
      </c>
      <c r="N394" s="120">
        <v>72130</v>
      </c>
    </row>
    <row r="395" spans="2:14" ht="15" customHeight="1" x14ac:dyDescent="0.2">
      <c r="B395" s="124" t="s">
        <v>876</v>
      </c>
      <c r="C395" s="113">
        <v>36768</v>
      </c>
      <c r="D395" s="115" t="s">
        <v>774</v>
      </c>
      <c r="E395" s="54" t="s">
        <v>972</v>
      </c>
      <c r="F395" s="499" t="s">
        <v>911</v>
      </c>
      <c r="G395" s="54" t="s">
        <v>381</v>
      </c>
      <c r="H395" s="54" t="s">
        <v>382</v>
      </c>
      <c r="I395" s="125" t="s">
        <v>874</v>
      </c>
      <c r="J395" s="92" t="s">
        <v>867</v>
      </c>
      <c r="K395" s="117" t="s">
        <v>868</v>
      </c>
      <c r="L395" s="92" t="s">
        <v>366</v>
      </c>
      <c r="M395" s="119">
        <v>24854000</v>
      </c>
      <c r="N395" s="120">
        <v>234771</v>
      </c>
    </row>
    <row r="396" spans="2:14" ht="15" customHeight="1" x14ac:dyDescent="0.2">
      <c r="B396" s="124" t="s">
        <v>880</v>
      </c>
      <c r="C396" s="113">
        <v>36815</v>
      </c>
      <c r="D396" s="115" t="s">
        <v>878</v>
      </c>
      <c r="E396" s="54" t="s">
        <v>972</v>
      </c>
      <c r="F396" s="499" t="s">
        <v>1772</v>
      </c>
      <c r="G396" s="54" t="s">
        <v>381</v>
      </c>
      <c r="H396" s="54" t="s">
        <v>879</v>
      </c>
      <c r="I396" s="125">
        <v>0.02</v>
      </c>
      <c r="J396" s="92" t="s">
        <v>323</v>
      </c>
      <c r="K396" s="117" t="s">
        <v>425</v>
      </c>
      <c r="L396" s="92" t="s">
        <v>470</v>
      </c>
      <c r="M396" s="119">
        <v>11500</v>
      </c>
      <c r="N396" s="120">
        <v>5001</v>
      </c>
    </row>
    <row r="397" spans="2:14" x14ac:dyDescent="0.2">
      <c r="B397" s="124"/>
      <c r="C397" s="113"/>
      <c r="D397" s="115"/>
      <c r="E397" s="54"/>
      <c r="F397" s="499"/>
      <c r="G397" s="465"/>
      <c r="H397" s="54"/>
      <c r="I397" s="55"/>
      <c r="J397" s="92"/>
      <c r="K397" s="117"/>
      <c r="L397" s="92"/>
      <c r="M397" s="119"/>
      <c r="N397" s="120"/>
    </row>
    <row r="398" spans="2:14" s="14" customFormat="1" x14ac:dyDescent="0.2">
      <c r="B398" s="136" t="s">
        <v>959</v>
      </c>
      <c r="C398" s="9"/>
      <c r="D398" s="3"/>
      <c r="E398" s="3"/>
      <c r="F398" s="494"/>
      <c r="G398" s="3"/>
      <c r="H398" s="3"/>
      <c r="I398" s="10"/>
      <c r="J398" s="11"/>
      <c r="K398" s="12"/>
      <c r="L398" s="11"/>
      <c r="M398" s="13"/>
      <c r="N398" s="89">
        <f>SUM(N399:N400)</f>
        <v>69176</v>
      </c>
    </row>
    <row r="399" spans="2:14" ht="15" customHeight="1" x14ac:dyDescent="0.2">
      <c r="B399" s="124" t="s">
        <v>864</v>
      </c>
      <c r="C399" s="113" t="s">
        <v>1133</v>
      </c>
      <c r="D399" s="115" t="s">
        <v>774</v>
      </c>
      <c r="E399" s="54" t="s">
        <v>972</v>
      </c>
      <c r="F399" s="499" t="s">
        <v>865</v>
      </c>
      <c r="G399" s="54" t="s">
        <v>959</v>
      </c>
      <c r="H399" s="54" t="s">
        <v>474</v>
      </c>
      <c r="I399" s="55" t="s">
        <v>866</v>
      </c>
      <c r="J399" s="92" t="s">
        <v>867</v>
      </c>
      <c r="K399" s="117" t="s">
        <v>868</v>
      </c>
      <c r="L399" s="92" t="s">
        <v>366</v>
      </c>
      <c r="M399" s="119">
        <v>6794000</v>
      </c>
      <c r="N399" s="120">
        <v>64176</v>
      </c>
    </row>
    <row r="400" spans="2:14" ht="15" customHeight="1" x14ac:dyDescent="0.2">
      <c r="B400" s="124" t="s">
        <v>890</v>
      </c>
      <c r="C400" s="113">
        <v>36840</v>
      </c>
      <c r="D400" s="115" t="s">
        <v>1071</v>
      </c>
      <c r="E400" s="54" t="s">
        <v>828</v>
      </c>
      <c r="F400" s="499" t="s">
        <v>913</v>
      </c>
      <c r="G400" s="54" t="s">
        <v>959</v>
      </c>
      <c r="H400" s="54" t="s">
        <v>711</v>
      </c>
      <c r="I400" s="55" t="s">
        <v>891</v>
      </c>
      <c r="J400" s="92" t="s">
        <v>610</v>
      </c>
      <c r="K400" s="117" t="s">
        <v>648</v>
      </c>
      <c r="L400" s="92" t="s">
        <v>302</v>
      </c>
      <c r="M400" s="119">
        <v>5000</v>
      </c>
      <c r="N400" s="120">
        <v>5000</v>
      </c>
    </row>
    <row r="401" spans="2:14" x14ac:dyDescent="0.2">
      <c r="B401" s="124"/>
      <c r="C401" s="113"/>
      <c r="D401" s="115"/>
      <c r="E401" s="54"/>
      <c r="F401" s="499"/>
      <c r="G401" s="54"/>
      <c r="H401" s="54"/>
      <c r="I401" s="55"/>
      <c r="J401" s="92"/>
      <c r="K401" s="117"/>
      <c r="L401" s="92"/>
      <c r="M401" s="119"/>
      <c r="N401" s="120"/>
    </row>
    <row r="402" spans="2:14" s="14" customFormat="1" x14ac:dyDescent="0.2">
      <c r="B402" s="136" t="s">
        <v>305</v>
      </c>
      <c r="C402" s="9"/>
      <c r="D402" s="3"/>
      <c r="E402" s="3"/>
      <c r="F402" s="494"/>
      <c r="G402" s="3"/>
      <c r="H402" s="3"/>
      <c r="I402" s="10"/>
      <c r="J402" s="11"/>
      <c r="K402" s="12"/>
      <c r="L402" s="11"/>
      <c r="M402" s="13"/>
      <c r="N402" s="89">
        <f>SUM(N403)</f>
        <v>1001</v>
      </c>
    </row>
    <row r="403" spans="2:14" ht="15" customHeight="1" thickBot="1" x14ac:dyDescent="0.25">
      <c r="B403" s="129" t="s">
        <v>854</v>
      </c>
      <c r="C403" s="127">
        <v>36707</v>
      </c>
      <c r="D403" s="126" t="s">
        <v>721</v>
      </c>
      <c r="E403" s="137" t="s">
        <v>516</v>
      </c>
      <c r="F403" s="500" t="s">
        <v>1773</v>
      </c>
      <c r="G403" s="137" t="s">
        <v>305</v>
      </c>
      <c r="H403" s="137" t="s">
        <v>374</v>
      </c>
      <c r="I403" s="138">
        <v>7.0000000000000007E-2</v>
      </c>
      <c r="J403" s="131" t="s">
        <v>660</v>
      </c>
      <c r="K403" s="132" t="s">
        <v>575</v>
      </c>
      <c r="L403" s="131" t="s">
        <v>302</v>
      </c>
      <c r="M403" s="134">
        <v>1001</v>
      </c>
      <c r="N403" s="135">
        <v>1001</v>
      </c>
    </row>
    <row r="404" spans="2:14" ht="13.5" thickTop="1" x14ac:dyDescent="0.2">
      <c r="B404" s="336"/>
      <c r="C404" s="335"/>
      <c r="D404" s="336"/>
      <c r="E404" s="467"/>
      <c r="F404" s="491"/>
      <c r="G404" s="467"/>
      <c r="H404" s="467"/>
      <c r="I404" s="337"/>
      <c r="J404" s="331"/>
      <c r="K404" s="338"/>
      <c r="L404" s="339"/>
      <c r="M404" s="332"/>
      <c r="N404" s="334"/>
    </row>
    <row r="405" spans="2:14" s="256" customFormat="1" ht="18" x14ac:dyDescent="0.25">
      <c r="B405" s="257">
        <v>2001</v>
      </c>
      <c r="C405" s="258"/>
      <c r="D405" s="257"/>
      <c r="E405" s="468"/>
      <c r="F405" s="493"/>
      <c r="G405" s="468"/>
      <c r="H405" s="468"/>
      <c r="I405" s="252"/>
      <c r="J405" s="253"/>
      <c r="K405" s="254"/>
      <c r="L405" s="253"/>
      <c r="M405" s="255"/>
      <c r="N405" s="250">
        <f>+N407+N410+N416+N419+N423+N426</f>
        <v>1050300</v>
      </c>
    </row>
    <row r="406" spans="2:14" x14ac:dyDescent="0.2">
      <c r="B406" s="136"/>
      <c r="C406" s="113"/>
      <c r="D406" s="115"/>
      <c r="E406" s="54"/>
      <c r="F406" s="499"/>
      <c r="G406" s="54"/>
      <c r="H406" s="54"/>
      <c r="I406" s="139"/>
      <c r="J406" s="92"/>
      <c r="K406" s="117"/>
      <c r="L406" s="92"/>
      <c r="M406" s="140"/>
      <c r="N406" s="141"/>
    </row>
    <row r="407" spans="2:14" x14ac:dyDescent="0.2">
      <c r="B407" s="136" t="s">
        <v>296</v>
      </c>
      <c r="C407" s="113"/>
      <c r="D407" s="115"/>
      <c r="E407" s="54"/>
      <c r="F407" s="499"/>
      <c r="G407" s="54"/>
      <c r="H407" s="54"/>
      <c r="I407" s="139"/>
      <c r="J407" s="92"/>
      <c r="K407" s="117"/>
      <c r="L407" s="92"/>
      <c r="M407" s="140"/>
      <c r="N407" s="89">
        <f>SUM(N408)</f>
        <v>23300</v>
      </c>
    </row>
    <row r="408" spans="2:14" ht="15" customHeight="1" x14ac:dyDescent="0.2">
      <c r="B408" s="124" t="s">
        <v>1018</v>
      </c>
      <c r="C408" s="113">
        <v>37085</v>
      </c>
      <c r="D408" s="124" t="s">
        <v>1072</v>
      </c>
      <c r="E408" s="54" t="s">
        <v>828</v>
      </c>
      <c r="F408" s="499" t="s">
        <v>1019</v>
      </c>
      <c r="G408" s="54" t="s">
        <v>296</v>
      </c>
      <c r="H408" s="54" t="s">
        <v>1014</v>
      </c>
      <c r="I408" s="55" t="s">
        <v>1122</v>
      </c>
      <c r="J408" s="92" t="s">
        <v>764</v>
      </c>
      <c r="K408" s="117" t="s">
        <v>765</v>
      </c>
      <c r="L408" s="92" t="s">
        <v>302</v>
      </c>
      <c r="M408" s="119">
        <v>23300</v>
      </c>
      <c r="N408" s="120">
        <v>23300</v>
      </c>
    </row>
    <row r="409" spans="2:14" x14ac:dyDescent="0.2">
      <c r="B409" s="124"/>
      <c r="C409" s="113"/>
      <c r="D409" s="124"/>
      <c r="E409" s="54"/>
      <c r="F409" s="499"/>
      <c r="G409" s="54"/>
      <c r="H409" s="54"/>
      <c r="I409" s="92"/>
      <c r="J409" s="92"/>
      <c r="K409" s="117"/>
      <c r="L409" s="92"/>
      <c r="M409" s="119"/>
      <c r="N409" s="120"/>
    </row>
    <row r="410" spans="2:14" x14ac:dyDescent="0.2">
      <c r="B410" s="136" t="s">
        <v>340</v>
      </c>
      <c r="C410" s="113"/>
      <c r="D410" s="115"/>
      <c r="E410" s="54"/>
      <c r="F410" s="499"/>
      <c r="G410" s="54"/>
      <c r="H410" s="54"/>
      <c r="I410" s="139"/>
      <c r="J410" s="92"/>
      <c r="K410" s="117"/>
      <c r="L410" s="92"/>
      <c r="M410" s="140"/>
      <c r="N410" s="89">
        <f>SUM(N411:N414)</f>
        <v>390000</v>
      </c>
    </row>
    <row r="411" spans="2:14" ht="15" customHeight="1" x14ac:dyDescent="0.2">
      <c r="B411" s="124" t="s">
        <v>1030</v>
      </c>
      <c r="C411" s="113">
        <v>36976</v>
      </c>
      <c r="D411" s="124" t="s">
        <v>1073</v>
      </c>
      <c r="E411" s="54" t="s">
        <v>828</v>
      </c>
      <c r="F411" s="501" t="s">
        <v>1031</v>
      </c>
      <c r="G411" s="54" t="s">
        <v>340</v>
      </c>
      <c r="H411" s="54" t="s">
        <v>298</v>
      </c>
      <c r="I411" s="55" t="s">
        <v>891</v>
      </c>
      <c r="J411" s="92" t="s">
        <v>610</v>
      </c>
      <c r="K411" s="117" t="s">
        <v>648</v>
      </c>
      <c r="L411" s="92" t="s">
        <v>302</v>
      </c>
      <c r="M411" s="142">
        <v>100000</v>
      </c>
      <c r="N411" s="143">
        <v>100000</v>
      </c>
    </row>
    <row r="412" spans="2:14" ht="15" customHeight="1" x14ac:dyDescent="0.2">
      <c r="B412" s="124" t="s">
        <v>1013</v>
      </c>
      <c r="C412" s="113">
        <v>37040</v>
      </c>
      <c r="D412" s="124" t="s">
        <v>1074</v>
      </c>
      <c r="E412" s="54" t="s">
        <v>828</v>
      </c>
      <c r="F412" s="499" t="s">
        <v>1774</v>
      </c>
      <c r="G412" s="54" t="s">
        <v>340</v>
      </c>
      <c r="H412" s="54" t="s">
        <v>298</v>
      </c>
      <c r="I412" s="55" t="s">
        <v>341</v>
      </c>
      <c r="J412" s="92" t="s">
        <v>719</v>
      </c>
      <c r="K412" s="117" t="s">
        <v>412</v>
      </c>
      <c r="L412" s="92" t="s">
        <v>302</v>
      </c>
      <c r="M412" s="142">
        <v>250000</v>
      </c>
      <c r="N412" s="143">
        <v>250000</v>
      </c>
    </row>
    <row r="413" spans="2:14" ht="15" customHeight="1" x14ac:dyDescent="0.2">
      <c r="B413" s="124" t="s">
        <v>1027</v>
      </c>
      <c r="C413" s="113">
        <v>37090</v>
      </c>
      <c r="D413" s="124" t="s">
        <v>1075</v>
      </c>
      <c r="E413" s="54" t="s">
        <v>828</v>
      </c>
      <c r="F413" s="499" t="s">
        <v>1775</v>
      </c>
      <c r="G413" s="54" t="s">
        <v>340</v>
      </c>
      <c r="H413" s="54" t="s">
        <v>260</v>
      </c>
      <c r="I413" s="55" t="s">
        <v>1122</v>
      </c>
      <c r="J413" s="92" t="s">
        <v>610</v>
      </c>
      <c r="K413" s="117" t="s">
        <v>1127</v>
      </c>
      <c r="L413" s="92" t="s">
        <v>302</v>
      </c>
      <c r="M413" s="119">
        <v>20000</v>
      </c>
      <c r="N413" s="120">
        <v>20000</v>
      </c>
    </row>
    <row r="414" spans="2:14" ht="15" customHeight="1" x14ac:dyDescent="0.2">
      <c r="B414" s="124" t="s">
        <v>1028</v>
      </c>
      <c r="C414" s="113">
        <v>37097</v>
      </c>
      <c r="D414" s="124" t="s">
        <v>391</v>
      </c>
      <c r="E414" s="54" t="s">
        <v>828</v>
      </c>
      <c r="F414" s="499" t="s">
        <v>1776</v>
      </c>
      <c r="G414" s="54" t="s">
        <v>340</v>
      </c>
      <c r="H414" s="54" t="s">
        <v>260</v>
      </c>
      <c r="I414" s="55" t="s">
        <v>1029</v>
      </c>
      <c r="J414" s="92" t="s">
        <v>650</v>
      </c>
      <c r="K414" s="117" t="s">
        <v>575</v>
      </c>
      <c r="L414" s="92" t="s">
        <v>302</v>
      </c>
      <c r="M414" s="119">
        <v>20000</v>
      </c>
      <c r="N414" s="120">
        <v>20000</v>
      </c>
    </row>
    <row r="415" spans="2:14" x14ac:dyDescent="0.2">
      <c r="B415" s="24"/>
      <c r="C415" s="113"/>
      <c r="D415" s="115"/>
      <c r="E415" s="54"/>
      <c r="F415" s="499"/>
      <c r="G415" s="54"/>
      <c r="H415" s="54"/>
      <c r="I415" s="139"/>
      <c r="J415" s="92"/>
      <c r="K415" s="117"/>
      <c r="L415" s="92"/>
      <c r="M415" s="140"/>
      <c r="N415" s="141"/>
    </row>
    <row r="416" spans="2:14" x14ac:dyDescent="0.2">
      <c r="B416" s="136" t="s">
        <v>857</v>
      </c>
      <c r="C416" s="113"/>
      <c r="D416" s="115"/>
      <c r="E416" s="54"/>
      <c r="F416" s="499"/>
      <c r="G416" s="54"/>
      <c r="H416" s="54"/>
      <c r="I416" s="139"/>
      <c r="J416" s="92"/>
      <c r="K416" s="117"/>
      <c r="L416" s="92"/>
      <c r="M416" s="140"/>
      <c r="N416" s="89">
        <f>SUM(N417)</f>
        <v>10000</v>
      </c>
    </row>
    <row r="417" spans="2:14" ht="15" customHeight="1" x14ac:dyDescent="0.2">
      <c r="B417" s="124" t="s">
        <v>1012</v>
      </c>
      <c r="C417" s="113">
        <v>37057</v>
      </c>
      <c r="D417" s="124" t="s">
        <v>856</v>
      </c>
      <c r="E417" s="54" t="s">
        <v>972</v>
      </c>
      <c r="F417" s="499" t="s">
        <v>782</v>
      </c>
      <c r="G417" s="165" t="s">
        <v>962</v>
      </c>
      <c r="H417" s="54" t="s">
        <v>298</v>
      </c>
      <c r="I417" s="125">
        <v>0.01</v>
      </c>
      <c r="J417" s="92" t="s">
        <v>610</v>
      </c>
      <c r="K417" s="117" t="s">
        <v>860</v>
      </c>
      <c r="L417" s="92" t="s">
        <v>302</v>
      </c>
      <c r="M417" s="142">
        <v>10000</v>
      </c>
      <c r="N417" s="143">
        <v>10000</v>
      </c>
    </row>
    <row r="418" spans="2:14" x14ac:dyDescent="0.2">
      <c r="B418" s="24"/>
      <c r="C418" s="113"/>
      <c r="D418" s="115"/>
      <c r="E418" s="54"/>
      <c r="F418" s="499"/>
      <c r="G418" s="54"/>
      <c r="H418" s="54"/>
      <c r="I418" s="139"/>
      <c r="J418" s="92"/>
      <c r="K418" s="117"/>
      <c r="L418" s="92"/>
      <c r="M418" s="140"/>
      <c r="N418" s="141"/>
    </row>
    <row r="419" spans="2:14" x14ac:dyDescent="0.2">
      <c r="B419" s="136" t="s">
        <v>688</v>
      </c>
      <c r="C419" s="113"/>
      <c r="D419" s="115"/>
      <c r="E419" s="54"/>
      <c r="F419" s="499"/>
      <c r="G419" s="54"/>
      <c r="H419" s="54"/>
      <c r="I419" s="139"/>
      <c r="J419" s="92"/>
      <c r="K419" s="117"/>
      <c r="L419" s="92"/>
      <c r="M419" s="140"/>
      <c r="N419" s="89">
        <f>SUM(N420:N421)</f>
        <v>500000</v>
      </c>
    </row>
    <row r="420" spans="2:14" ht="15" customHeight="1" x14ac:dyDescent="0.2">
      <c r="B420" s="124" t="s">
        <v>1015</v>
      </c>
      <c r="C420" s="113">
        <v>37001</v>
      </c>
      <c r="D420" s="124" t="s">
        <v>391</v>
      </c>
      <c r="E420" s="54" t="s">
        <v>828</v>
      </c>
      <c r="F420" s="501" t="s">
        <v>1777</v>
      </c>
      <c r="G420" s="54" t="s">
        <v>688</v>
      </c>
      <c r="H420" s="54" t="s">
        <v>298</v>
      </c>
      <c r="I420" s="55" t="s">
        <v>1016</v>
      </c>
      <c r="J420" s="92" t="s">
        <v>695</v>
      </c>
      <c r="K420" s="117" t="s">
        <v>1017</v>
      </c>
      <c r="L420" s="92" t="s">
        <v>302</v>
      </c>
      <c r="M420" s="142">
        <v>300000</v>
      </c>
      <c r="N420" s="143">
        <v>300000</v>
      </c>
    </row>
    <row r="421" spans="2:14" ht="15" customHeight="1" x14ac:dyDescent="0.2">
      <c r="B421" s="124" t="s">
        <v>1033</v>
      </c>
      <c r="C421" s="113">
        <v>37217</v>
      </c>
      <c r="D421" s="124" t="s">
        <v>391</v>
      </c>
      <c r="E421" s="54" t="s">
        <v>828</v>
      </c>
      <c r="F421" s="501" t="s">
        <v>1778</v>
      </c>
      <c r="G421" s="54" t="s">
        <v>688</v>
      </c>
      <c r="H421" s="54" t="s">
        <v>298</v>
      </c>
      <c r="I421" s="55" t="s">
        <v>1034</v>
      </c>
      <c r="J421" s="92" t="s">
        <v>695</v>
      </c>
      <c r="K421" s="117" t="s">
        <v>1035</v>
      </c>
      <c r="L421" s="92" t="s">
        <v>302</v>
      </c>
      <c r="M421" s="142">
        <v>200000</v>
      </c>
      <c r="N421" s="143">
        <v>200000</v>
      </c>
    </row>
    <row r="422" spans="2:14" x14ac:dyDescent="0.2">
      <c r="B422" s="124"/>
      <c r="C422" s="113"/>
      <c r="D422" s="124"/>
      <c r="E422" s="54"/>
      <c r="F422" s="501"/>
      <c r="G422" s="54"/>
      <c r="H422" s="54"/>
      <c r="I422" s="111"/>
      <c r="J422" s="92"/>
      <c r="K422" s="117"/>
      <c r="L422" s="92"/>
      <c r="M422" s="142"/>
      <c r="N422" s="143"/>
    </row>
    <row r="423" spans="2:14" x14ac:dyDescent="0.2">
      <c r="B423" s="136" t="s">
        <v>438</v>
      </c>
      <c r="C423" s="113"/>
      <c r="D423" s="124"/>
      <c r="E423" s="54"/>
      <c r="F423" s="501"/>
      <c r="G423" s="54"/>
      <c r="H423" s="54"/>
      <c r="I423" s="111"/>
      <c r="J423" s="92"/>
      <c r="K423" s="117"/>
      <c r="L423" s="92"/>
      <c r="M423" s="142"/>
      <c r="N423" s="89">
        <f>SUM(N424)</f>
        <v>27000</v>
      </c>
    </row>
    <row r="424" spans="2:14" ht="15" customHeight="1" x14ac:dyDescent="0.2">
      <c r="B424" s="124" t="s">
        <v>1032</v>
      </c>
      <c r="C424" s="113">
        <v>36962</v>
      </c>
      <c r="D424" s="124" t="s">
        <v>1076</v>
      </c>
      <c r="E424" s="54" t="s">
        <v>828</v>
      </c>
      <c r="F424" s="501" t="s">
        <v>1838</v>
      </c>
      <c r="G424" s="54" t="s">
        <v>438</v>
      </c>
      <c r="H424" s="54" t="s">
        <v>439</v>
      </c>
      <c r="I424" s="55" t="s">
        <v>891</v>
      </c>
      <c r="J424" s="92" t="s">
        <v>610</v>
      </c>
      <c r="K424" s="117" t="s">
        <v>648</v>
      </c>
      <c r="L424" s="92" t="s">
        <v>302</v>
      </c>
      <c r="M424" s="142">
        <v>27000</v>
      </c>
      <c r="N424" s="143">
        <v>27000</v>
      </c>
    </row>
    <row r="425" spans="2:14" ht="12.75" customHeight="1" x14ac:dyDescent="0.2">
      <c r="B425" s="124"/>
      <c r="C425" s="113"/>
      <c r="D425" s="124"/>
      <c r="E425" s="54"/>
      <c r="F425" s="501"/>
      <c r="G425" s="54"/>
      <c r="H425" s="54"/>
      <c r="I425" s="111"/>
      <c r="J425" s="92"/>
      <c r="K425" s="117"/>
      <c r="L425" s="92"/>
      <c r="M425" s="142"/>
      <c r="N425" s="143"/>
    </row>
    <row r="426" spans="2:14" x14ac:dyDescent="0.2">
      <c r="B426" s="136" t="s">
        <v>305</v>
      </c>
      <c r="C426" s="113"/>
      <c r="D426" s="124"/>
      <c r="E426" s="54"/>
      <c r="F426" s="501"/>
      <c r="G426" s="54"/>
      <c r="H426" s="54"/>
      <c r="I426" s="111"/>
      <c r="J426" s="92"/>
      <c r="K426" s="117"/>
      <c r="L426" s="92"/>
      <c r="M426" s="142"/>
      <c r="N426" s="89">
        <f>SUM(N427:N428)</f>
        <v>100000</v>
      </c>
    </row>
    <row r="427" spans="2:14" ht="15" customHeight="1" x14ac:dyDescent="0.2">
      <c r="B427" s="124" t="s">
        <v>1020</v>
      </c>
      <c r="C427" s="113">
        <v>37060</v>
      </c>
      <c r="D427" s="124" t="s">
        <v>1077</v>
      </c>
      <c r="E427" s="54" t="s">
        <v>828</v>
      </c>
      <c r="F427" s="499" t="s">
        <v>1022</v>
      </c>
      <c r="G427" s="54" t="s">
        <v>1023</v>
      </c>
      <c r="H427" s="54" t="s">
        <v>1024</v>
      </c>
      <c r="I427" s="55" t="s">
        <v>1025</v>
      </c>
      <c r="J427" s="92" t="s">
        <v>610</v>
      </c>
      <c r="K427" s="117" t="s">
        <v>648</v>
      </c>
      <c r="L427" s="92" t="s">
        <v>302</v>
      </c>
      <c r="M427" s="142">
        <v>50000</v>
      </c>
      <c r="N427" s="143">
        <v>50000</v>
      </c>
    </row>
    <row r="428" spans="2:14" ht="15" customHeight="1" thickBot="1" x14ac:dyDescent="0.25">
      <c r="B428" s="124" t="s">
        <v>1021</v>
      </c>
      <c r="C428" s="113">
        <v>37082</v>
      </c>
      <c r="D428" s="129" t="s">
        <v>1078</v>
      </c>
      <c r="E428" s="137" t="s">
        <v>828</v>
      </c>
      <c r="F428" s="499" t="s">
        <v>1779</v>
      </c>
      <c r="G428" s="137" t="s">
        <v>1023</v>
      </c>
      <c r="H428" s="137" t="s">
        <v>1024</v>
      </c>
      <c r="I428" s="55" t="s">
        <v>1122</v>
      </c>
      <c r="J428" s="92" t="s">
        <v>764</v>
      </c>
      <c r="K428" s="117" t="s">
        <v>1026</v>
      </c>
      <c r="L428" s="130" t="s">
        <v>302</v>
      </c>
      <c r="M428" s="144">
        <v>50000</v>
      </c>
      <c r="N428" s="145">
        <v>50000</v>
      </c>
    </row>
    <row r="429" spans="2:14" ht="13.5" thickTop="1" x14ac:dyDescent="0.2">
      <c r="B429" s="336"/>
      <c r="C429" s="335"/>
      <c r="D429" s="336"/>
      <c r="E429" s="467"/>
      <c r="F429" s="491"/>
      <c r="G429" s="467"/>
      <c r="H429" s="467"/>
      <c r="I429" s="337"/>
      <c r="J429" s="331"/>
      <c r="K429" s="338"/>
      <c r="L429" s="339"/>
      <c r="M429" s="332"/>
      <c r="N429" s="334"/>
    </row>
    <row r="430" spans="2:14" s="256" customFormat="1" ht="18" x14ac:dyDescent="0.25">
      <c r="B430" s="257">
        <v>2002</v>
      </c>
      <c r="C430" s="258"/>
      <c r="D430" s="257"/>
      <c r="E430" s="468"/>
      <c r="F430" s="493"/>
      <c r="G430" s="468"/>
      <c r="H430" s="468"/>
      <c r="I430" s="252"/>
      <c r="J430" s="253"/>
      <c r="K430" s="254"/>
      <c r="L430" s="253"/>
      <c r="M430" s="255"/>
      <c r="N430" s="250">
        <f>+N431+N438+N441+N445+N449+N452</f>
        <v>1873305.7</v>
      </c>
    </row>
    <row r="431" spans="2:14" x14ac:dyDescent="0.2">
      <c r="B431" s="146" t="s">
        <v>340</v>
      </c>
      <c r="C431" s="113"/>
      <c r="D431" s="115"/>
      <c r="E431" s="54"/>
      <c r="F431" s="499"/>
      <c r="G431" s="54"/>
      <c r="H431" s="54"/>
      <c r="I431" s="147"/>
      <c r="J431" s="92"/>
      <c r="K431" s="117"/>
      <c r="L431" s="55"/>
      <c r="M431" s="140"/>
      <c r="N431" s="89">
        <f>SUM(N432:N436)</f>
        <v>1401500</v>
      </c>
    </row>
    <row r="432" spans="2:14" ht="15" customHeight="1" x14ac:dyDescent="0.2">
      <c r="B432" s="121" t="s">
        <v>1426</v>
      </c>
      <c r="C432" s="113">
        <v>37285</v>
      </c>
      <c r="D432" s="115" t="s">
        <v>1080</v>
      </c>
      <c r="E432" s="54" t="s">
        <v>1079</v>
      </c>
      <c r="F432" s="499" t="s">
        <v>1162</v>
      </c>
      <c r="G432" s="165" t="s">
        <v>340</v>
      </c>
      <c r="H432" s="54" t="s">
        <v>298</v>
      </c>
      <c r="I432" s="148">
        <v>9.1249999999999998E-2</v>
      </c>
      <c r="J432" s="105" t="s">
        <v>1081</v>
      </c>
      <c r="K432" s="117" t="s">
        <v>323</v>
      </c>
      <c r="L432" s="55" t="s">
        <v>302</v>
      </c>
      <c r="M432" s="119">
        <v>500000</v>
      </c>
      <c r="N432" s="120">
        <f>+M432</f>
        <v>500000</v>
      </c>
    </row>
    <row r="433" spans="2:14" ht="15" customHeight="1" x14ac:dyDescent="0.2">
      <c r="B433" s="121" t="s">
        <v>1090</v>
      </c>
      <c r="C433" s="113">
        <v>37432</v>
      </c>
      <c r="D433" s="115" t="s">
        <v>1091</v>
      </c>
      <c r="E433" s="54" t="s">
        <v>828</v>
      </c>
      <c r="F433" s="499" t="s">
        <v>1163</v>
      </c>
      <c r="G433" s="54" t="s">
        <v>340</v>
      </c>
      <c r="H433" s="54" t="s">
        <v>298</v>
      </c>
      <c r="I433" s="149" t="s">
        <v>1427</v>
      </c>
      <c r="J433" s="92" t="s">
        <v>853</v>
      </c>
      <c r="K433" s="117" t="s">
        <v>1092</v>
      </c>
      <c r="L433" s="55" t="s">
        <v>302</v>
      </c>
      <c r="M433" s="119">
        <v>300000</v>
      </c>
      <c r="N433" s="120">
        <f>+M433</f>
        <v>300000</v>
      </c>
    </row>
    <row r="434" spans="2:14" ht="15" customHeight="1" x14ac:dyDescent="0.2">
      <c r="B434" s="121" t="s">
        <v>1109</v>
      </c>
      <c r="C434" s="113" t="s">
        <v>1110</v>
      </c>
      <c r="D434" s="115" t="s">
        <v>1131</v>
      </c>
      <c r="E434" s="54" t="s">
        <v>828</v>
      </c>
      <c r="F434" s="499" t="s">
        <v>1164</v>
      </c>
      <c r="G434" s="54" t="s">
        <v>340</v>
      </c>
      <c r="H434" s="54" t="s">
        <v>298</v>
      </c>
      <c r="I434" s="149" t="s">
        <v>1111</v>
      </c>
      <c r="J434" s="92" t="s">
        <v>610</v>
      </c>
      <c r="K434" s="117" t="s">
        <v>648</v>
      </c>
      <c r="L434" s="55" t="s">
        <v>302</v>
      </c>
      <c r="M434" s="119">
        <v>100000</v>
      </c>
      <c r="N434" s="120">
        <f>+M434</f>
        <v>100000</v>
      </c>
    </row>
    <row r="435" spans="2:14" ht="15" customHeight="1" x14ac:dyDescent="0.2">
      <c r="B435" s="121" t="s">
        <v>1113</v>
      </c>
      <c r="C435" s="113">
        <v>37580</v>
      </c>
      <c r="D435" s="115" t="s">
        <v>1132</v>
      </c>
      <c r="E435" s="54" t="s">
        <v>828</v>
      </c>
      <c r="F435" s="499" t="s">
        <v>1780</v>
      </c>
      <c r="G435" s="54" t="s">
        <v>340</v>
      </c>
      <c r="H435" s="54" t="s">
        <v>1114</v>
      </c>
      <c r="I435" s="149" t="s">
        <v>1428</v>
      </c>
      <c r="J435" s="105" t="s">
        <v>1081</v>
      </c>
      <c r="K435" s="117" t="s">
        <v>610</v>
      </c>
      <c r="L435" s="55" t="s">
        <v>302</v>
      </c>
      <c r="M435" s="119">
        <v>1500</v>
      </c>
      <c r="N435" s="120">
        <f>+M435</f>
        <v>1500</v>
      </c>
    </row>
    <row r="436" spans="2:14" ht="15" customHeight="1" x14ac:dyDescent="0.2">
      <c r="B436" s="121" t="s">
        <v>1115</v>
      </c>
      <c r="C436" s="113">
        <v>37582</v>
      </c>
      <c r="D436" s="115" t="s">
        <v>1080</v>
      </c>
      <c r="E436" s="54" t="s">
        <v>1079</v>
      </c>
      <c r="F436" s="499" t="s">
        <v>1162</v>
      </c>
      <c r="G436" s="54" t="s">
        <v>340</v>
      </c>
      <c r="H436" s="54" t="s">
        <v>298</v>
      </c>
      <c r="I436" s="150">
        <v>9.1249999999999998E-2</v>
      </c>
      <c r="J436" s="105" t="s">
        <v>1081</v>
      </c>
      <c r="K436" s="117" t="s">
        <v>575</v>
      </c>
      <c r="L436" s="55" t="s">
        <v>302</v>
      </c>
      <c r="M436" s="119">
        <v>500000</v>
      </c>
      <c r="N436" s="120">
        <f>+M436</f>
        <v>500000</v>
      </c>
    </row>
    <row r="437" spans="2:14" x14ac:dyDescent="0.2">
      <c r="B437" s="25"/>
      <c r="C437" s="113"/>
      <c r="D437" s="115"/>
      <c r="E437" s="54"/>
      <c r="F437" s="499"/>
      <c r="G437" s="54"/>
      <c r="H437" s="54"/>
      <c r="I437" s="147"/>
      <c r="J437" s="92"/>
      <c r="K437" s="117"/>
      <c r="L437" s="55"/>
      <c r="M437" s="140"/>
      <c r="N437" s="141"/>
    </row>
    <row r="438" spans="2:14" x14ac:dyDescent="0.2">
      <c r="B438" s="102" t="s">
        <v>857</v>
      </c>
      <c r="C438" s="113"/>
      <c r="D438" s="115"/>
      <c r="E438" s="54"/>
      <c r="F438" s="499"/>
      <c r="G438" s="54"/>
      <c r="H438" s="54"/>
      <c r="I438" s="147"/>
      <c r="J438" s="92"/>
      <c r="K438" s="117"/>
      <c r="L438" s="55"/>
      <c r="M438" s="140"/>
      <c r="N438" s="89">
        <f>SUM(N439:N440)</f>
        <v>10000</v>
      </c>
    </row>
    <row r="439" spans="2:14" ht="15" customHeight="1" x14ac:dyDescent="0.2">
      <c r="B439" s="124" t="s">
        <v>1101</v>
      </c>
      <c r="C439" s="113">
        <v>37351</v>
      </c>
      <c r="D439" s="115" t="s">
        <v>1098</v>
      </c>
      <c r="E439" s="54" t="s">
        <v>294</v>
      </c>
      <c r="F439" s="499" t="s">
        <v>782</v>
      </c>
      <c r="G439" s="54" t="s">
        <v>1099</v>
      </c>
      <c r="H439" s="54" t="s">
        <v>298</v>
      </c>
      <c r="I439" s="151">
        <v>0.01</v>
      </c>
      <c r="J439" s="92" t="s">
        <v>610</v>
      </c>
      <c r="K439" s="117" t="s">
        <v>1100</v>
      </c>
      <c r="L439" s="55" t="s">
        <v>302</v>
      </c>
      <c r="M439" s="119">
        <v>10000</v>
      </c>
      <c r="N439" s="120">
        <f>+M439</f>
        <v>10000</v>
      </c>
    </row>
    <row r="440" spans="2:14" x14ac:dyDescent="0.2">
      <c r="B440" s="25"/>
      <c r="C440" s="113"/>
      <c r="D440" s="115"/>
      <c r="E440" s="54"/>
      <c r="F440" s="499"/>
      <c r="G440" s="54"/>
      <c r="H440" s="54"/>
      <c r="I440" s="147"/>
      <c r="J440" s="92"/>
      <c r="K440" s="117"/>
      <c r="L440" s="55"/>
      <c r="M440" s="140"/>
      <c r="N440" s="141"/>
    </row>
    <row r="441" spans="2:14" x14ac:dyDescent="0.2">
      <c r="B441" s="102" t="s">
        <v>381</v>
      </c>
      <c r="C441" s="113"/>
      <c r="D441" s="115"/>
      <c r="E441" s="54"/>
      <c r="F441" s="499"/>
      <c r="G441" s="54"/>
      <c r="H441" s="54"/>
      <c r="I441" s="147"/>
      <c r="J441" s="92"/>
      <c r="K441" s="117"/>
      <c r="L441" s="55"/>
      <c r="M441" s="140"/>
      <c r="N441" s="89">
        <f>SUM(N442:N443)</f>
        <v>55624.3</v>
      </c>
    </row>
    <row r="442" spans="2:14" ht="15" customHeight="1" x14ac:dyDescent="0.2">
      <c r="B442" s="121" t="s">
        <v>1082</v>
      </c>
      <c r="C442" s="113">
        <v>37385</v>
      </c>
      <c r="D442" s="115" t="s">
        <v>878</v>
      </c>
      <c r="E442" s="54" t="s">
        <v>294</v>
      </c>
      <c r="F442" s="499" t="s">
        <v>1781</v>
      </c>
      <c r="G442" s="54" t="s">
        <v>381</v>
      </c>
      <c r="H442" s="54" t="s">
        <v>1083</v>
      </c>
      <c r="I442" s="151">
        <v>0.02</v>
      </c>
      <c r="J442" s="92" t="s">
        <v>323</v>
      </c>
      <c r="K442" s="117" t="s">
        <v>425</v>
      </c>
      <c r="L442" s="55" t="s">
        <v>1084</v>
      </c>
      <c r="M442" s="119">
        <v>5113</v>
      </c>
      <c r="N442" s="120">
        <f>M442*1.1</f>
        <v>5624.3</v>
      </c>
    </row>
    <row r="443" spans="2:14" ht="15" customHeight="1" x14ac:dyDescent="0.2">
      <c r="B443" s="82" t="s">
        <v>1106</v>
      </c>
      <c r="C443" s="113" t="s">
        <v>1107</v>
      </c>
      <c r="D443" s="124" t="s">
        <v>1129</v>
      </c>
      <c r="E443" s="54" t="s">
        <v>828</v>
      </c>
      <c r="F443" s="499" t="s">
        <v>1168</v>
      </c>
      <c r="G443" s="54" t="s">
        <v>381</v>
      </c>
      <c r="H443" s="54" t="s">
        <v>1108</v>
      </c>
      <c r="I443" s="149" t="s">
        <v>1429</v>
      </c>
      <c r="J443" s="92" t="s">
        <v>752</v>
      </c>
      <c r="K443" s="117" t="s">
        <v>575</v>
      </c>
      <c r="L443" s="55" t="s">
        <v>302</v>
      </c>
      <c r="M443" s="142">
        <v>50000</v>
      </c>
      <c r="N443" s="120">
        <f>+M443</f>
        <v>50000</v>
      </c>
    </row>
    <row r="444" spans="2:14" x14ac:dyDescent="0.2">
      <c r="B444" s="82"/>
      <c r="C444" s="113"/>
      <c r="D444" s="124"/>
      <c r="E444" s="54"/>
      <c r="F444" s="499"/>
      <c r="G444" s="54"/>
      <c r="H444" s="54"/>
      <c r="I444" s="149"/>
      <c r="J444" s="92"/>
      <c r="K444" s="117"/>
      <c r="L444" s="55"/>
      <c r="M444" s="142"/>
      <c r="N444" s="120"/>
    </row>
    <row r="445" spans="2:14" x14ac:dyDescent="0.2">
      <c r="B445" s="102" t="s">
        <v>688</v>
      </c>
      <c r="C445" s="113"/>
      <c r="D445" s="115"/>
      <c r="E445" s="54"/>
      <c r="F445" s="499"/>
      <c r="G445" s="54"/>
      <c r="H445" s="54"/>
      <c r="I445" s="147"/>
      <c r="J445" s="92"/>
      <c r="K445" s="117"/>
      <c r="L445" s="55"/>
      <c r="M445" s="140"/>
      <c r="N445" s="89">
        <f>SUM(N446:N447)</f>
        <v>251181.4</v>
      </c>
    </row>
    <row r="446" spans="2:14" ht="15" customHeight="1" x14ac:dyDescent="0.2">
      <c r="B446" s="121" t="s">
        <v>1085</v>
      </c>
      <c r="C446" s="113">
        <v>37385</v>
      </c>
      <c r="D446" s="115" t="s">
        <v>878</v>
      </c>
      <c r="E446" s="54" t="s">
        <v>294</v>
      </c>
      <c r="F446" s="499" t="s">
        <v>1165</v>
      </c>
      <c r="G446" s="54" t="s">
        <v>688</v>
      </c>
      <c r="H446" s="54" t="s">
        <v>1086</v>
      </c>
      <c r="I446" s="151">
        <v>0.02</v>
      </c>
      <c r="J446" s="92" t="s">
        <v>323</v>
      </c>
      <c r="K446" s="117" t="s">
        <v>425</v>
      </c>
      <c r="L446" s="55" t="s">
        <v>1084</v>
      </c>
      <c r="M446" s="119">
        <v>1074</v>
      </c>
      <c r="N446" s="120">
        <f>M446*1.1</f>
        <v>1181.4000000000001</v>
      </c>
    </row>
    <row r="447" spans="2:14" ht="15" customHeight="1" x14ac:dyDescent="0.2">
      <c r="B447" s="121" t="s">
        <v>1087</v>
      </c>
      <c r="C447" s="113">
        <v>37392</v>
      </c>
      <c r="D447" s="115" t="s">
        <v>391</v>
      </c>
      <c r="E447" s="54" t="s">
        <v>828</v>
      </c>
      <c r="F447" s="499" t="s">
        <v>1166</v>
      </c>
      <c r="G447" s="54" t="s">
        <v>688</v>
      </c>
      <c r="H447" s="54" t="s">
        <v>1088</v>
      </c>
      <c r="I447" s="149" t="s">
        <v>1430</v>
      </c>
      <c r="J447" s="92" t="s">
        <v>715</v>
      </c>
      <c r="K447" s="117" t="s">
        <v>1089</v>
      </c>
      <c r="L447" s="55" t="s">
        <v>302</v>
      </c>
      <c r="M447" s="119">
        <v>250000</v>
      </c>
      <c r="N447" s="120">
        <f>+M447</f>
        <v>250000</v>
      </c>
    </row>
    <row r="448" spans="2:14" x14ac:dyDescent="0.2">
      <c r="B448" s="124"/>
      <c r="C448" s="113"/>
      <c r="D448" s="115"/>
      <c r="E448" s="54"/>
      <c r="F448" s="501"/>
      <c r="G448" s="54"/>
      <c r="H448" s="54"/>
      <c r="I448" s="149"/>
      <c r="J448" s="92"/>
      <c r="K448" s="117"/>
      <c r="L448" s="55"/>
      <c r="M448" s="119"/>
      <c r="N448" s="120"/>
    </row>
    <row r="449" spans="2:14" x14ac:dyDescent="0.2">
      <c r="B449" s="136" t="s">
        <v>959</v>
      </c>
      <c r="C449" s="113"/>
      <c r="D449" s="124"/>
      <c r="E449" s="54"/>
      <c r="F449" s="499"/>
      <c r="G449" s="54"/>
      <c r="H449" s="54"/>
      <c r="I449" s="92"/>
      <c r="J449" s="92"/>
      <c r="K449" s="117"/>
      <c r="L449" s="92"/>
      <c r="M449" s="142"/>
      <c r="N449" s="89">
        <f>SUM(N450:N450)</f>
        <v>150000</v>
      </c>
    </row>
    <row r="450" spans="2:14" ht="15" customHeight="1" x14ac:dyDescent="0.2">
      <c r="B450" s="82" t="s">
        <v>1102</v>
      </c>
      <c r="C450" s="113" t="s">
        <v>1103</v>
      </c>
      <c r="D450" s="124" t="s">
        <v>1128</v>
      </c>
      <c r="E450" s="54" t="s">
        <v>828</v>
      </c>
      <c r="F450" s="499" t="s">
        <v>1167</v>
      </c>
      <c r="G450" s="54" t="s">
        <v>959</v>
      </c>
      <c r="H450" s="54" t="s">
        <v>474</v>
      </c>
      <c r="I450" s="149" t="s">
        <v>1427</v>
      </c>
      <c r="J450" s="92" t="s">
        <v>1104</v>
      </c>
      <c r="K450" s="117" t="s">
        <v>1105</v>
      </c>
      <c r="L450" s="55" t="s">
        <v>302</v>
      </c>
      <c r="M450" s="142">
        <v>150000</v>
      </c>
      <c r="N450" s="120">
        <f>+M450</f>
        <v>150000</v>
      </c>
    </row>
    <row r="451" spans="2:14" x14ac:dyDescent="0.2">
      <c r="B451" s="82"/>
      <c r="C451" s="113"/>
      <c r="D451" s="124"/>
      <c r="E451" s="54"/>
      <c r="F451" s="501"/>
      <c r="G451" s="54"/>
      <c r="H451" s="54"/>
      <c r="I451" s="149"/>
      <c r="J451" s="92"/>
      <c r="K451" s="117"/>
      <c r="L451" s="55"/>
      <c r="M451" s="142"/>
      <c r="N451" s="120"/>
    </row>
    <row r="452" spans="2:14" x14ac:dyDescent="0.2">
      <c r="B452" s="136" t="s">
        <v>1117</v>
      </c>
      <c r="C452" s="113"/>
      <c r="D452" s="124"/>
      <c r="E452" s="54"/>
      <c r="F452" s="501"/>
      <c r="G452" s="54"/>
      <c r="H452" s="54"/>
      <c r="I452" s="149"/>
      <c r="J452" s="92"/>
      <c r="K452" s="117"/>
      <c r="L452" s="55"/>
      <c r="M452" s="142"/>
      <c r="N452" s="89">
        <f>SUM(N453:N453)</f>
        <v>5000</v>
      </c>
    </row>
    <row r="453" spans="2:14" ht="15" customHeight="1" thickBot="1" x14ac:dyDescent="0.25">
      <c r="B453" s="95" t="s">
        <v>1116</v>
      </c>
      <c r="C453" s="127">
        <v>37594</v>
      </c>
      <c r="D453" s="129" t="s">
        <v>1130</v>
      </c>
      <c r="E453" s="137" t="s">
        <v>828</v>
      </c>
      <c r="F453" s="500" t="s">
        <v>1782</v>
      </c>
      <c r="G453" s="137" t="s">
        <v>1117</v>
      </c>
      <c r="H453" s="137" t="s">
        <v>1117</v>
      </c>
      <c r="I453" s="152" t="s">
        <v>1431</v>
      </c>
      <c r="J453" s="131" t="s">
        <v>884</v>
      </c>
      <c r="K453" s="132" t="s">
        <v>1118</v>
      </c>
      <c r="L453" s="130" t="s">
        <v>302</v>
      </c>
      <c r="M453" s="144">
        <v>5000</v>
      </c>
      <c r="N453" s="135">
        <f>+M453</f>
        <v>5000</v>
      </c>
    </row>
    <row r="454" spans="2:14" ht="13.5" thickTop="1" x14ac:dyDescent="0.2">
      <c r="B454" s="336"/>
      <c r="C454" s="335"/>
      <c r="D454" s="336"/>
      <c r="E454" s="467"/>
      <c r="F454" s="491"/>
      <c r="G454" s="467"/>
      <c r="H454" s="467"/>
      <c r="I454" s="337"/>
      <c r="J454" s="331"/>
      <c r="K454" s="338"/>
      <c r="L454" s="339"/>
      <c r="M454" s="332"/>
      <c r="N454" s="334"/>
    </row>
    <row r="455" spans="2:14" s="256" customFormat="1" ht="18" x14ac:dyDescent="0.25">
      <c r="B455" s="257">
        <v>2003</v>
      </c>
      <c r="C455" s="258"/>
      <c r="D455" s="257"/>
      <c r="E455" s="468"/>
      <c r="F455" s="493"/>
      <c r="G455" s="468"/>
      <c r="H455" s="468"/>
      <c r="I455" s="252"/>
      <c r="J455" s="253"/>
      <c r="K455" s="254"/>
      <c r="L455" s="253"/>
      <c r="M455" s="255"/>
      <c r="N455" s="250">
        <f>+N456+N472+N469+N475+N489+N478+N482+N486</f>
        <v>2531159</v>
      </c>
    </row>
    <row r="456" spans="2:14" x14ac:dyDescent="0.2">
      <c r="B456" s="146" t="s">
        <v>340</v>
      </c>
      <c r="C456" s="113"/>
      <c r="D456" s="115"/>
      <c r="E456" s="54"/>
      <c r="F456" s="499"/>
      <c r="G456" s="54"/>
      <c r="H456" s="54"/>
      <c r="I456" s="147"/>
      <c r="J456" s="92"/>
      <c r="K456" s="117"/>
      <c r="L456" s="92"/>
      <c r="M456" s="140"/>
      <c r="N456" s="89">
        <f>SUM(N457:N467)</f>
        <v>2259609</v>
      </c>
    </row>
    <row r="457" spans="2:14" ht="15" customHeight="1" x14ac:dyDescent="0.2">
      <c r="B457" s="115" t="s">
        <v>1150</v>
      </c>
      <c r="C457" s="113">
        <v>37644</v>
      </c>
      <c r="D457" s="115" t="s">
        <v>1080</v>
      </c>
      <c r="E457" s="54" t="s">
        <v>1079</v>
      </c>
      <c r="F457" s="499" t="s">
        <v>1162</v>
      </c>
      <c r="G457" s="54" t="s">
        <v>340</v>
      </c>
      <c r="H457" s="54" t="s">
        <v>298</v>
      </c>
      <c r="I457" s="154" t="s">
        <v>1152</v>
      </c>
      <c r="J457" s="105" t="s">
        <v>1081</v>
      </c>
      <c r="K457" s="117" t="s">
        <v>1153</v>
      </c>
      <c r="L457" s="92" t="s">
        <v>302</v>
      </c>
      <c r="M457" s="229">
        <v>500000</v>
      </c>
      <c r="N457" s="120">
        <f t="shared" ref="N457:N465" si="0">+M457</f>
        <v>500000</v>
      </c>
    </row>
    <row r="458" spans="2:14" ht="15" customHeight="1" x14ac:dyDescent="0.2">
      <c r="B458" s="115" t="s">
        <v>1151</v>
      </c>
      <c r="C458" s="113">
        <v>37682</v>
      </c>
      <c r="D458" s="115" t="s">
        <v>1080</v>
      </c>
      <c r="E458" s="54" t="s">
        <v>1079</v>
      </c>
      <c r="F458" s="499" t="s">
        <v>1162</v>
      </c>
      <c r="G458" s="54" t="s">
        <v>340</v>
      </c>
      <c r="H458" s="54" t="s">
        <v>298</v>
      </c>
      <c r="I458" s="154" t="s">
        <v>1152</v>
      </c>
      <c r="J458" s="105" t="s">
        <v>1081</v>
      </c>
      <c r="K458" s="117" t="s">
        <v>1154</v>
      </c>
      <c r="L458" s="92" t="s">
        <v>302</v>
      </c>
      <c r="M458" s="229">
        <v>250000</v>
      </c>
      <c r="N458" s="120">
        <f t="shared" si="0"/>
        <v>250000</v>
      </c>
    </row>
    <row r="459" spans="2:14" ht="15" customHeight="1" x14ac:dyDescent="0.2">
      <c r="B459" s="115" t="s">
        <v>2</v>
      </c>
      <c r="C459" s="113">
        <v>37748</v>
      </c>
      <c r="D459" s="115" t="s">
        <v>341</v>
      </c>
      <c r="E459" s="54" t="s">
        <v>828</v>
      </c>
      <c r="F459" s="499" t="s">
        <v>1783</v>
      </c>
      <c r="G459" s="54" t="s">
        <v>340</v>
      </c>
      <c r="H459" s="54" t="s">
        <v>3</v>
      </c>
      <c r="I459" s="149" t="s">
        <v>1431</v>
      </c>
      <c r="J459" s="92" t="s">
        <v>4</v>
      </c>
      <c r="K459" s="117" t="s">
        <v>610</v>
      </c>
      <c r="L459" s="92" t="s">
        <v>302</v>
      </c>
      <c r="M459" s="229">
        <v>750</v>
      </c>
      <c r="N459" s="120">
        <f t="shared" si="0"/>
        <v>750</v>
      </c>
    </row>
    <row r="460" spans="2:14" ht="15" customHeight="1" x14ac:dyDescent="0.2">
      <c r="B460" s="82" t="s">
        <v>15</v>
      </c>
      <c r="C460" s="113">
        <v>37853</v>
      </c>
      <c r="D460" s="115" t="s">
        <v>391</v>
      </c>
      <c r="E460" s="54" t="s">
        <v>828</v>
      </c>
      <c r="F460" s="499" t="s">
        <v>16</v>
      </c>
      <c r="G460" s="54" t="s">
        <v>340</v>
      </c>
      <c r="H460" s="54" t="s">
        <v>17</v>
      </c>
      <c r="I460" s="149" t="s">
        <v>1432</v>
      </c>
      <c r="J460" s="92" t="s">
        <v>852</v>
      </c>
      <c r="K460" s="117" t="s">
        <v>323</v>
      </c>
      <c r="L460" s="92" t="s">
        <v>302</v>
      </c>
      <c r="M460" s="229">
        <v>172000</v>
      </c>
      <c r="N460" s="120">
        <f t="shared" si="0"/>
        <v>172000</v>
      </c>
    </row>
    <row r="461" spans="2:14" ht="15" customHeight="1" x14ac:dyDescent="0.2">
      <c r="B461" s="115" t="s">
        <v>23</v>
      </c>
      <c r="C461" s="113">
        <v>37881</v>
      </c>
      <c r="D461" s="115" t="s">
        <v>391</v>
      </c>
      <c r="E461" s="54" t="s">
        <v>828</v>
      </c>
      <c r="F461" s="499" t="s">
        <v>1784</v>
      </c>
      <c r="G461" s="54" t="s">
        <v>340</v>
      </c>
      <c r="H461" s="54" t="s">
        <v>298</v>
      </c>
      <c r="I461" s="149" t="s">
        <v>1432</v>
      </c>
      <c r="J461" s="92" t="s">
        <v>715</v>
      </c>
      <c r="K461" s="117" t="s">
        <v>1089</v>
      </c>
      <c r="L461" s="92" t="s">
        <v>302</v>
      </c>
      <c r="M461" s="229">
        <v>115000</v>
      </c>
      <c r="N461" s="120">
        <f t="shared" si="0"/>
        <v>115000</v>
      </c>
    </row>
    <row r="462" spans="2:14" ht="15" customHeight="1" x14ac:dyDescent="0.2">
      <c r="B462" s="115" t="s">
        <v>23</v>
      </c>
      <c r="C462" s="113">
        <v>37881</v>
      </c>
      <c r="D462" s="115" t="s">
        <v>391</v>
      </c>
      <c r="E462" s="54" t="s">
        <v>828</v>
      </c>
      <c r="F462" s="499" t="s">
        <v>1784</v>
      </c>
      <c r="G462" s="54" t="s">
        <v>340</v>
      </c>
      <c r="H462" s="54" t="s">
        <v>298</v>
      </c>
      <c r="I462" s="149" t="s">
        <v>1433</v>
      </c>
      <c r="J462" s="92" t="s">
        <v>715</v>
      </c>
      <c r="K462" s="117" t="s">
        <v>1089</v>
      </c>
      <c r="L462" s="92" t="s">
        <v>302</v>
      </c>
      <c r="M462" s="229">
        <v>113000</v>
      </c>
      <c r="N462" s="120">
        <f t="shared" si="0"/>
        <v>113000</v>
      </c>
    </row>
    <row r="463" spans="2:14" ht="15" customHeight="1" x14ac:dyDescent="0.2">
      <c r="B463" s="115" t="s">
        <v>28</v>
      </c>
      <c r="C463" s="113">
        <v>37939</v>
      </c>
      <c r="D463" s="115" t="s">
        <v>1080</v>
      </c>
      <c r="E463" s="54" t="s">
        <v>1079</v>
      </c>
      <c r="F463" s="499" t="s">
        <v>1162</v>
      </c>
      <c r="G463" s="54" t="s">
        <v>340</v>
      </c>
      <c r="H463" s="54" t="s">
        <v>298</v>
      </c>
      <c r="I463" s="151">
        <v>8.7499999999999994E-2</v>
      </c>
      <c r="J463" s="105" t="s">
        <v>1081</v>
      </c>
      <c r="K463" s="117" t="s">
        <v>468</v>
      </c>
      <c r="L463" s="92" t="s">
        <v>302</v>
      </c>
      <c r="M463" s="229">
        <v>500000</v>
      </c>
      <c r="N463" s="120">
        <f t="shared" si="0"/>
        <v>500000</v>
      </c>
    </row>
    <row r="464" spans="2:14" ht="15" customHeight="1" x14ac:dyDescent="0.2">
      <c r="B464" s="115" t="s">
        <v>29</v>
      </c>
      <c r="C464" s="113">
        <v>37939</v>
      </c>
      <c r="D464" s="115" t="s">
        <v>411</v>
      </c>
      <c r="E464" s="54" t="s">
        <v>828</v>
      </c>
      <c r="F464" s="499" t="s">
        <v>30</v>
      </c>
      <c r="G464" s="54" t="s">
        <v>340</v>
      </c>
      <c r="H464" s="54" t="s">
        <v>298</v>
      </c>
      <c r="I464" s="147" t="s">
        <v>1434</v>
      </c>
      <c r="J464" s="92" t="s">
        <v>752</v>
      </c>
      <c r="K464" s="117" t="s">
        <v>585</v>
      </c>
      <c r="L464" s="92" t="s">
        <v>302</v>
      </c>
      <c r="M464" s="229">
        <v>150000</v>
      </c>
      <c r="N464" s="120">
        <f t="shared" si="0"/>
        <v>150000</v>
      </c>
    </row>
    <row r="465" spans="2:14" ht="15" customHeight="1" x14ac:dyDescent="0.2">
      <c r="B465" s="115" t="s">
        <v>31</v>
      </c>
      <c r="C465" s="113">
        <v>37957</v>
      </c>
      <c r="D465" s="115" t="s">
        <v>341</v>
      </c>
      <c r="E465" s="54" t="s">
        <v>828</v>
      </c>
      <c r="F465" s="499" t="s">
        <v>1785</v>
      </c>
      <c r="G465" s="54" t="s">
        <v>340</v>
      </c>
      <c r="H465" s="54" t="s">
        <v>3</v>
      </c>
      <c r="I465" s="149" t="s">
        <v>1431</v>
      </c>
      <c r="J465" s="92" t="s">
        <v>610</v>
      </c>
      <c r="K465" s="117" t="s">
        <v>481</v>
      </c>
      <c r="L465" s="92" t="s">
        <v>302</v>
      </c>
      <c r="M465" s="229">
        <v>300000</v>
      </c>
      <c r="N465" s="120">
        <f t="shared" si="0"/>
        <v>300000</v>
      </c>
    </row>
    <row r="466" spans="2:14" ht="15" customHeight="1" x14ac:dyDescent="0.2">
      <c r="B466" s="115" t="s">
        <v>64</v>
      </c>
      <c r="C466" s="113">
        <v>37957</v>
      </c>
      <c r="D466" s="115" t="s">
        <v>411</v>
      </c>
      <c r="E466" s="54" t="s">
        <v>828</v>
      </c>
      <c r="F466" s="499" t="s">
        <v>1786</v>
      </c>
      <c r="G466" s="54" t="s">
        <v>340</v>
      </c>
      <c r="H466" s="54" t="s">
        <v>3</v>
      </c>
      <c r="I466" s="147" t="s">
        <v>1434</v>
      </c>
      <c r="J466" s="92" t="s">
        <v>752</v>
      </c>
      <c r="K466" s="117" t="s">
        <v>575</v>
      </c>
      <c r="L466" s="92" t="s">
        <v>302</v>
      </c>
      <c r="M466" s="229">
        <v>150000</v>
      </c>
      <c r="N466" s="120">
        <v>150000</v>
      </c>
    </row>
    <row r="467" spans="2:14" ht="15" customHeight="1" x14ac:dyDescent="0.2">
      <c r="B467" s="115" t="s">
        <v>65</v>
      </c>
      <c r="C467" s="113">
        <v>37974</v>
      </c>
      <c r="D467" s="115" t="s">
        <v>341</v>
      </c>
      <c r="E467" s="54" t="s">
        <v>828</v>
      </c>
      <c r="F467" s="501" t="s">
        <v>1787</v>
      </c>
      <c r="G467" s="54" t="s">
        <v>697</v>
      </c>
      <c r="H467" s="54" t="s">
        <v>697</v>
      </c>
      <c r="I467" s="149" t="s">
        <v>1431</v>
      </c>
      <c r="J467" s="92" t="s">
        <v>650</v>
      </c>
      <c r="K467" s="117" t="s">
        <v>540</v>
      </c>
      <c r="L467" s="92" t="s">
        <v>302</v>
      </c>
      <c r="M467" s="229">
        <v>8859</v>
      </c>
      <c r="N467" s="120">
        <v>8859</v>
      </c>
    </row>
    <row r="468" spans="2:14" x14ac:dyDescent="0.2">
      <c r="B468" s="115"/>
      <c r="C468" s="113"/>
      <c r="D468" s="115"/>
      <c r="E468" s="54"/>
      <c r="F468" s="499"/>
      <c r="G468" s="54"/>
      <c r="H468" s="54"/>
      <c r="I468" s="149"/>
      <c r="J468" s="92"/>
      <c r="K468" s="117"/>
      <c r="L468" s="92"/>
      <c r="M468" s="229"/>
      <c r="N468" s="120"/>
    </row>
    <row r="469" spans="2:14" x14ac:dyDescent="0.2">
      <c r="B469" s="102" t="s">
        <v>621</v>
      </c>
      <c r="C469" s="113"/>
      <c r="D469" s="115"/>
      <c r="E469" s="54"/>
      <c r="F469" s="499"/>
      <c r="G469" s="54"/>
      <c r="H469" s="54"/>
      <c r="I469" s="149"/>
      <c r="J469" s="92"/>
      <c r="K469" s="117"/>
      <c r="L469" s="92"/>
      <c r="M469" s="229"/>
      <c r="N469" s="89">
        <f>+N470</f>
        <v>52500</v>
      </c>
    </row>
    <row r="470" spans="2:14" ht="15" customHeight="1" x14ac:dyDescent="0.2">
      <c r="B470" s="115" t="s">
        <v>1160</v>
      </c>
      <c r="C470" s="113">
        <v>37881</v>
      </c>
      <c r="D470" s="115" t="s">
        <v>411</v>
      </c>
      <c r="E470" s="54" t="s">
        <v>828</v>
      </c>
      <c r="F470" s="499" t="s">
        <v>1169</v>
      </c>
      <c r="G470" s="54" t="s">
        <v>621</v>
      </c>
      <c r="H470" s="54" t="s">
        <v>1161</v>
      </c>
      <c r="I470" s="147" t="s">
        <v>1434</v>
      </c>
      <c r="J470" s="92" t="s">
        <v>752</v>
      </c>
      <c r="K470" s="117" t="s">
        <v>575</v>
      </c>
      <c r="L470" s="92" t="s">
        <v>302</v>
      </c>
      <c r="M470" s="229">
        <v>52500</v>
      </c>
      <c r="N470" s="120">
        <f>+M470</f>
        <v>52500</v>
      </c>
    </row>
    <row r="471" spans="2:14" x14ac:dyDescent="0.2">
      <c r="B471" s="25"/>
      <c r="C471" s="113"/>
      <c r="D471" s="115"/>
      <c r="E471" s="54"/>
      <c r="F471" s="499"/>
      <c r="G471" s="54"/>
      <c r="H471" s="54"/>
      <c r="I471" s="147"/>
      <c r="J471" s="92"/>
      <c r="K471" s="117"/>
      <c r="L471" s="92"/>
      <c r="M471" s="229"/>
      <c r="N471" s="120"/>
    </row>
    <row r="472" spans="2:14" x14ac:dyDescent="0.2">
      <c r="B472" s="102" t="s">
        <v>353</v>
      </c>
      <c r="C472" s="113"/>
      <c r="D472" s="115"/>
      <c r="E472" s="54"/>
      <c r="F472" s="499"/>
      <c r="G472" s="54"/>
      <c r="H472" s="54"/>
      <c r="I472" s="147"/>
      <c r="J472" s="92"/>
      <c r="K472" s="117"/>
      <c r="L472" s="92"/>
      <c r="M472" s="298"/>
      <c r="N472" s="89">
        <f>+N473</f>
        <v>5000</v>
      </c>
    </row>
    <row r="473" spans="2:14" ht="15" customHeight="1" x14ac:dyDescent="0.2">
      <c r="B473" s="115" t="s">
        <v>1157</v>
      </c>
      <c r="C473" s="113">
        <v>37638</v>
      </c>
      <c r="D473" s="115" t="s">
        <v>341</v>
      </c>
      <c r="E473" s="54" t="s">
        <v>828</v>
      </c>
      <c r="F473" s="499" t="s">
        <v>1788</v>
      </c>
      <c r="G473" s="54" t="s">
        <v>1158</v>
      </c>
      <c r="H473" s="54" t="s">
        <v>1159</v>
      </c>
      <c r="I473" s="149" t="s">
        <v>1431</v>
      </c>
      <c r="J473" s="92" t="s">
        <v>650</v>
      </c>
      <c r="K473" s="117" t="s">
        <v>821</v>
      </c>
      <c r="L473" s="92" t="s">
        <v>302</v>
      </c>
      <c r="M473" s="229">
        <v>5000</v>
      </c>
      <c r="N473" s="120">
        <v>5000</v>
      </c>
    </row>
    <row r="474" spans="2:14" x14ac:dyDescent="0.2">
      <c r="B474" s="25"/>
      <c r="C474" s="113"/>
      <c r="D474" s="115"/>
      <c r="E474" s="54"/>
      <c r="F474" s="499"/>
      <c r="G474" s="54"/>
      <c r="H474" s="54"/>
      <c r="I474" s="149"/>
      <c r="J474" s="92"/>
      <c r="K474" s="117"/>
      <c r="L474" s="92"/>
      <c r="M474" s="229"/>
      <c r="N474" s="120"/>
    </row>
    <row r="475" spans="2:14" x14ac:dyDescent="0.2">
      <c r="B475" s="102" t="s">
        <v>12</v>
      </c>
      <c r="C475" s="113"/>
      <c r="D475" s="115"/>
      <c r="E475" s="54"/>
      <c r="F475" s="499"/>
      <c r="G475" s="54"/>
      <c r="H475" s="54"/>
      <c r="I475" s="147"/>
      <c r="J475" s="92"/>
      <c r="K475" s="117"/>
      <c r="L475" s="92"/>
      <c r="M475" s="229"/>
      <c r="N475" s="89">
        <f>+N476</f>
        <v>750</v>
      </c>
    </row>
    <row r="476" spans="2:14" ht="15" customHeight="1" x14ac:dyDescent="0.2">
      <c r="B476" s="112" t="s">
        <v>13</v>
      </c>
      <c r="C476" s="113">
        <v>37829</v>
      </c>
      <c r="D476" s="115" t="s">
        <v>341</v>
      </c>
      <c r="E476" s="54" t="s">
        <v>828</v>
      </c>
      <c r="F476" s="499" t="s">
        <v>14</v>
      </c>
      <c r="G476" s="54" t="s">
        <v>12</v>
      </c>
      <c r="H476" s="54" t="s">
        <v>12</v>
      </c>
      <c r="I476" s="149" t="s">
        <v>1431</v>
      </c>
      <c r="J476" s="92" t="s">
        <v>4</v>
      </c>
      <c r="K476" s="117" t="s">
        <v>610</v>
      </c>
      <c r="L476" s="92" t="s">
        <v>302</v>
      </c>
      <c r="M476" s="229">
        <v>750</v>
      </c>
      <c r="N476" s="120">
        <f>+M476</f>
        <v>750</v>
      </c>
    </row>
    <row r="477" spans="2:14" x14ac:dyDescent="0.2">
      <c r="B477" s="112"/>
      <c r="C477" s="113"/>
      <c r="D477" s="115"/>
      <c r="E477" s="54"/>
      <c r="F477" s="499"/>
      <c r="G477" s="54"/>
      <c r="H477" s="54"/>
      <c r="I477" s="149"/>
      <c r="J477" s="92"/>
      <c r="K477" s="117"/>
      <c r="L477" s="92"/>
      <c r="M477" s="229"/>
      <c r="N477" s="120"/>
    </row>
    <row r="478" spans="2:14" x14ac:dyDescent="0.2">
      <c r="B478" s="27" t="s">
        <v>20</v>
      </c>
      <c r="C478" s="113"/>
      <c r="D478" s="115"/>
      <c r="E478" s="54"/>
      <c r="F478" s="499"/>
      <c r="G478" s="54"/>
      <c r="H478" s="54"/>
      <c r="I478" s="147"/>
      <c r="J478" s="92"/>
      <c r="K478" s="117"/>
      <c r="L478" s="92"/>
      <c r="M478" s="229"/>
      <c r="N478" s="89">
        <f>SUM(N479:N480)</f>
        <v>48000</v>
      </c>
    </row>
    <row r="479" spans="2:14" ht="15" customHeight="1" x14ac:dyDescent="0.2">
      <c r="B479" s="115" t="s">
        <v>18</v>
      </c>
      <c r="C479" s="113">
        <v>37860</v>
      </c>
      <c r="D479" s="115" t="s">
        <v>411</v>
      </c>
      <c r="E479" s="54" t="s">
        <v>828</v>
      </c>
      <c r="F479" s="499" t="s">
        <v>19</v>
      </c>
      <c r="G479" s="54" t="s">
        <v>20</v>
      </c>
      <c r="H479" s="54" t="s">
        <v>20</v>
      </c>
      <c r="I479" s="147" t="s">
        <v>1434</v>
      </c>
      <c r="J479" s="92" t="s">
        <v>752</v>
      </c>
      <c r="K479" s="117" t="s">
        <v>575</v>
      </c>
      <c r="L479" s="92" t="s">
        <v>302</v>
      </c>
      <c r="M479" s="229">
        <v>28000</v>
      </c>
      <c r="N479" s="120">
        <f>+M479</f>
        <v>28000</v>
      </c>
    </row>
    <row r="480" spans="2:14" ht="15" customHeight="1" x14ac:dyDescent="0.2">
      <c r="B480" s="115" t="s">
        <v>21</v>
      </c>
      <c r="C480" s="113">
        <v>37873</v>
      </c>
      <c r="D480" s="115" t="s">
        <v>341</v>
      </c>
      <c r="E480" s="54" t="s">
        <v>828</v>
      </c>
      <c r="F480" s="499" t="s">
        <v>22</v>
      </c>
      <c r="G480" s="54" t="s">
        <v>20</v>
      </c>
      <c r="H480" s="54" t="s">
        <v>20</v>
      </c>
      <c r="I480" s="149" t="s">
        <v>1431</v>
      </c>
      <c r="J480" s="92" t="s">
        <v>610</v>
      </c>
      <c r="K480" s="117" t="s">
        <v>481</v>
      </c>
      <c r="L480" s="92" t="s">
        <v>302</v>
      </c>
      <c r="M480" s="229">
        <v>20000</v>
      </c>
      <c r="N480" s="120">
        <v>20000</v>
      </c>
    </row>
    <row r="481" spans="2:14" x14ac:dyDescent="0.2">
      <c r="B481" s="115"/>
      <c r="C481" s="113"/>
      <c r="D481" s="115"/>
      <c r="E481" s="54"/>
      <c r="F481" s="499"/>
      <c r="G481" s="54"/>
      <c r="H481" s="54"/>
      <c r="I481" s="149"/>
      <c r="J481" s="92"/>
      <c r="K481" s="117"/>
      <c r="L481" s="92"/>
      <c r="M481" s="229"/>
      <c r="N481" s="120"/>
    </row>
    <row r="482" spans="2:14" x14ac:dyDescent="0.2">
      <c r="B482" s="27" t="s">
        <v>305</v>
      </c>
      <c r="C482" s="113"/>
      <c r="D482" s="115"/>
      <c r="E482" s="54"/>
      <c r="F482" s="501"/>
      <c r="G482" s="54"/>
      <c r="H482" s="54"/>
      <c r="I482" s="149"/>
      <c r="J482" s="92"/>
      <c r="K482" s="117"/>
      <c r="L482" s="92"/>
      <c r="M482" s="229"/>
      <c r="N482" s="23">
        <f>+N483+N484</f>
        <v>90000</v>
      </c>
    </row>
    <row r="483" spans="2:14" ht="15" customHeight="1" x14ac:dyDescent="0.2">
      <c r="B483" s="115" t="s">
        <v>66</v>
      </c>
      <c r="C483" s="113">
        <v>37985</v>
      </c>
      <c r="D483" s="115" t="s">
        <v>341</v>
      </c>
      <c r="E483" s="54" t="s">
        <v>828</v>
      </c>
      <c r="F483" s="501" t="s">
        <v>1789</v>
      </c>
      <c r="G483" s="54" t="s">
        <v>67</v>
      </c>
      <c r="H483" s="54" t="s">
        <v>67</v>
      </c>
      <c r="I483" s="149" t="s">
        <v>1431</v>
      </c>
      <c r="J483" s="92" t="s">
        <v>610</v>
      </c>
      <c r="K483" s="117" t="s">
        <v>425</v>
      </c>
      <c r="L483" s="92" t="s">
        <v>302</v>
      </c>
      <c r="M483" s="229">
        <v>45000</v>
      </c>
      <c r="N483" s="120">
        <v>45000</v>
      </c>
    </row>
    <row r="484" spans="2:14" ht="15" customHeight="1" x14ac:dyDescent="0.2">
      <c r="B484" s="115" t="s">
        <v>66</v>
      </c>
      <c r="C484" s="113">
        <v>37985</v>
      </c>
      <c r="D484" s="115" t="s">
        <v>411</v>
      </c>
      <c r="E484" s="54" t="s">
        <v>828</v>
      </c>
      <c r="F484" s="501" t="s">
        <v>1789</v>
      </c>
      <c r="G484" s="54" t="s">
        <v>67</v>
      </c>
      <c r="H484" s="54" t="s">
        <v>67</v>
      </c>
      <c r="I484" s="147" t="s">
        <v>1434</v>
      </c>
      <c r="J484" s="92" t="s">
        <v>610</v>
      </c>
      <c r="K484" s="117" t="s">
        <v>481</v>
      </c>
      <c r="L484" s="92" t="s">
        <v>302</v>
      </c>
      <c r="M484" s="229">
        <v>45000</v>
      </c>
      <c r="N484" s="120">
        <v>45000</v>
      </c>
    </row>
    <row r="485" spans="2:14" x14ac:dyDescent="0.2">
      <c r="B485" s="115"/>
      <c r="C485" s="113"/>
      <c r="D485" s="115"/>
      <c r="E485" s="54"/>
      <c r="F485" s="499"/>
      <c r="G485" s="54"/>
      <c r="H485" s="54"/>
      <c r="I485" s="149"/>
      <c r="J485" s="92"/>
      <c r="K485" s="117"/>
      <c r="L485" s="92"/>
      <c r="M485" s="229"/>
      <c r="N485" s="120"/>
    </row>
    <row r="486" spans="2:14" x14ac:dyDescent="0.2">
      <c r="B486" s="102" t="s">
        <v>167</v>
      </c>
      <c r="C486" s="113"/>
      <c r="D486" s="115"/>
      <c r="E486" s="54"/>
      <c r="F486" s="499"/>
      <c r="G486" s="54"/>
      <c r="H486" s="54"/>
      <c r="I486" s="147"/>
      <c r="J486" s="92"/>
      <c r="K486" s="117"/>
      <c r="L486" s="92"/>
      <c r="M486" s="229"/>
      <c r="N486" s="89">
        <f>SUM(N487:N487)</f>
        <v>60000</v>
      </c>
    </row>
    <row r="487" spans="2:14" ht="15" customHeight="1" x14ac:dyDescent="0.2">
      <c r="B487" s="112" t="s">
        <v>9</v>
      </c>
      <c r="C487" s="113">
        <v>37790</v>
      </c>
      <c r="D487" s="115" t="s">
        <v>341</v>
      </c>
      <c r="E487" s="54" t="s">
        <v>828</v>
      </c>
      <c r="F487" s="499" t="s">
        <v>1790</v>
      </c>
      <c r="G487" s="54" t="s">
        <v>10</v>
      </c>
      <c r="H487" s="54" t="s">
        <v>11</v>
      </c>
      <c r="I487" s="149" t="s">
        <v>1431</v>
      </c>
      <c r="J487" s="92" t="s">
        <v>650</v>
      </c>
      <c r="K487" s="117" t="s">
        <v>821</v>
      </c>
      <c r="L487" s="92" t="s">
        <v>302</v>
      </c>
      <c r="M487" s="229">
        <v>60000</v>
      </c>
      <c r="N487" s="120">
        <f>+M487</f>
        <v>60000</v>
      </c>
    </row>
    <row r="488" spans="2:14" x14ac:dyDescent="0.2">
      <c r="B488" s="112"/>
      <c r="C488" s="113"/>
      <c r="D488" s="115"/>
      <c r="E488" s="54"/>
      <c r="F488" s="499"/>
      <c r="G488" s="54"/>
      <c r="H488" s="54"/>
      <c r="I488" s="149"/>
      <c r="J488" s="92"/>
      <c r="K488" s="117"/>
      <c r="L488" s="92"/>
      <c r="M488" s="229"/>
      <c r="N488" s="120"/>
    </row>
    <row r="489" spans="2:14" x14ac:dyDescent="0.2">
      <c r="B489" s="136" t="s">
        <v>960</v>
      </c>
      <c r="C489" s="113"/>
      <c r="D489" s="115"/>
      <c r="E489" s="54"/>
      <c r="F489" s="499"/>
      <c r="G489" s="54"/>
      <c r="H489" s="54"/>
      <c r="I489" s="149"/>
      <c r="J489" s="92"/>
      <c r="K489" s="117"/>
      <c r="L489" s="92"/>
      <c r="M489" s="229"/>
      <c r="N489" s="89">
        <f>SUM(N490:N491)</f>
        <v>15300</v>
      </c>
    </row>
    <row r="490" spans="2:14" ht="15" customHeight="1" x14ac:dyDescent="0.2">
      <c r="B490" s="115" t="s">
        <v>1170</v>
      </c>
      <c r="C490" s="113">
        <v>37687</v>
      </c>
      <c r="D490" s="115" t="s">
        <v>391</v>
      </c>
      <c r="E490" s="54" t="s">
        <v>828</v>
      </c>
      <c r="F490" s="499" t="s">
        <v>1171</v>
      </c>
      <c r="G490" s="54" t="s">
        <v>960</v>
      </c>
      <c r="H490" s="54" t="s">
        <v>1172</v>
      </c>
      <c r="I490" s="147" t="s">
        <v>1435</v>
      </c>
      <c r="J490" s="92" t="s">
        <v>660</v>
      </c>
      <c r="K490" s="117" t="s">
        <v>650</v>
      </c>
      <c r="L490" s="92" t="s">
        <v>302</v>
      </c>
      <c r="M490" s="229">
        <v>8300</v>
      </c>
      <c r="N490" s="120">
        <f>+M490</f>
        <v>8300</v>
      </c>
    </row>
    <row r="491" spans="2:14" ht="15" customHeight="1" x14ac:dyDescent="0.2">
      <c r="B491" s="115" t="s">
        <v>5</v>
      </c>
      <c r="C491" s="113">
        <v>37762</v>
      </c>
      <c r="D491" s="115" t="s">
        <v>341</v>
      </c>
      <c r="E491" s="54" t="s">
        <v>828</v>
      </c>
      <c r="F491" s="499" t="s">
        <v>6</v>
      </c>
      <c r="G491" s="54" t="s">
        <v>960</v>
      </c>
      <c r="H491" s="54" t="s">
        <v>7</v>
      </c>
      <c r="I491" s="149" t="s">
        <v>1431</v>
      </c>
      <c r="J491" s="92" t="s">
        <v>1104</v>
      </c>
      <c r="K491" s="117" t="s">
        <v>8</v>
      </c>
      <c r="L491" s="92" t="s">
        <v>302</v>
      </c>
      <c r="M491" s="229">
        <v>7000</v>
      </c>
      <c r="N491" s="120">
        <f>+M491</f>
        <v>7000</v>
      </c>
    </row>
    <row r="492" spans="2:14" ht="13.5" thickBot="1" x14ac:dyDescent="0.25">
      <c r="B492" s="156"/>
      <c r="C492" s="127"/>
      <c r="D492" s="126"/>
      <c r="E492" s="137"/>
      <c r="F492" s="500"/>
      <c r="G492" s="137"/>
      <c r="H492" s="137"/>
      <c r="I492" s="152"/>
      <c r="J492" s="131"/>
      <c r="K492" s="132"/>
      <c r="L492" s="131"/>
      <c r="M492" s="157"/>
      <c r="N492" s="135"/>
    </row>
    <row r="493" spans="2:14" ht="13.5" thickTop="1" x14ac:dyDescent="0.2">
      <c r="B493" s="158"/>
      <c r="C493" s="159"/>
      <c r="D493" s="84"/>
      <c r="E493" s="176"/>
      <c r="F493" s="502"/>
      <c r="G493" s="176"/>
      <c r="H493" s="117"/>
      <c r="I493" s="149"/>
      <c r="J493" s="92"/>
      <c r="K493" s="117"/>
      <c r="L493" s="92"/>
      <c r="M493" s="155"/>
      <c r="N493" s="120"/>
    </row>
    <row r="494" spans="2:14" s="259" customFormat="1" ht="18" x14ac:dyDescent="0.25">
      <c r="B494" s="28">
        <v>2004</v>
      </c>
      <c r="C494" s="260"/>
      <c r="D494" s="261"/>
      <c r="E494" s="267"/>
      <c r="F494" s="503"/>
      <c r="G494" s="267"/>
      <c r="H494" s="264"/>
      <c r="I494" s="262"/>
      <c r="J494" s="263"/>
      <c r="K494" s="264"/>
      <c r="L494" s="263"/>
      <c r="M494" s="265"/>
      <c r="N494" s="248">
        <f>+N496+N499+N515+N518+N524+N527+N530+N533+N539+N512+N536</f>
        <v>2383968.7219946287</v>
      </c>
    </row>
    <row r="495" spans="2:14" x14ac:dyDescent="0.2">
      <c r="B495" s="112"/>
      <c r="C495" s="159"/>
      <c r="D495" s="84"/>
      <c r="E495" s="54"/>
      <c r="F495" s="502"/>
      <c r="G495" s="54"/>
      <c r="H495" s="117"/>
      <c r="I495" s="149"/>
      <c r="J495" s="92"/>
      <c r="K495" s="117"/>
      <c r="L495" s="92"/>
      <c r="M495" s="155"/>
      <c r="N495" s="120"/>
    </row>
    <row r="496" spans="2:14" x14ac:dyDescent="0.2">
      <c r="B496" s="146" t="s">
        <v>296</v>
      </c>
      <c r="C496" s="159"/>
      <c r="D496" s="84"/>
      <c r="E496" s="54"/>
      <c r="F496" s="502"/>
      <c r="G496" s="54"/>
      <c r="H496" s="117"/>
      <c r="I496" s="149"/>
      <c r="J496" s="92"/>
      <c r="K496" s="117"/>
      <c r="L496" s="92"/>
      <c r="M496" s="155"/>
      <c r="N496" s="23">
        <f>SUM(N497:N497)</f>
        <v>15000</v>
      </c>
    </row>
    <row r="497" spans="2:14" ht="15" customHeight="1" x14ac:dyDescent="0.2">
      <c r="B497" s="121" t="s">
        <v>130</v>
      </c>
      <c r="C497" s="162">
        <v>38350</v>
      </c>
      <c r="D497" s="92" t="s">
        <v>341</v>
      </c>
      <c r="E497" s="54" t="s">
        <v>828</v>
      </c>
      <c r="F497" s="504" t="s">
        <v>1791</v>
      </c>
      <c r="G497" s="54" t="s">
        <v>296</v>
      </c>
      <c r="H497" s="117" t="s">
        <v>131</v>
      </c>
      <c r="I497" s="163" t="s">
        <v>83</v>
      </c>
      <c r="J497" s="163" t="s">
        <v>121</v>
      </c>
      <c r="K497" s="117" t="s">
        <v>132</v>
      </c>
      <c r="L497" s="92" t="s">
        <v>302</v>
      </c>
      <c r="M497" s="142">
        <f>15000000/1000</f>
        <v>15000</v>
      </c>
      <c r="N497" s="120">
        <f>M497</f>
        <v>15000</v>
      </c>
    </row>
    <row r="498" spans="2:14" x14ac:dyDescent="0.2">
      <c r="B498" s="112"/>
      <c r="C498" s="159"/>
      <c r="D498" s="92"/>
      <c r="E498" s="54"/>
      <c r="F498" s="502"/>
      <c r="G498" s="54"/>
      <c r="H498" s="117"/>
      <c r="I498" s="149"/>
      <c r="J498" s="92"/>
      <c r="K498" s="117"/>
      <c r="L498" s="92"/>
      <c r="M498" s="155"/>
      <c r="N498" s="120"/>
    </row>
    <row r="499" spans="2:14" x14ac:dyDescent="0.2">
      <c r="B499" s="146" t="s">
        <v>340</v>
      </c>
      <c r="C499" s="159"/>
      <c r="D499" s="92"/>
      <c r="E499" s="54"/>
      <c r="F499" s="502"/>
      <c r="G499" s="54"/>
      <c r="H499" s="117"/>
      <c r="I499" s="149"/>
      <c r="J499" s="92"/>
      <c r="K499" s="117"/>
      <c r="L499" s="92"/>
      <c r="M499" s="155"/>
      <c r="N499" s="23">
        <f>SUM(N500:N510)</f>
        <v>2046958.1060312439</v>
      </c>
    </row>
    <row r="500" spans="2:14" ht="15" customHeight="1" x14ac:dyDescent="0.2">
      <c r="B500" s="121" t="s">
        <v>68</v>
      </c>
      <c r="C500" s="162">
        <v>38104</v>
      </c>
      <c r="D500" s="92" t="s">
        <v>69</v>
      </c>
      <c r="E500" s="54" t="s">
        <v>70</v>
      </c>
      <c r="F500" s="504" t="s">
        <v>1162</v>
      </c>
      <c r="G500" s="165" t="s">
        <v>340</v>
      </c>
      <c r="H500" s="117" t="s">
        <v>298</v>
      </c>
      <c r="I500" s="166">
        <v>8.3750000000000005E-2</v>
      </c>
      <c r="J500" s="163" t="s">
        <v>1081</v>
      </c>
      <c r="K500" s="29" t="s">
        <v>133</v>
      </c>
      <c r="L500" s="118" t="s">
        <v>302</v>
      </c>
      <c r="M500" s="119">
        <v>500000</v>
      </c>
      <c r="N500" s="120">
        <f>M500</f>
        <v>500000</v>
      </c>
    </row>
    <row r="501" spans="2:14" ht="15" customHeight="1" x14ac:dyDescent="0.2">
      <c r="B501" s="121" t="s">
        <v>71</v>
      </c>
      <c r="C501" s="162">
        <v>38268</v>
      </c>
      <c r="D501" s="92" t="s">
        <v>69</v>
      </c>
      <c r="E501" s="54" t="s">
        <v>70</v>
      </c>
      <c r="F501" s="504" t="s">
        <v>1162</v>
      </c>
      <c r="G501" s="165" t="s">
        <v>340</v>
      </c>
      <c r="H501" s="117" t="s">
        <v>298</v>
      </c>
      <c r="I501" s="167">
        <v>7.4999999999999997E-2</v>
      </c>
      <c r="J501" s="163" t="s">
        <v>1081</v>
      </c>
      <c r="K501" s="29" t="s">
        <v>133</v>
      </c>
      <c r="L501" s="118" t="s">
        <v>1084</v>
      </c>
      <c r="M501" s="142">
        <f>650000000/1000</f>
        <v>650000</v>
      </c>
      <c r="N501" s="120">
        <f>M501*1.229</f>
        <v>798850.00000000012</v>
      </c>
    </row>
    <row r="502" spans="2:14" ht="15" customHeight="1" x14ac:dyDescent="0.2">
      <c r="B502" s="121" t="s">
        <v>72</v>
      </c>
      <c r="C502" s="162">
        <v>38323</v>
      </c>
      <c r="D502" s="92" t="s">
        <v>391</v>
      </c>
      <c r="E502" s="54" t="s">
        <v>828</v>
      </c>
      <c r="F502" s="504" t="s">
        <v>1792</v>
      </c>
      <c r="G502" s="165" t="s">
        <v>340</v>
      </c>
      <c r="H502" s="117" t="s">
        <v>73</v>
      </c>
      <c r="I502" s="92" t="s">
        <v>74</v>
      </c>
      <c r="J502" s="163" t="s">
        <v>75</v>
      </c>
      <c r="K502" s="117" t="s">
        <v>76</v>
      </c>
      <c r="L502" s="92" t="s">
        <v>302</v>
      </c>
      <c r="M502" s="142">
        <f>80000000/1000</f>
        <v>80000</v>
      </c>
      <c r="N502" s="120">
        <f t="shared" ref="N502:N508" si="1">M502</f>
        <v>80000</v>
      </c>
    </row>
    <row r="503" spans="2:14" ht="15" customHeight="1" x14ac:dyDescent="0.2">
      <c r="B503" s="121" t="s">
        <v>77</v>
      </c>
      <c r="C503" s="162">
        <v>38331</v>
      </c>
      <c r="D503" s="92" t="s">
        <v>411</v>
      </c>
      <c r="E503" s="54" t="s">
        <v>828</v>
      </c>
      <c r="F503" s="504" t="s">
        <v>1793</v>
      </c>
      <c r="G503" s="165" t="s">
        <v>340</v>
      </c>
      <c r="H503" s="117" t="s">
        <v>3</v>
      </c>
      <c r="I503" s="92" t="s">
        <v>78</v>
      </c>
      <c r="J503" s="163" t="s">
        <v>79</v>
      </c>
      <c r="K503" s="117" t="s">
        <v>80</v>
      </c>
      <c r="L503" s="92" t="s">
        <v>302</v>
      </c>
      <c r="M503" s="142">
        <f>100000000/1000</f>
        <v>100000</v>
      </c>
      <c r="N503" s="120">
        <f t="shared" si="1"/>
        <v>100000</v>
      </c>
    </row>
    <row r="504" spans="2:14" ht="30" customHeight="1" x14ac:dyDescent="0.2">
      <c r="B504" s="342" t="s">
        <v>77</v>
      </c>
      <c r="C504" s="340">
        <v>38331</v>
      </c>
      <c r="D504" s="341" t="s">
        <v>411</v>
      </c>
      <c r="E504" s="349" t="s">
        <v>828</v>
      </c>
      <c r="F504" s="505" t="s">
        <v>1794</v>
      </c>
      <c r="G504" s="348" t="s">
        <v>340</v>
      </c>
      <c r="H504" s="343" t="s">
        <v>3</v>
      </c>
      <c r="I504" s="341" t="s">
        <v>78</v>
      </c>
      <c r="J504" s="344" t="s">
        <v>79</v>
      </c>
      <c r="K504" s="343" t="s">
        <v>80</v>
      </c>
      <c r="L504" s="341" t="s">
        <v>302</v>
      </c>
      <c r="M504" s="345">
        <f>8800000/1000</f>
        <v>8800</v>
      </c>
      <c r="N504" s="347">
        <f t="shared" si="1"/>
        <v>8800</v>
      </c>
    </row>
    <row r="505" spans="2:14" ht="15" customHeight="1" x14ac:dyDescent="0.2">
      <c r="B505" s="121" t="s">
        <v>81</v>
      </c>
      <c r="C505" s="162">
        <v>38331</v>
      </c>
      <c r="D505" s="92" t="s">
        <v>411</v>
      </c>
      <c r="E505" s="54" t="s">
        <v>828</v>
      </c>
      <c r="F505" s="504" t="s">
        <v>1795</v>
      </c>
      <c r="G505" s="165" t="s">
        <v>340</v>
      </c>
      <c r="H505" s="117" t="s">
        <v>3</v>
      </c>
      <c r="I505" s="92" t="s">
        <v>78</v>
      </c>
      <c r="J505" s="163" t="s">
        <v>79</v>
      </c>
      <c r="K505" s="117" t="s">
        <v>80</v>
      </c>
      <c r="L505" s="92" t="s">
        <v>302</v>
      </c>
      <c r="M505" s="142">
        <f>100000000/1000</f>
        <v>100000</v>
      </c>
      <c r="N505" s="120">
        <f t="shared" si="1"/>
        <v>100000</v>
      </c>
    </row>
    <row r="506" spans="2:14" ht="30" customHeight="1" x14ac:dyDescent="0.2">
      <c r="B506" s="121" t="s">
        <v>81</v>
      </c>
      <c r="C506" s="340">
        <v>38331</v>
      </c>
      <c r="D506" s="341" t="s">
        <v>411</v>
      </c>
      <c r="E506" s="349" t="s">
        <v>828</v>
      </c>
      <c r="F506" s="505" t="s">
        <v>1796</v>
      </c>
      <c r="G506" s="348" t="s">
        <v>340</v>
      </c>
      <c r="H506" s="343" t="s">
        <v>3</v>
      </c>
      <c r="I506" s="341" t="s">
        <v>78</v>
      </c>
      <c r="J506" s="344" t="s">
        <v>79</v>
      </c>
      <c r="K506" s="343" t="s">
        <v>80</v>
      </c>
      <c r="L506" s="341" t="s">
        <v>302</v>
      </c>
      <c r="M506" s="345">
        <f>7800000/1000</f>
        <v>7800</v>
      </c>
      <c r="N506" s="347">
        <f t="shared" si="1"/>
        <v>7800</v>
      </c>
    </row>
    <row r="507" spans="2:14" x14ac:dyDescent="0.2">
      <c r="B507" s="121" t="s">
        <v>82</v>
      </c>
      <c r="C507" s="162">
        <v>38331</v>
      </c>
      <c r="D507" s="92" t="s">
        <v>341</v>
      </c>
      <c r="E507" s="54" t="s">
        <v>828</v>
      </c>
      <c r="F507" s="504" t="s">
        <v>1797</v>
      </c>
      <c r="G507" s="165" t="s">
        <v>340</v>
      </c>
      <c r="H507" s="117" t="s">
        <v>3</v>
      </c>
      <c r="I507" s="163" t="s">
        <v>83</v>
      </c>
      <c r="J507" s="163" t="s">
        <v>162</v>
      </c>
      <c r="K507" s="117" t="s">
        <v>163</v>
      </c>
      <c r="L507" s="92" t="s">
        <v>302</v>
      </c>
      <c r="M507" s="142">
        <f>300000000/1000</f>
        <v>300000</v>
      </c>
      <c r="N507" s="120">
        <f t="shared" si="1"/>
        <v>300000</v>
      </c>
    </row>
    <row r="508" spans="2:14" ht="25.5" x14ac:dyDescent="0.2">
      <c r="B508" s="121" t="s">
        <v>85</v>
      </c>
      <c r="C508" s="162">
        <v>38350</v>
      </c>
      <c r="D508" s="92" t="s">
        <v>341</v>
      </c>
      <c r="E508" s="54" t="s">
        <v>828</v>
      </c>
      <c r="F508" s="506" t="s">
        <v>1798</v>
      </c>
      <c r="G508" s="348" t="s">
        <v>340</v>
      </c>
      <c r="H508" s="343" t="s">
        <v>3</v>
      </c>
      <c r="I508" s="344" t="s">
        <v>83</v>
      </c>
      <c r="J508" s="344" t="s">
        <v>86</v>
      </c>
      <c r="K508" s="343" t="s">
        <v>87</v>
      </c>
      <c r="L508" s="341" t="s">
        <v>302</v>
      </c>
      <c r="M508" s="345">
        <f>5300000/1000</f>
        <v>5300</v>
      </c>
      <c r="N508" s="347">
        <f t="shared" si="1"/>
        <v>5300</v>
      </c>
    </row>
    <row r="509" spans="2:14" x14ac:dyDescent="0.2">
      <c r="B509" s="121" t="s">
        <v>88</v>
      </c>
      <c r="C509" s="162">
        <v>38219</v>
      </c>
      <c r="D509" s="92" t="s">
        <v>391</v>
      </c>
      <c r="E509" s="54" t="s">
        <v>828</v>
      </c>
      <c r="F509" s="504" t="s">
        <v>1799</v>
      </c>
      <c r="G509" s="165" t="s">
        <v>340</v>
      </c>
      <c r="H509" s="117" t="s">
        <v>73</v>
      </c>
      <c r="I509" s="92" t="s">
        <v>89</v>
      </c>
      <c r="J509" s="163" t="s">
        <v>90</v>
      </c>
      <c r="K509" s="117" t="s">
        <v>91</v>
      </c>
      <c r="L509" s="92" t="s">
        <v>302</v>
      </c>
      <c r="M509" s="142">
        <v>140000</v>
      </c>
      <c r="N509" s="120">
        <f>M509</f>
        <v>140000</v>
      </c>
    </row>
    <row r="510" spans="2:14" x14ac:dyDescent="0.2">
      <c r="B510" s="121" t="s">
        <v>92</v>
      </c>
      <c r="C510" s="162">
        <v>38156</v>
      </c>
      <c r="D510" s="92" t="s">
        <v>628</v>
      </c>
      <c r="E510" s="54" t="s">
        <v>93</v>
      </c>
      <c r="F510" s="504" t="s">
        <v>1800</v>
      </c>
      <c r="G510" s="54" t="s">
        <v>688</v>
      </c>
      <c r="H510" s="117" t="s">
        <v>359</v>
      </c>
      <c r="I510" s="168">
        <v>0.02</v>
      </c>
      <c r="J510" s="163" t="s">
        <v>91</v>
      </c>
      <c r="K510" s="117" t="s">
        <v>94</v>
      </c>
      <c r="L510" s="118" t="s">
        <v>1084</v>
      </c>
      <c r="M510" s="142">
        <f>5112918.82/1000</f>
        <v>5112.9188199999999</v>
      </c>
      <c r="N510" s="120">
        <f>M510*1.2142</f>
        <v>6208.1060312439995</v>
      </c>
    </row>
    <row r="511" spans="2:14" x14ac:dyDescent="0.2">
      <c r="B511" s="121"/>
      <c r="C511" s="162"/>
      <c r="D511" s="84"/>
      <c r="E511" s="54"/>
      <c r="F511" s="504"/>
      <c r="G511" s="54"/>
      <c r="H511" s="117"/>
      <c r="I511" s="168"/>
      <c r="J511" s="163"/>
      <c r="K511" s="117"/>
      <c r="L511" s="118"/>
      <c r="M511" s="142"/>
      <c r="N511" s="120"/>
    </row>
    <row r="512" spans="2:14" x14ac:dyDescent="0.2">
      <c r="B512" s="102" t="s">
        <v>987</v>
      </c>
      <c r="C512" s="162"/>
      <c r="D512" s="84"/>
      <c r="E512" s="54"/>
      <c r="F512" s="504"/>
      <c r="G512" s="54"/>
      <c r="H512" s="117"/>
      <c r="I512" s="168"/>
      <c r="J512" s="163"/>
      <c r="K512" s="117"/>
      <c r="L512" s="118"/>
      <c r="M512" s="142"/>
      <c r="N512" s="23">
        <f>+N513</f>
        <v>6000</v>
      </c>
    </row>
    <row r="513" spans="2:14" ht="15" customHeight="1" x14ac:dyDescent="0.2">
      <c r="B513" s="121" t="s">
        <v>107</v>
      </c>
      <c r="C513" s="162">
        <v>38223</v>
      </c>
      <c r="D513" s="92" t="s">
        <v>856</v>
      </c>
      <c r="E513" s="54" t="s">
        <v>93</v>
      </c>
      <c r="F513" s="504" t="s">
        <v>1801</v>
      </c>
      <c r="G513" s="54" t="s">
        <v>108</v>
      </c>
      <c r="H513" s="117" t="s">
        <v>109</v>
      </c>
      <c r="I513" s="168">
        <v>0.01</v>
      </c>
      <c r="J513" s="92" t="s">
        <v>84</v>
      </c>
      <c r="K513" s="117" t="s">
        <v>110</v>
      </c>
      <c r="L513" s="92" t="s">
        <v>302</v>
      </c>
      <c r="M513" s="142">
        <f>6000000/1000</f>
        <v>6000</v>
      </c>
      <c r="N513" s="120">
        <f>M513</f>
        <v>6000</v>
      </c>
    </row>
    <row r="514" spans="2:14" x14ac:dyDescent="0.2">
      <c r="B514" s="102"/>
      <c r="C514" s="162"/>
      <c r="D514" s="84"/>
      <c r="E514" s="54"/>
      <c r="F514" s="507"/>
      <c r="G514" s="54"/>
      <c r="H514" s="117"/>
      <c r="I514" s="168"/>
      <c r="J514" s="163"/>
      <c r="K514" s="117"/>
      <c r="L514" s="118"/>
      <c r="M514" s="142"/>
      <c r="N514" s="120"/>
    </row>
    <row r="515" spans="2:14" x14ac:dyDescent="0.2">
      <c r="B515" s="146" t="s">
        <v>688</v>
      </c>
      <c r="C515" s="159"/>
      <c r="D515" s="84"/>
      <c r="E515" s="54"/>
      <c r="F515" s="502"/>
      <c r="G515" s="54"/>
      <c r="H515" s="117"/>
      <c r="I515" s="149"/>
      <c r="J515" s="92"/>
      <c r="K515" s="117"/>
      <c r="L515" s="92"/>
      <c r="M515" s="155"/>
      <c r="N515" s="23">
        <f>+N516</f>
        <v>140000</v>
      </c>
    </row>
    <row r="516" spans="2:14" ht="15" customHeight="1" x14ac:dyDescent="0.2">
      <c r="B516" s="121" t="s">
        <v>88</v>
      </c>
      <c r="C516" s="162">
        <v>38219</v>
      </c>
      <c r="D516" s="92" t="s">
        <v>391</v>
      </c>
      <c r="E516" s="54" t="s">
        <v>828</v>
      </c>
      <c r="F516" s="504" t="s">
        <v>1799</v>
      </c>
      <c r="G516" s="54" t="s">
        <v>688</v>
      </c>
      <c r="H516" s="117" t="s">
        <v>73</v>
      </c>
      <c r="I516" s="92" t="s">
        <v>89</v>
      </c>
      <c r="J516" s="163" t="s">
        <v>90</v>
      </c>
      <c r="K516" s="117" t="s">
        <v>91</v>
      </c>
      <c r="L516" s="92" t="s">
        <v>302</v>
      </c>
      <c r="M516" s="142">
        <v>140000</v>
      </c>
      <c r="N516" s="120">
        <f>M516</f>
        <v>140000</v>
      </c>
    </row>
    <row r="517" spans="2:14" x14ac:dyDescent="0.2">
      <c r="B517" s="112"/>
      <c r="C517" s="159"/>
      <c r="D517" s="84"/>
      <c r="E517" s="54"/>
      <c r="F517" s="502"/>
      <c r="G517" s="54"/>
      <c r="H517" s="117"/>
      <c r="I517" s="149"/>
      <c r="J517" s="92"/>
      <c r="K517" s="117"/>
      <c r="L517" s="92"/>
      <c r="M517" s="155"/>
      <c r="N517" s="120"/>
    </row>
    <row r="518" spans="2:14" x14ac:dyDescent="0.2">
      <c r="B518" s="146" t="s">
        <v>381</v>
      </c>
      <c r="C518" s="159"/>
      <c r="D518" s="84"/>
      <c r="E518" s="54"/>
      <c r="F518" s="502"/>
      <c r="G518" s="54"/>
      <c r="H518" s="117"/>
      <c r="I518" s="149"/>
      <c r="J518" s="92"/>
      <c r="K518" s="117"/>
      <c r="L518" s="92"/>
      <c r="M518" s="155"/>
      <c r="N518" s="23">
        <f>SUM(N519:N522)</f>
        <v>34181.386963384997</v>
      </c>
    </row>
    <row r="519" spans="2:14" ht="30" customHeight="1" x14ac:dyDescent="0.2">
      <c r="B519" s="342" t="s">
        <v>95</v>
      </c>
      <c r="C519" s="340">
        <v>38331</v>
      </c>
      <c r="D519" s="341" t="s">
        <v>628</v>
      </c>
      <c r="E519" s="349" t="s">
        <v>93</v>
      </c>
      <c r="F519" s="505" t="s">
        <v>1802</v>
      </c>
      <c r="G519" s="349" t="s">
        <v>381</v>
      </c>
      <c r="H519" s="343" t="s">
        <v>96</v>
      </c>
      <c r="I519" s="350" t="s">
        <v>97</v>
      </c>
      <c r="J519" s="344" t="s">
        <v>91</v>
      </c>
      <c r="K519" s="343" t="s">
        <v>94</v>
      </c>
      <c r="L519" s="341" t="s">
        <v>1084</v>
      </c>
      <c r="M519" s="345">
        <f>8099664.95/1000</f>
        <v>8099.6649500000003</v>
      </c>
      <c r="N519" s="347">
        <f>M519*1.3223</f>
        <v>10710.186963385</v>
      </c>
    </row>
    <row r="520" spans="2:14" x14ac:dyDescent="0.2">
      <c r="B520" s="121" t="s">
        <v>98</v>
      </c>
      <c r="C520" s="162">
        <v>38350</v>
      </c>
      <c r="D520" s="92" t="s">
        <v>628</v>
      </c>
      <c r="E520" s="54" t="s">
        <v>93</v>
      </c>
      <c r="F520" s="504" t="s">
        <v>1803</v>
      </c>
      <c r="G520" s="54" t="s">
        <v>381</v>
      </c>
      <c r="H520" s="117" t="s">
        <v>99</v>
      </c>
      <c r="I520" s="168">
        <v>0.02</v>
      </c>
      <c r="J520" s="163" t="s">
        <v>91</v>
      </c>
      <c r="K520" s="117" t="s">
        <v>94</v>
      </c>
      <c r="L520" s="92" t="s">
        <v>1084</v>
      </c>
      <c r="M520" s="299">
        <v>2000</v>
      </c>
      <c r="N520" s="120">
        <v>2721.2</v>
      </c>
    </row>
    <row r="521" spans="2:14" ht="25.5" x14ac:dyDescent="0.2">
      <c r="B521" s="342" t="s">
        <v>100</v>
      </c>
      <c r="C521" s="340">
        <v>38050</v>
      </c>
      <c r="D521" s="92" t="s">
        <v>411</v>
      </c>
      <c r="E521" s="54" t="s">
        <v>828</v>
      </c>
      <c r="F521" s="505" t="s">
        <v>101</v>
      </c>
      <c r="G521" s="349" t="s">
        <v>381</v>
      </c>
      <c r="H521" s="343" t="s">
        <v>102</v>
      </c>
      <c r="I521" s="341" t="s">
        <v>78</v>
      </c>
      <c r="J521" s="341" t="s">
        <v>103</v>
      </c>
      <c r="K521" s="343" t="s">
        <v>104</v>
      </c>
      <c r="L521" s="341" t="s">
        <v>302</v>
      </c>
      <c r="M521" s="346">
        <f>20000000/1000</f>
        <v>20000</v>
      </c>
      <c r="N521" s="347">
        <f>M521</f>
        <v>20000</v>
      </c>
    </row>
    <row r="522" spans="2:14" ht="15" customHeight="1" x14ac:dyDescent="0.2">
      <c r="B522" s="121" t="s">
        <v>105</v>
      </c>
      <c r="C522" s="162">
        <v>38292</v>
      </c>
      <c r="D522" s="92" t="s">
        <v>341</v>
      </c>
      <c r="E522" s="54" t="s">
        <v>828</v>
      </c>
      <c r="F522" s="504" t="s">
        <v>106</v>
      </c>
      <c r="G522" s="54" t="s">
        <v>381</v>
      </c>
      <c r="H522" s="117" t="s">
        <v>96</v>
      </c>
      <c r="I522" s="169" t="s">
        <v>1436</v>
      </c>
      <c r="J522" s="163" t="s">
        <v>75</v>
      </c>
      <c r="K522" s="170" t="s">
        <v>1437</v>
      </c>
      <c r="L522" s="92" t="s">
        <v>302</v>
      </c>
      <c r="M522" s="142">
        <f>750000/1000</f>
        <v>750</v>
      </c>
      <c r="N522" s="120">
        <f>M522</f>
        <v>750</v>
      </c>
    </row>
    <row r="523" spans="2:14" x14ac:dyDescent="0.2">
      <c r="B523" s="112"/>
      <c r="C523" s="159"/>
      <c r="D523" s="84"/>
      <c r="E523" s="54"/>
      <c r="F523" s="502"/>
      <c r="G523" s="54"/>
      <c r="H523" s="117"/>
      <c r="I523" s="149"/>
      <c r="J523" s="92"/>
      <c r="K523" s="117"/>
      <c r="L523" s="92"/>
      <c r="M523" s="155"/>
      <c r="N523" s="120"/>
    </row>
    <row r="524" spans="2:14" x14ac:dyDescent="0.2">
      <c r="B524" s="146" t="s">
        <v>114</v>
      </c>
      <c r="C524" s="159"/>
      <c r="D524" s="84"/>
      <c r="E524" s="54"/>
      <c r="F524" s="502"/>
      <c r="G524" s="54"/>
      <c r="H524" s="117"/>
      <c r="I524" s="149"/>
      <c r="J524" s="92"/>
      <c r="K524" s="117"/>
      <c r="L524" s="92"/>
      <c r="M524" s="155"/>
      <c r="N524" s="23">
        <f>+N525</f>
        <v>17829.228999999999</v>
      </c>
    </row>
    <row r="525" spans="2:14" ht="30" customHeight="1" x14ac:dyDescent="0.2">
      <c r="B525" s="342" t="s">
        <v>115</v>
      </c>
      <c r="C525" s="340">
        <v>38220</v>
      </c>
      <c r="D525" s="341" t="s">
        <v>583</v>
      </c>
      <c r="E525" s="349" t="s">
        <v>828</v>
      </c>
      <c r="F525" s="506" t="s">
        <v>1804</v>
      </c>
      <c r="G525" s="349" t="s">
        <v>114</v>
      </c>
      <c r="H525" s="343" t="s">
        <v>474</v>
      </c>
      <c r="I525" s="341" t="s">
        <v>116</v>
      </c>
      <c r="J525" s="351" t="s">
        <v>134</v>
      </c>
      <c r="K525" s="343" t="s">
        <v>117</v>
      </c>
      <c r="L525" s="341" t="s">
        <v>430</v>
      </c>
      <c r="M525" s="345">
        <f>12100000/1000</f>
        <v>12100</v>
      </c>
      <c r="N525" s="347">
        <f>M525*1.47349</f>
        <v>17829.228999999999</v>
      </c>
    </row>
    <row r="526" spans="2:14" x14ac:dyDescent="0.2">
      <c r="B526" s="112"/>
      <c r="C526" s="159"/>
      <c r="D526" s="84"/>
      <c r="E526" s="54"/>
      <c r="F526" s="502"/>
      <c r="G526" s="54"/>
      <c r="H526" s="117"/>
      <c r="I526" s="149"/>
      <c r="J526" s="92"/>
      <c r="K526" s="117"/>
      <c r="L526" s="92"/>
      <c r="M526" s="155"/>
      <c r="N526" s="120"/>
    </row>
    <row r="527" spans="2:14" x14ac:dyDescent="0.2">
      <c r="B527" s="146" t="s">
        <v>607</v>
      </c>
      <c r="C527" s="159"/>
      <c r="D527" s="84"/>
      <c r="E527" s="54"/>
      <c r="F527" s="502"/>
      <c r="G527" s="54"/>
      <c r="H527" s="117"/>
      <c r="I527" s="149"/>
      <c r="J527" s="92"/>
      <c r="K527" s="117"/>
      <c r="L527" s="92"/>
      <c r="M527" s="155"/>
      <c r="N527" s="30">
        <f>+N528</f>
        <v>18000</v>
      </c>
    </row>
    <row r="528" spans="2:14" ht="15" customHeight="1" x14ac:dyDescent="0.2">
      <c r="B528" s="121" t="s">
        <v>118</v>
      </c>
      <c r="C528" s="162">
        <v>38071</v>
      </c>
      <c r="D528" s="92" t="s">
        <v>341</v>
      </c>
      <c r="E528" s="54" t="s">
        <v>828</v>
      </c>
      <c r="F528" s="504" t="s">
        <v>119</v>
      </c>
      <c r="G528" s="54" t="s">
        <v>114</v>
      </c>
      <c r="H528" s="117" t="s">
        <v>120</v>
      </c>
      <c r="I528" s="163" t="s">
        <v>1438</v>
      </c>
      <c r="J528" s="92" t="s">
        <v>121</v>
      </c>
      <c r="K528" s="117" t="s">
        <v>122</v>
      </c>
      <c r="L528" s="92" t="s">
        <v>302</v>
      </c>
      <c r="M528" s="119">
        <f>18000000/1000</f>
        <v>18000</v>
      </c>
      <c r="N528" s="120">
        <f>M528</f>
        <v>18000</v>
      </c>
    </row>
    <row r="529" spans="2:14" x14ac:dyDescent="0.2">
      <c r="B529" s="112"/>
      <c r="C529" s="159"/>
      <c r="D529" s="84"/>
      <c r="E529" s="54"/>
      <c r="F529" s="502"/>
      <c r="G529" s="54"/>
      <c r="H529" s="117"/>
      <c r="I529" s="149"/>
      <c r="J529" s="92"/>
      <c r="K529" s="117"/>
      <c r="L529" s="92"/>
      <c r="M529" s="155"/>
      <c r="N529" s="120"/>
    </row>
    <row r="530" spans="2:14" x14ac:dyDescent="0.2">
      <c r="B530" s="146" t="s">
        <v>684</v>
      </c>
      <c r="C530" s="159"/>
      <c r="D530" s="84"/>
      <c r="E530" s="54"/>
      <c r="F530" s="502"/>
      <c r="G530" s="54"/>
      <c r="H530" s="117"/>
      <c r="I530" s="149"/>
      <c r="J530" s="92"/>
      <c r="K530" s="117"/>
      <c r="L530" s="92"/>
      <c r="M530" s="155"/>
      <c r="N530" s="23">
        <f>+N531</f>
        <v>12000</v>
      </c>
    </row>
    <row r="531" spans="2:14" ht="15" customHeight="1" x14ac:dyDescent="0.2">
      <c r="B531" s="121" t="s">
        <v>123</v>
      </c>
      <c r="C531" s="162">
        <v>38292</v>
      </c>
      <c r="D531" s="92" t="s">
        <v>411</v>
      </c>
      <c r="E531" s="54" t="s">
        <v>828</v>
      </c>
      <c r="F531" s="504" t="s">
        <v>124</v>
      </c>
      <c r="G531" s="54" t="s">
        <v>114</v>
      </c>
      <c r="H531" s="117" t="s">
        <v>685</v>
      </c>
      <c r="I531" s="92" t="s">
        <v>78</v>
      </c>
      <c r="J531" s="163" t="s">
        <v>79</v>
      </c>
      <c r="K531" s="117" t="s">
        <v>80</v>
      </c>
      <c r="L531" s="92" t="s">
        <v>302</v>
      </c>
      <c r="M531" s="142">
        <f>12000000/1000</f>
        <v>12000</v>
      </c>
      <c r="N531" s="120">
        <f>M531</f>
        <v>12000</v>
      </c>
    </row>
    <row r="532" spans="2:14" x14ac:dyDescent="0.2">
      <c r="B532" s="112"/>
      <c r="C532" s="159"/>
      <c r="D532" s="84"/>
      <c r="E532" s="54"/>
      <c r="F532" s="502"/>
      <c r="G532" s="54"/>
      <c r="H532" s="117"/>
      <c r="I532" s="149"/>
      <c r="J532" s="92"/>
      <c r="K532" s="117"/>
      <c r="L532" s="92"/>
      <c r="M532" s="155"/>
      <c r="N532" s="120"/>
    </row>
    <row r="533" spans="2:14" x14ac:dyDescent="0.2">
      <c r="B533" s="146" t="s">
        <v>125</v>
      </c>
      <c r="C533" s="159"/>
      <c r="D533" s="84"/>
      <c r="E533" s="54"/>
      <c r="F533" s="502"/>
      <c r="G533" s="54"/>
      <c r="H533" s="117"/>
      <c r="I533" s="149"/>
      <c r="J533" s="92"/>
      <c r="K533" s="117"/>
      <c r="L533" s="92"/>
      <c r="M533" s="155"/>
      <c r="N533" s="23">
        <f>+N534</f>
        <v>5000</v>
      </c>
    </row>
    <row r="534" spans="2:14" ht="15" customHeight="1" x14ac:dyDescent="0.2">
      <c r="B534" s="121" t="s">
        <v>126</v>
      </c>
      <c r="C534" s="162">
        <v>38350</v>
      </c>
      <c r="D534" s="92" t="s">
        <v>411</v>
      </c>
      <c r="E534" s="54" t="s">
        <v>828</v>
      </c>
      <c r="F534" s="504" t="s">
        <v>1805</v>
      </c>
      <c r="G534" s="54" t="s">
        <v>1117</v>
      </c>
      <c r="H534" s="117" t="s">
        <v>1117</v>
      </c>
      <c r="I534" s="92" t="s">
        <v>78</v>
      </c>
      <c r="J534" s="163" t="s">
        <v>79</v>
      </c>
      <c r="K534" s="117" t="s">
        <v>80</v>
      </c>
      <c r="L534" s="92" t="s">
        <v>302</v>
      </c>
      <c r="M534" s="142">
        <f>5000000/1000</f>
        <v>5000</v>
      </c>
      <c r="N534" s="120">
        <f>M534</f>
        <v>5000</v>
      </c>
    </row>
    <row r="535" spans="2:14" x14ac:dyDescent="0.2">
      <c r="B535" s="121"/>
      <c r="C535" s="162"/>
      <c r="D535" s="92"/>
      <c r="E535" s="54"/>
      <c r="F535" s="504"/>
      <c r="G535" s="54"/>
      <c r="H535" s="117"/>
      <c r="I535" s="92"/>
      <c r="J535" s="163"/>
      <c r="K535" s="117"/>
      <c r="L535" s="92"/>
      <c r="M535" s="142"/>
      <c r="N535" s="120"/>
    </row>
    <row r="536" spans="2:14" x14ac:dyDescent="0.2">
      <c r="B536" s="146" t="s">
        <v>165</v>
      </c>
      <c r="C536" s="162"/>
      <c r="D536" s="92"/>
      <c r="E536" s="54"/>
      <c r="F536" s="504"/>
      <c r="G536" s="54"/>
      <c r="H536" s="117"/>
      <c r="I536" s="92"/>
      <c r="J536" s="163"/>
      <c r="K536" s="117"/>
      <c r="L536" s="92"/>
      <c r="M536" s="142"/>
      <c r="N536" s="23">
        <f>+N537</f>
        <v>77000</v>
      </c>
    </row>
    <row r="537" spans="2:14" ht="15" customHeight="1" x14ac:dyDescent="0.2">
      <c r="B537" s="121" t="s">
        <v>111</v>
      </c>
      <c r="C537" s="162">
        <v>38344</v>
      </c>
      <c r="D537" s="92" t="s">
        <v>391</v>
      </c>
      <c r="E537" s="54" t="s">
        <v>828</v>
      </c>
      <c r="F537" s="504" t="s">
        <v>1806</v>
      </c>
      <c r="G537" s="54" t="s">
        <v>688</v>
      </c>
      <c r="H537" s="117" t="s">
        <v>112</v>
      </c>
      <c r="I537" s="163" t="s">
        <v>113</v>
      </c>
      <c r="J537" s="163" t="s">
        <v>84</v>
      </c>
      <c r="K537" s="117" t="s">
        <v>91</v>
      </c>
      <c r="L537" s="92" t="s">
        <v>302</v>
      </c>
      <c r="M537" s="142">
        <f>77000000/1000</f>
        <v>77000</v>
      </c>
      <c r="N537" s="120">
        <f>M537</f>
        <v>77000</v>
      </c>
    </row>
    <row r="538" spans="2:14" x14ac:dyDescent="0.2">
      <c r="B538" s="121"/>
      <c r="C538" s="162"/>
      <c r="D538" s="92"/>
      <c r="E538" s="54"/>
      <c r="F538" s="504"/>
      <c r="G538" s="54"/>
      <c r="H538" s="117"/>
      <c r="I538" s="92"/>
      <c r="J538" s="163"/>
      <c r="K538" s="117"/>
      <c r="L538" s="92"/>
      <c r="M538" s="142"/>
      <c r="N538" s="120"/>
    </row>
    <row r="539" spans="2:14" x14ac:dyDescent="0.2">
      <c r="B539" s="146" t="s">
        <v>960</v>
      </c>
      <c r="C539" s="162"/>
      <c r="D539" s="92"/>
      <c r="E539" s="54"/>
      <c r="F539" s="504"/>
      <c r="G539" s="54"/>
      <c r="H539" s="117"/>
      <c r="I539" s="92"/>
      <c r="J539" s="163"/>
      <c r="K539" s="117"/>
      <c r="L539" s="92"/>
      <c r="M539" s="142"/>
      <c r="N539" s="23">
        <f>+N540</f>
        <v>12000</v>
      </c>
    </row>
    <row r="540" spans="2:14" ht="30" customHeight="1" x14ac:dyDescent="0.2">
      <c r="B540" s="342" t="s">
        <v>127</v>
      </c>
      <c r="C540" s="340">
        <v>38350</v>
      </c>
      <c r="D540" s="341" t="s">
        <v>341</v>
      </c>
      <c r="E540" s="349" t="s">
        <v>828</v>
      </c>
      <c r="F540" s="506" t="s">
        <v>1807</v>
      </c>
      <c r="G540" s="349" t="s">
        <v>128</v>
      </c>
      <c r="H540" s="343" t="s">
        <v>129</v>
      </c>
      <c r="I540" s="344" t="s">
        <v>83</v>
      </c>
      <c r="J540" s="344" t="s">
        <v>84</v>
      </c>
      <c r="K540" s="343" t="s">
        <v>91</v>
      </c>
      <c r="L540" s="341" t="s">
        <v>302</v>
      </c>
      <c r="M540" s="345">
        <f>12000000/1000</f>
        <v>12000</v>
      </c>
      <c r="N540" s="347">
        <f>M540</f>
        <v>12000</v>
      </c>
    </row>
    <row r="541" spans="2:14" ht="13.5" thickBot="1" x14ac:dyDescent="0.25">
      <c r="B541" s="128"/>
      <c r="C541" s="171"/>
      <c r="D541" s="131"/>
      <c r="E541" s="137"/>
      <c r="F541" s="508"/>
      <c r="G541" s="137"/>
      <c r="H541" s="132"/>
      <c r="I541" s="131"/>
      <c r="J541" s="172"/>
      <c r="K541" s="132"/>
      <c r="L541" s="131"/>
      <c r="M541" s="173"/>
      <c r="N541" s="135"/>
    </row>
    <row r="542" spans="2:14" ht="13.5" thickTop="1" x14ac:dyDescent="0.2">
      <c r="B542" s="174"/>
      <c r="C542" s="175"/>
      <c r="D542" s="176"/>
      <c r="E542" s="176"/>
      <c r="F542" s="509"/>
      <c r="G542" s="176"/>
      <c r="H542" s="176"/>
      <c r="I542" s="92"/>
      <c r="J542" s="163"/>
      <c r="K542" s="117"/>
      <c r="L542" s="92"/>
      <c r="M542" s="164"/>
      <c r="N542" s="120"/>
    </row>
    <row r="543" spans="2:14" ht="18" x14ac:dyDescent="0.25">
      <c r="B543" s="28">
        <v>2005</v>
      </c>
      <c r="C543" s="177"/>
      <c r="D543" s="54"/>
      <c r="E543" s="54"/>
      <c r="F543" s="501"/>
      <c r="G543" s="54"/>
      <c r="H543" s="54"/>
      <c r="I543" s="92"/>
      <c r="J543" s="163"/>
      <c r="K543" s="117"/>
      <c r="L543" s="534"/>
      <c r="M543" s="164"/>
      <c r="N543" s="248">
        <f>+N544+N549+N556</f>
        <v>919412.8</v>
      </c>
    </row>
    <row r="544" spans="2:14" x14ac:dyDescent="0.2">
      <c r="B544" s="146" t="s">
        <v>296</v>
      </c>
      <c r="C544" s="177"/>
      <c r="D544" s="54"/>
      <c r="E544" s="54"/>
      <c r="F544" s="501"/>
      <c r="G544" s="54"/>
      <c r="H544" s="54"/>
      <c r="I544" s="92"/>
      <c r="J544" s="163"/>
      <c r="K544" s="117"/>
      <c r="L544" s="92"/>
      <c r="M544" s="164"/>
      <c r="N544" s="23">
        <f>SUM(N545:N547)</f>
        <v>50260</v>
      </c>
    </row>
    <row r="545" spans="2:14" ht="15" customHeight="1" x14ac:dyDescent="0.2">
      <c r="B545" s="121" t="s">
        <v>136</v>
      </c>
      <c r="C545" s="177">
        <v>38531</v>
      </c>
      <c r="D545" s="54" t="s">
        <v>411</v>
      </c>
      <c r="E545" s="54" t="s">
        <v>828</v>
      </c>
      <c r="F545" s="499" t="s">
        <v>139</v>
      </c>
      <c r="G545" s="54" t="s">
        <v>296</v>
      </c>
      <c r="H545" s="54" t="s">
        <v>142</v>
      </c>
      <c r="I545" s="92" t="s">
        <v>78</v>
      </c>
      <c r="J545" s="163" t="s">
        <v>79</v>
      </c>
      <c r="K545" s="178" t="s">
        <v>80</v>
      </c>
      <c r="L545" s="92" t="s">
        <v>302</v>
      </c>
      <c r="M545" s="119">
        <v>25000</v>
      </c>
      <c r="N545" s="120">
        <f>M545</f>
        <v>25000</v>
      </c>
    </row>
    <row r="546" spans="2:14" ht="15" customHeight="1" x14ac:dyDescent="0.2">
      <c r="B546" s="121" t="s">
        <v>137</v>
      </c>
      <c r="C546" s="177">
        <v>38651</v>
      </c>
      <c r="D546" s="54" t="s">
        <v>411</v>
      </c>
      <c r="E546" s="54" t="s">
        <v>828</v>
      </c>
      <c r="F546" s="499" t="s">
        <v>140</v>
      </c>
      <c r="G546" s="54" t="s">
        <v>296</v>
      </c>
      <c r="H546" s="54" t="s">
        <v>143</v>
      </c>
      <c r="I546" s="92" t="s">
        <v>78</v>
      </c>
      <c r="J546" s="163" t="s">
        <v>79</v>
      </c>
      <c r="K546" s="178" t="s">
        <v>80</v>
      </c>
      <c r="L546" s="92" t="s">
        <v>302</v>
      </c>
      <c r="M546" s="142">
        <v>10260</v>
      </c>
      <c r="N546" s="120">
        <f>M546</f>
        <v>10260</v>
      </c>
    </row>
    <row r="547" spans="2:14" ht="15" customHeight="1" x14ac:dyDescent="0.2">
      <c r="B547" s="121" t="s">
        <v>138</v>
      </c>
      <c r="C547" s="177">
        <v>38687</v>
      </c>
      <c r="D547" s="54" t="s">
        <v>341</v>
      </c>
      <c r="E547" s="54" t="s">
        <v>828</v>
      </c>
      <c r="F547" s="499" t="s">
        <v>141</v>
      </c>
      <c r="G547" s="54" t="s">
        <v>296</v>
      </c>
      <c r="H547" s="54" t="s">
        <v>144</v>
      </c>
      <c r="I547" s="92" t="s">
        <v>145</v>
      </c>
      <c r="J547" s="163" t="s">
        <v>146</v>
      </c>
      <c r="K547" s="178" t="s">
        <v>87</v>
      </c>
      <c r="L547" s="92" t="s">
        <v>302</v>
      </c>
      <c r="M547" s="142">
        <v>15000</v>
      </c>
      <c r="N547" s="120">
        <f>M547</f>
        <v>15000</v>
      </c>
    </row>
    <row r="548" spans="2:14" x14ac:dyDescent="0.2">
      <c r="B548" s="121"/>
      <c r="C548" s="177"/>
      <c r="D548" s="54"/>
      <c r="E548" s="54"/>
      <c r="F548" s="501"/>
      <c r="G548" s="54"/>
      <c r="H548" s="54"/>
      <c r="I548" s="92"/>
      <c r="J548" s="163"/>
      <c r="K548" s="117"/>
      <c r="L548" s="92"/>
      <c r="M548" s="142"/>
      <c r="N548" s="120"/>
    </row>
    <row r="549" spans="2:14" x14ac:dyDescent="0.2">
      <c r="B549" s="146" t="s">
        <v>340</v>
      </c>
      <c r="C549" s="177"/>
      <c r="D549" s="54"/>
      <c r="E549" s="54"/>
      <c r="F549" s="501"/>
      <c r="G549" s="54"/>
      <c r="H549" s="54"/>
      <c r="I549" s="92"/>
      <c r="J549" s="163"/>
      <c r="K549" s="117"/>
      <c r="L549" s="92"/>
      <c r="M549" s="142"/>
      <c r="N549" s="23">
        <f>SUM(N550:N554)</f>
        <v>769152.8</v>
      </c>
    </row>
    <row r="550" spans="2:14" ht="15" customHeight="1" x14ac:dyDescent="0.2">
      <c r="B550" s="121" t="s">
        <v>147</v>
      </c>
      <c r="C550" s="177">
        <v>38382</v>
      </c>
      <c r="D550" s="54" t="s">
        <v>69</v>
      </c>
      <c r="E550" s="54" t="s">
        <v>70</v>
      </c>
      <c r="F550" s="499" t="s">
        <v>1162</v>
      </c>
      <c r="G550" s="54" t="s">
        <v>340</v>
      </c>
      <c r="H550" s="54" t="s">
        <v>298</v>
      </c>
      <c r="I550" s="166" t="s">
        <v>152</v>
      </c>
      <c r="J550" s="163" t="s">
        <v>1081</v>
      </c>
      <c r="K550" s="117" t="s">
        <v>1439</v>
      </c>
      <c r="L550" s="92" t="s">
        <v>302</v>
      </c>
      <c r="M550" s="119">
        <v>400000</v>
      </c>
      <c r="N550" s="120">
        <f>M550</f>
        <v>400000</v>
      </c>
    </row>
    <row r="551" spans="2:14" ht="15" customHeight="1" x14ac:dyDescent="0.2">
      <c r="B551" s="121" t="s">
        <v>148</v>
      </c>
      <c r="C551" s="177">
        <v>38687</v>
      </c>
      <c r="D551" s="54" t="s">
        <v>628</v>
      </c>
      <c r="E551" s="54" t="s">
        <v>93</v>
      </c>
      <c r="F551" s="499" t="s">
        <v>1808</v>
      </c>
      <c r="G551" s="54" t="s">
        <v>340</v>
      </c>
      <c r="H551" s="54" t="s">
        <v>151</v>
      </c>
      <c r="I551" s="163" t="s">
        <v>153</v>
      </c>
      <c r="J551" s="163" t="s">
        <v>80</v>
      </c>
      <c r="K551" s="178" t="s">
        <v>154</v>
      </c>
      <c r="L551" s="92" t="s">
        <v>1084</v>
      </c>
      <c r="M551" s="142">
        <v>12000</v>
      </c>
      <c r="N551" s="120">
        <f>M551*1.1794</f>
        <v>14152.8</v>
      </c>
    </row>
    <row r="552" spans="2:14" ht="15" customHeight="1" x14ac:dyDescent="0.2">
      <c r="B552" s="121" t="s">
        <v>149</v>
      </c>
      <c r="C552" s="177">
        <v>38691</v>
      </c>
      <c r="D552" s="54" t="s">
        <v>411</v>
      </c>
      <c r="E552" s="54" t="s">
        <v>828</v>
      </c>
      <c r="F552" s="499" t="s">
        <v>1809</v>
      </c>
      <c r="G552" s="54" t="s">
        <v>340</v>
      </c>
      <c r="H552" s="54" t="s">
        <v>151</v>
      </c>
      <c r="I552" s="92" t="s">
        <v>78</v>
      </c>
      <c r="J552" s="163" t="s">
        <v>91</v>
      </c>
      <c r="K552" s="178" t="s">
        <v>155</v>
      </c>
      <c r="L552" s="92" t="s">
        <v>302</v>
      </c>
      <c r="M552" s="142">
        <v>150000</v>
      </c>
      <c r="N552" s="120">
        <f>M552</f>
        <v>150000</v>
      </c>
    </row>
    <row r="553" spans="2:14" ht="15" customHeight="1" x14ac:dyDescent="0.2">
      <c r="B553" s="121" t="s">
        <v>150</v>
      </c>
      <c r="C553" s="177">
        <v>38691</v>
      </c>
      <c r="D553" s="54" t="s">
        <v>341</v>
      </c>
      <c r="E553" s="54" t="s">
        <v>828</v>
      </c>
      <c r="F553" s="499" t="s">
        <v>182</v>
      </c>
      <c r="G553" s="54" t="s">
        <v>340</v>
      </c>
      <c r="H553" s="54" t="s">
        <v>151</v>
      </c>
      <c r="I553" s="92" t="s">
        <v>145</v>
      </c>
      <c r="J553" s="163" t="s">
        <v>84</v>
      </c>
      <c r="K553" s="178" t="s">
        <v>156</v>
      </c>
      <c r="L553" s="92" t="s">
        <v>158</v>
      </c>
      <c r="M553" s="142">
        <v>200000</v>
      </c>
      <c r="N553" s="120">
        <f>M553</f>
        <v>200000</v>
      </c>
    </row>
    <row r="554" spans="2:14" ht="15" customHeight="1" x14ac:dyDescent="0.2">
      <c r="B554" s="121" t="s">
        <v>150</v>
      </c>
      <c r="C554" s="177">
        <v>38691</v>
      </c>
      <c r="D554" s="54" t="s">
        <v>341</v>
      </c>
      <c r="E554" s="54" t="s">
        <v>828</v>
      </c>
      <c r="F554" s="499" t="s">
        <v>1810</v>
      </c>
      <c r="G554" s="54" t="s">
        <v>340</v>
      </c>
      <c r="H554" s="54" t="s">
        <v>3</v>
      </c>
      <c r="I554" s="92" t="s">
        <v>145</v>
      </c>
      <c r="J554" s="163" t="s">
        <v>90</v>
      </c>
      <c r="K554" s="178" t="s">
        <v>157</v>
      </c>
      <c r="L554" s="92" t="s">
        <v>302</v>
      </c>
      <c r="M554" s="142">
        <v>5000</v>
      </c>
      <c r="N554" s="120">
        <f>M554</f>
        <v>5000</v>
      </c>
    </row>
    <row r="555" spans="2:14" x14ac:dyDescent="0.2">
      <c r="B555" s="121"/>
      <c r="C555" s="177"/>
      <c r="D555" s="54"/>
      <c r="E555" s="54"/>
      <c r="F555" s="501"/>
      <c r="G555" s="54"/>
      <c r="H555" s="54"/>
      <c r="I555" s="92"/>
      <c r="J555" s="163"/>
      <c r="K555" s="117"/>
      <c r="L555" s="92"/>
      <c r="M555" s="142"/>
      <c r="N555" s="120"/>
    </row>
    <row r="556" spans="2:14" x14ac:dyDescent="0.2">
      <c r="B556" s="27" t="s">
        <v>305</v>
      </c>
      <c r="C556" s="177"/>
      <c r="D556" s="54"/>
      <c r="E556" s="54"/>
      <c r="F556" s="501"/>
      <c r="G556" s="54"/>
      <c r="H556" s="54"/>
      <c r="I556" s="92"/>
      <c r="J556" s="163"/>
      <c r="K556" s="117"/>
      <c r="L556" s="92"/>
      <c r="M556" s="142"/>
      <c r="N556" s="23">
        <f>SUM(N557:N558)</f>
        <v>100000</v>
      </c>
    </row>
    <row r="557" spans="2:14" ht="15" customHeight="1" x14ac:dyDescent="0.2">
      <c r="B557" s="121" t="s">
        <v>159</v>
      </c>
      <c r="C557" s="177">
        <v>38710</v>
      </c>
      <c r="D557" s="54" t="s">
        <v>411</v>
      </c>
      <c r="E557" s="54" t="s">
        <v>828</v>
      </c>
      <c r="F557" s="499" t="s">
        <v>1811</v>
      </c>
      <c r="G557" s="54" t="s">
        <v>305</v>
      </c>
      <c r="H557" s="54" t="s">
        <v>161</v>
      </c>
      <c r="I557" s="92" t="s">
        <v>78</v>
      </c>
      <c r="J557" s="163" t="s">
        <v>79</v>
      </c>
      <c r="K557" s="178" t="s">
        <v>80</v>
      </c>
      <c r="L557" s="92" t="s">
        <v>158</v>
      </c>
      <c r="M557" s="142">
        <v>50000</v>
      </c>
      <c r="N557" s="120">
        <f>M557</f>
        <v>50000</v>
      </c>
    </row>
    <row r="558" spans="2:14" ht="15" customHeight="1" x14ac:dyDescent="0.2">
      <c r="B558" s="121" t="s">
        <v>160</v>
      </c>
      <c r="C558" s="177">
        <v>38710</v>
      </c>
      <c r="D558" s="54" t="s">
        <v>341</v>
      </c>
      <c r="E558" s="54" t="s">
        <v>828</v>
      </c>
      <c r="F558" s="499" t="s">
        <v>1811</v>
      </c>
      <c r="G558" s="54" t="s">
        <v>305</v>
      </c>
      <c r="H558" s="54" t="s">
        <v>161</v>
      </c>
      <c r="I558" s="92" t="s">
        <v>145</v>
      </c>
      <c r="J558" s="163" t="s">
        <v>84</v>
      </c>
      <c r="K558" s="178" t="s">
        <v>156</v>
      </c>
      <c r="L558" s="92" t="s">
        <v>302</v>
      </c>
      <c r="M558" s="142">
        <v>50000</v>
      </c>
      <c r="N558" s="120">
        <f>M558</f>
        <v>50000</v>
      </c>
    </row>
    <row r="559" spans="2:14" x14ac:dyDescent="0.2">
      <c r="B559" s="121"/>
      <c r="C559" s="177"/>
      <c r="D559" s="54"/>
      <c r="E559" s="54"/>
      <c r="F559" s="499"/>
      <c r="G559" s="54"/>
      <c r="H559" s="54"/>
      <c r="I559" s="92"/>
      <c r="J559" s="163"/>
      <c r="K559" s="178"/>
      <c r="L559" s="92"/>
      <c r="M559" s="142"/>
      <c r="N559" s="120"/>
    </row>
    <row r="560" spans="2:14" ht="13.5" thickBot="1" x14ac:dyDescent="0.25">
      <c r="B560" s="128"/>
      <c r="C560" s="179"/>
      <c r="D560" s="137"/>
      <c r="E560" s="137"/>
      <c r="F560" s="500"/>
      <c r="G560" s="137"/>
      <c r="H560" s="137"/>
      <c r="I560" s="131"/>
      <c r="J560" s="172"/>
      <c r="K560" s="180"/>
      <c r="L560" s="131"/>
      <c r="M560" s="173"/>
      <c r="N560" s="135"/>
    </row>
    <row r="561" spans="2:14" ht="13.5" thickTop="1" x14ac:dyDescent="0.2">
      <c r="B561" s="121"/>
      <c r="C561" s="177"/>
      <c r="D561" s="54"/>
      <c r="E561" s="54"/>
      <c r="F561" s="499"/>
      <c r="G561" s="54"/>
      <c r="H561" s="54"/>
      <c r="I561" s="92"/>
      <c r="J561" s="163"/>
      <c r="K561" s="178"/>
      <c r="L561" s="92"/>
      <c r="M561" s="164"/>
      <c r="N561" s="120"/>
    </row>
    <row r="562" spans="2:14" s="259" customFormat="1" ht="18" x14ac:dyDescent="0.25">
      <c r="B562" s="28">
        <v>2006</v>
      </c>
      <c r="C562" s="266"/>
      <c r="D562" s="267"/>
      <c r="E562" s="267"/>
      <c r="F562" s="510"/>
      <c r="G562" s="267"/>
      <c r="H562" s="267"/>
      <c r="I562" s="263"/>
      <c r="J562" s="268"/>
      <c r="K562" s="269"/>
      <c r="L562" s="263"/>
      <c r="M562" s="270"/>
      <c r="N562" s="248">
        <f>N564+N569+N579+N576+N582+N592+N596+N589+N586</f>
        <v>627859.2743385199</v>
      </c>
    </row>
    <row r="563" spans="2:14" x14ac:dyDescent="0.2">
      <c r="B563" s="121"/>
      <c r="C563" s="162"/>
      <c r="D563" s="54"/>
      <c r="E563" s="54"/>
      <c r="F563" s="499"/>
      <c r="G563" s="54"/>
      <c r="H563" s="54"/>
      <c r="I563" s="92"/>
      <c r="J563" s="163"/>
      <c r="K563" s="178"/>
      <c r="L563" s="92"/>
      <c r="M563" s="164"/>
      <c r="N563" s="120"/>
    </row>
    <row r="564" spans="2:14" x14ac:dyDescent="0.2">
      <c r="B564" s="146" t="s">
        <v>296</v>
      </c>
      <c r="C564" s="162"/>
      <c r="D564" s="55"/>
      <c r="E564" s="54"/>
      <c r="F564" s="502"/>
      <c r="G564" s="54"/>
      <c r="H564" s="117"/>
      <c r="I564" s="92"/>
      <c r="J564" s="163"/>
      <c r="K564" s="178"/>
      <c r="L564" s="92"/>
      <c r="M564" s="164"/>
      <c r="N564" s="23">
        <f>SUM(N565:N567)</f>
        <v>69268.423999999999</v>
      </c>
    </row>
    <row r="565" spans="2:14" ht="25.5" x14ac:dyDescent="0.2">
      <c r="B565" s="121" t="s">
        <v>172</v>
      </c>
      <c r="C565" s="162">
        <v>38913</v>
      </c>
      <c r="D565" s="55" t="s">
        <v>391</v>
      </c>
      <c r="E565" s="54" t="s">
        <v>173</v>
      </c>
      <c r="F565" s="511" t="s">
        <v>174</v>
      </c>
      <c r="G565" s="349" t="s">
        <v>296</v>
      </c>
      <c r="H565" s="349" t="s">
        <v>175</v>
      </c>
      <c r="I565" s="341" t="s">
        <v>176</v>
      </c>
      <c r="J565" s="344" t="s">
        <v>162</v>
      </c>
      <c r="K565" s="357" t="s">
        <v>177</v>
      </c>
      <c r="L565" s="341" t="s">
        <v>302</v>
      </c>
      <c r="M565" s="345">
        <v>10000</v>
      </c>
      <c r="N565" s="347">
        <v>10000</v>
      </c>
    </row>
    <row r="566" spans="2:14" ht="15" customHeight="1" x14ac:dyDescent="0.2">
      <c r="B566" s="121" t="s">
        <v>168</v>
      </c>
      <c r="C566" s="162">
        <v>39022</v>
      </c>
      <c r="D566" s="55" t="s">
        <v>628</v>
      </c>
      <c r="E566" s="54" t="s">
        <v>169</v>
      </c>
      <c r="F566" s="499" t="s">
        <v>170</v>
      </c>
      <c r="G566" s="54" t="s">
        <v>296</v>
      </c>
      <c r="H566" s="54" t="s">
        <v>171</v>
      </c>
      <c r="I566" s="92">
        <v>0.03</v>
      </c>
      <c r="J566" s="163" t="s">
        <v>91</v>
      </c>
      <c r="K566" s="178" t="s">
        <v>94</v>
      </c>
      <c r="L566" s="92" t="s">
        <v>1084</v>
      </c>
      <c r="M566" s="142">
        <v>6000</v>
      </c>
      <c r="N566" s="120">
        <v>7658.4</v>
      </c>
    </row>
    <row r="567" spans="2:14" ht="15" customHeight="1" x14ac:dyDescent="0.2">
      <c r="B567" s="121" t="s">
        <v>252</v>
      </c>
      <c r="C567" s="162">
        <v>39052</v>
      </c>
      <c r="D567" s="55" t="s">
        <v>774</v>
      </c>
      <c r="E567" s="54" t="s">
        <v>169</v>
      </c>
      <c r="F567" s="499" t="s">
        <v>253</v>
      </c>
      <c r="G567" s="54" t="s">
        <v>296</v>
      </c>
      <c r="H567" s="54" t="s">
        <v>143</v>
      </c>
      <c r="I567" s="92" t="s">
        <v>254</v>
      </c>
      <c r="J567" s="163" t="s">
        <v>255</v>
      </c>
      <c r="K567" s="178" t="s">
        <v>256</v>
      </c>
      <c r="L567" s="92" t="s">
        <v>366</v>
      </c>
      <c r="M567" s="142">
        <v>5972000</v>
      </c>
      <c r="N567" s="120">
        <v>51610.023999999998</v>
      </c>
    </row>
    <row r="568" spans="2:14" x14ac:dyDescent="0.2">
      <c r="B568" s="121"/>
      <c r="C568" s="162"/>
      <c r="D568" s="55"/>
      <c r="E568" s="54"/>
      <c r="F568" s="499"/>
      <c r="G568" s="54"/>
      <c r="H568" s="54"/>
      <c r="I568" s="92"/>
      <c r="J568" s="163"/>
      <c r="K568" s="178"/>
      <c r="L568" s="92"/>
      <c r="M568" s="142"/>
      <c r="N568" s="120"/>
    </row>
    <row r="569" spans="2:14" x14ac:dyDescent="0.2">
      <c r="B569" s="146" t="s">
        <v>340</v>
      </c>
      <c r="C569" s="162"/>
      <c r="D569" s="55"/>
      <c r="E569" s="54"/>
      <c r="F569" s="499"/>
      <c r="G569" s="54"/>
      <c r="H569" s="54"/>
      <c r="I569" s="92"/>
      <c r="J569" s="163"/>
      <c r="K569" s="178"/>
      <c r="L569" s="92"/>
      <c r="M569" s="142"/>
      <c r="N569" s="23">
        <f>SUM(N570:N574)</f>
        <v>303313.2</v>
      </c>
    </row>
    <row r="570" spans="2:14" ht="25.5" x14ac:dyDescent="0.2">
      <c r="B570" s="121" t="s">
        <v>188</v>
      </c>
      <c r="C570" s="162">
        <v>38759</v>
      </c>
      <c r="D570" s="55" t="s">
        <v>391</v>
      </c>
      <c r="E570" s="54" t="s">
        <v>173</v>
      </c>
      <c r="F570" s="511" t="s">
        <v>189</v>
      </c>
      <c r="G570" s="349" t="s">
        <v>179</v>
      </c>
      <c r="H570" s="349" t="s">
        <v>151</v>
      </c>
      <c r="I570" s="341" t="s">
        <v>407</v>
      </c>
      <c r="J570" s="341" t="s">
        <v>407</v>
      </c>
      <c r="K570" s="357" t="s">
        <v>407</v>
      </c>
      <c r="L570" s="341" t="s">
        <v>302</v>
      </c>
      <c r="M570" s="345">
        <v>28000</v>
      </c>
      <c r="N570" s="347">
        <v>28000</v>
      </c>
    </row>
    <row r="571" spans="2:14" x14ac:dyDescent="0.2">
      <c r="B571" s="121"/>
      <c r="C571" s="162"/>
      <c r="D571" s="55"/>
      <c r="E571" s="54"/>
      <c r="F571" s="499" t="s">
        <v>191</v>
      </c>
      <c r="G571" s="54"/>
      <c r="H571" s="54"/>
      <c r="I571" s="92"/>
      <c r="J571" s="163"/>
      <c r="K571" s="178"/>
      <c r="L571" s="92"/>
      <c r="M571" s="142"/>
      <c r="N571" s="120"/>
    </row>
    <row r="572" spans="2:14" ht="38.25" x14ac:dyDescent="0.2">
      <c r="B572" s="121" t="s">
        <v>178</v>
      </c>
      <c r="C572" s="162">
        <v>38906</v>
      </c>
      <c r="D572" s="55" t="s">
        <v>341</v>
      </c>
      <c r="E572" s="54" t="s">
        <v>173</v>
      </c>
      <c r="F572" s="511" t="s">
        <v>1678</v>
      </c>
      <c r="G572" s="349" t="s">
        <v>179</v>
      </c>
      <c r="H572" s="349" t="s">
        <v>151</v>
      </c>
      <c r="I572" s="341" t="s">
        <v>166</v>
      </c>
      <c r="J572" s="341" t="s">
        <v>166</v>
      </c>
      <c r="K572" s="357" t="s">
        <v>166</v>
      </c>
      <c r="L572" s="341" t="s">
        <v>302</v>
      </c>
      <c r="M572" s="345">
        <v>60000</v>
      </c>
      <c r="N572" s="347">
        <v>60000</v>
      </c>
    </row>
    <row r="573" spans="2:14" ht="25.5" x14ac:dyDescent="0.2">
      <c r="B573" s="121" t="s">
        <v>185</v>
      </c>
      <c r="C573" s="162">
        <v>39022</v>
      </c>
      <c r="D573" s="55" t="s">
        <v>628</v>
      </c>
      <c r="E573" s="54" t="s">
        <v>169</v>
      </c>
      <c r="F573" s="511" t="s">
        <v>186</v>
      </c>
      <c r="G573" s="54" t="s">
        <v>340</v>
      </c>
      <c r="H573" s="54" t="s">
        <v>151</v>
      </c>
      <c r="I573" s="92" t="s">
        <v>187</v>
      </c>
      <c r="J573" s="163" t="s">
        <v>80</v>
      </c>
      <c r="K573" s="178" t="s">
        <v>154</v>
      </c>
      <c r="L573" s="92" t="s">
        <v>1084</v>
      </c>
      <c r="M573" s="142">
        <v>12000</v>
      </c>
      <c r="N573" s="120">
        <v>15313.2</v>
      </c>
    </row>
    <row r="574" spans="2:14" ht="15" customHeight="1" x14ac:dyDescent="0.2">
      <c r="B574" s="121" t="s">
        <v>181</v>
      </c>
      <c r="C574" s="162">
        <v>39058</v>
      </c>
      <c r="D574" s="55" t="s">
        <v>341</v>
      </c>
      <c r="E574" s="54" t="s">
        <v>173</v>
      </c>
      <c r="F574" s="499" t="s">
        <v>182</v>
      </c>
      <c r="G574" s="54" t="s">
        <v>340</v>
      </c>
      <c r="H574" s="54" t="s">
        <v>3</v>
      </c>
      <c r="I574" s="92" t="s">
        <v>145</v>
      </c>
      <c r="J574" s="163" t="s">
        <v>183</v>
      </c>
      <c r="K574" s="178" t="s">
        <v>184</v>
      </c>
      <c r="L574" s="92" t="s">
        <v>302</v>
      </c>
      <c r="M574" s="142">
        <v>200000</v>
      </c>
      <c r="N574" s="120">
        <v>200000</v>
      </c>
    </row>
    <row r="575" spans="2:14" x14ac:dyDescent="0.2">
      <c r="B575" s="121"/>
      <c r="C575" s="162"/>
      <c r="D575" s="55"/>
      <c r="E575" s="54"/>
      <c r="F575" s="499"/>
      <c r="G575" s="54"/>
      <c r="H575" s="54"/>
      <c r="I575" s="92"/>
      <c r="J575" s="163"/>
      <c r="K575" s="178"/>
      <c r="L575" s="92"/>
      <c r="M575" s="142"/>
      <c r="N575" s="120"/>
    </row>
    <row r="576" spans="2:14" x14ac:dyDescent="0.2">
      <c r="B576" s="102" t="s">
        <v>353</v>
      </c>
      <c r="C576" s="162"/>
      <c r="D576" s="55"/>
      <c r="E576" s="54"/>
      <c r="F576" s="499"/>
      <c r="G576" s="54"/>
      <c r="H576" s="54"/>
      <c r="I576" s="92"/>
      <c r="J576" s="163"/>
      <c r="K576" s="178"/>
      <c r="L576" s="92"/>
      <c r="M576" s="142"/>
      <c r="N576" s="23">
        <f>SUM(N577:N577)</f>
        <v>50000</v>
      </c>
    </row>
    <row r="577" spans="2:14" ht="25.5" x14ac:dyDescent="0.2">
      <c r="B577" s="121" t="s">
        <v>192</v>
      </c>
      <c r="C577" s="162">
        <v>38904</v>
      </c>
      <c r="D577" s="55" t="s">
        <v>411</v>
      </c>
      <c r="E577" s="54" t="s">
        <v>173</v>
      </c>
      <c r="F577" s="511" t="s">
        <v>1812</v>
      </c>
      <c r="G577" s="54" t="s">
        <v>353</v>
      </c>
      <c r="H577" s="54" t="s">
        <v>193</v>
      </c>
      <c r="I577" s="92" t="s">
        <v>78</v>
      </c>
      <c r="J577" s="163" t="s">
        <v>91</v>
      </c>
      <c r="K577" s="178" t="s">
        <v>194</v>
      </c>
      <c r="L577" s="92" t="s">
        <v>302</v>
      </c>
      <c r="M577" s="142">
        <v>50000</v>
      </c>
      <c r="N577" s="120">
        <v>50000</v>
      </c>
    </row>
    <row r="578" spans="2:14" x14ac:dyDescent="0.2">
      <c r="B578" s="121"/>
      <c r="C578" s="162"/>
      <c r="D578" s="55"/>
      <c r="E578" s="54"/>
      <c r="F578" s="499"/>
      <c r="G578" s="54"/>
      <c r="H578" s="54"/>
      <c r="I578" s="92"/>
      <c r="J578" s="163"/>
      <c r="K578" s="178"/>
      <c r="L578" s="92"/>
      <c r="M578" s="142"/>
      <c r="N578" s="120"/>
    </row>
    <row r="579" spans="2:14" x14ac:dyDescent="0.2">
      <c r="B579" s="102" t="s">
        <v>987</v>
      </c>
      <c r="C579" s="162"/>
      <c r="D579" s="55"/>
      <c r="E579" s="54"/>
      <c r="F579" s="499"/>
      <c r="G579" s="54"/>
      <c r="H579" s="54"/>
      <c r="I579" s="92"/>
      <c r="J579" s="163"/>
      <c r="K579" s="178"/>
      <c r="L579" s="92"/>
      <c r="M579" s="142"/>
      <c r="N579" s="23">
        <f>SUM(N580:N580)</f>
        <v>10000</v>
      </c>
    </row>
    <row r="580" spans="2:14" ht="15" customHeight="1" x14ac:dyDescent="0.2">
      <c r="B580" s="121" t="s">
        <v>257</v>
      </c>
      <c r="C580" s="162">
        <v>38975</v>
      </c>
      <c r="D580" s="55" t="s">
        <v>258</v>
      </c>
      <c r="E580" s="54" t="s">
        <v>169</v>
      </c>
      <c r="F580" s="499" t="s">
        <v>259</v>
      </c>
      <c r="G580" s="54" t="s">
        <v>179</v>
      </c>
      <c r="H580" s="54" t="s">
        <v>261</v>
      </c>
      <c r="I580" s="92">
        <v>0.01</v>
      </c>
      <c r="J580" s="163" t="s">
        <v>84</v>
      </c>
      <c r="K580" s="178" t="s">
        <v>110</v>
      </c>
      <c r="L580" s="92" t="s">
        <v>302</v>
      </c>
      <c r="M580" s="142">
        <v>10000</v>
      </c>
      <c r="N580" s="120">
        <v>10000</v>
      </c>
    </row>
    <row r="581" spans="2:14" x14ac:dyDescent="0.2">
      <c r="B581" s="121"/>
      <c r="C581" s="162"/>
      <c r="D581" s="55"/>
      <c r="E581" s="54"/>
      <c r="F581" s="499"/>
      <c r="G581" s="54"/>
      <c r="H581" s="54"/>
      <c r="I581" s="92"/>
      <c r="J581" s="163"/>
      <c r="K581" s="178"/>
      <c r="L581" s="92"/>
      <c r="M581" s="142"/>
      <c r="N581" s="120"/>
    </row>
    <row r="582" spans="2:14" x14ac:dyDescent="0.2">
      <c r="B582" s="146" t="s">
        <v>381</v>
      </c>
      <c r="C582" s="162"/>
      <c r="D582" s="55"/>
      <c r="E582" s="54"/>
      <c r="F582" s="499"/>
      <c r="G582" s="54"/>
      <c r="H582" s="54"/>
      <c r="I582" s="92"/>
      <c r="J582" s="163"/>
      <c r="K582" s="178"/>
      <c r="L582" s="92"/>
      <c r="M582" s="142"/>
      <c r="N582" s="23">
        <f>SUM(N583:N584)</f>
        <v>65573.940338519998</v>
      </c>
    </row>
    <row r="583" spans="2:14" ht="15" customHeight="1" x14ac:dyDescent="0.2">
      <c r="B583" s="121" t="s">
        <v>195</v>
      </c>
      <c r="C583" s="162">
        <v>39045</v>
      </c>
      <c r="D583" s="55" t="s">
        <v>628</v>
      </c>
      <c r="E583" s="54" t="s">
        <v>169</v>
      </c>
      <c r="F583" s="499" t="s">
        <v>196</v>
      </c>
      <c r="G583" s="54" t="s">
        <v>381</v>
      </c>
      <c r="H583" s="54" t="s">
        <v>197</v>
      </c>
      <c r="I583" s="92" t="s">
        <v>180</v>
      </c>
      <c r="J583" s="163" t="s">
        <v>91</v>
      </c>
      <c r="K583" s="178" t="s">
        <v>94</v>
      </c>
      <c r="L583" s="92" t="s">
        <v>1084</v>
      </c>
      <c r="M583" s="142">
        <v>12035.5</v>
      </c>
      <c r="N583" s="120">
        <v>15573.94033852</v>
      </c>
    </row>
    <row r="584" spans="2:14" ht="15" customHeight="1" x14ac:dyDescent="0.2">
      <c r="B584" s="121" t="s">
        <v>198</v>
      </c>
      <c r="C584" s="162">
        <v>39005</v>
      </c>
      <c r="D584" s="55" t="s">
        <v>341</v>
      </c>
      <c r="E584" s="54" t="s">
        <v>173</v>
      </c>
      <c r="F584" s="499" t="s">
        <v>199</v>
      </c>
      <c r="G584" s="54" t="s">
        <v>381</v>
      </c>
      <c r="H584" s="54" t="s">
        <v>96</v>
      </c>
      <c r="I584" s="92" t="s">
        <v>145</v>
      </c>
      <c r="J584" s="163" t="s">
        <v>80</v>
      </c>
      <c r="K584" s="178" t="s">
        <v>200</v>
      </c>
      <c r="L584" s="92" t="s">
        <v>302</v>
      </c>
      <c r="M584" s="142">
        <v>50000</v>
      </c>
      <c r="N584" s="120">
        <v>50000</v>
      </c>
    </row>
    <row r="585" spans="2:14" x14ac:dyDescent="0.2">
      <c r="B585" s="121"/>
      <c r="C585" s="162"/>
      <c r="D585" s="55"/>
      <c r="E585" s="54"/>
      <c r="F585" s="499"/>
      <c r="G585" s="54"/>
      <c r="H585" s="54"/>
      <c r="I585" s="92"/>
      <c r="J585" s="163"/>
      <c r="K585" s="178"/>
      <c r="L585" s="92"/>
      <c r="M585" s="142"/>
      <c r="N585" s="120"/>
    </row>
    <row r="586" spans="2:14" x14ac:dyDescent="0.2">
      <c r="B586" s="27" t="s">
        <v>20</v>
      </c>
      <c r="C586" s="162"/>
      <c r="D586" s="55"/>
      <c r="E586" s="54"/>
      <c r="F586" s="499"/>
      <c r="G586" s="54"/>
      <c r="H586" s="54"/>
      <c r="I586" s="92"/>
      <c r="J586" s="163"/>
      <c r="K586" s="178"/>
      <c r="L586" s="92"/>
      <c r="M586" s="142"/>
      <c r="N586" s="23">
        <f>SUM(N587:N587)</f>
        <v>25000</v>
      </c>
    </row>
    <row r="587" spans="2:14" ht="15" customHeight="1" x14ac:dyDescent="0.2">
      <c r="B587" s="121" t="s">
        <v>266</v>
      </c>
      <c r="C587" s="162">
        <v>38904</v>
      </c>
      <c r="D587" s="55" t="s">
        <v>341</v>
      </c>
      <c r="E587" s="54" t="s">
        <v>173</v>
      </c>
      <c r="F587" s="499" t="s">
        <v>1813</v>
      </c>
      <c r="G587" s="54" t="s">
        <v>20</v>
      </c>
      <c r="H587" s="54" t="s">
        <v>20</v>
      </c>
      <c r="I587" s="92" t="s">
        <v>145</v>
      </c>
      <c r="J587" s="163" t="s">
        <v>267</v>
      </c>
      <c r="K587" s="178" t="s">
        <v>256</v>
      </c>
      <c r="L587" s="92" t="s">
        <v>302</v>
      </c>
      <c r="M587" s="142">
        <v>25000</v>
      </c>
      <c r="N587" s="120">
        <v>25000</v>
      </c>
    </row>
    <row r="588" spans="2:14" x14ac:dyDescent="0.2">
      <c r="B588" s="121"/>
      <c r="C588" s="162"/>
      <c r="D588" s="55"/>
      <c r="E588" s="54"/>
      <c r="F588" s="499"/>
      <c r="G588" s="54"/>
      <c r="H588" s="54"/>
      <c r="I588" s="92"/>
      <c r="J588" s="163"/>
      <c r="K588" s="178"/>
      <c r="L588" s="92"/>
      <c r="M588" s="142"/>
      <c r="N588" s="120"/>
    </row>
    <row r="589" spans="2:14" x14ac:dyDescent="0.2">
      <c r="B589" s="146" t="s">
        <v>114</v>
      </c>
      <c r="C589" s="162"/>
      <c r="D589" s="55"/>
      <c r="E589" s="54"/>
      <c r="F589" s="499"/>
      <c r="G589" s="54"/>
      <c r="H589" s="54"/>
      <c r="I589" s="92"/>
      <c r="J589" s="163"/>
      <c r="K589" s="178"/>
      <c r="L589" s="92"/>
      <c r="M589" s="142"/>
      <c r="N589" s="23">
        <f>SUM(N590:N590)</f>
        <v>14813.71</v>
      </c>
    </row>
    <row r="590" spans="2:14" ht="15" customHeight="1" x14ac:dyDescent="0.2">
      <c r="B590" s="121" t="s">
        <v>262</v>
      </c>
      <c r="C590" s="162">
        <v>38997</v>
      </c>
      <c r="D590" s="55" t="s">
        <v>628</v>
      </c>
      <c r="E590" s="54" t="s">
        <v>169</v>
      </c>
      <c r="F590" s="499" t="s">
        <v>263</v>
      </c>
      <c r="G590" s="54" t="s">
        <v>264</v>
      </c>
      <c r="H590" s="54" t="s">
        <v>265</v>
      </c>
      <c r="I590" s="92">
        <v>0.02</v>
      </c>
      <c r="J590" s="163" t="s">
        <v>91</v>
      </c>
      <c r="K590" s="178" t="s">
        <v>94</v>
      </c>
      <c r="L590" s="92" t="s">
        <v>1084</v>
      </c>
      <c r="M590" s="142">
        <v>11759.71</v>
      </c>
      <c r="N590" s="120">
        <v>14813.71</v>
      </c>
    </row>
    <row r="591" spans="2:14" x14ac:dyDescent="0.2">
      <c r="B591" s="121"/>
      <c r="C591" s="162"/>
      <c r="D591" s="55"/>
      <c r="E591" s="54"/>
      <c r="F591" s="499"/>
      <c r="G591" s="54"/>
      <c r="H591" s="54"/>
      <c r="I591" s="92"/>
      <c r="J591" s="163"/>
      <c r="K591" s="178"/>
      <c r="L591" s="92"/>
      <c r="M591" s="142"/>
      <c r="N591" s="120"/>
    </row>
    <row r="592" spans="2:14" x14ac:dyDescent="0.2">
      <c r="B592" s="146" t="s">
        <v>305</v>
      </c>
      <c r="C592" s="162"/>
      <c r="D592" s="55"/>
      <c r="E592" s="54"/>
      <c r="F592" s="499"/>
      <c r="G592" s="54"/>
      <c r="H592" s="54"/>
      <c r="I592" s="92"/>
      <c r="J592" s="163"/>
      <c r="K592" s="178"/>
      <c r="L592" s="92"/>
      <c r="M592" s="142"/>
      <c r="N592" s="23">
        <f>SUM(N593:N594)</f>
        <v>64890</v>
      </c>
    </row>
    <row r="593" spans="2:16" ht="25.5" x14ac:dyDescent="0.2">
      <c r="B593" s="342" t="s">
        <v>245</v>
      </c>
      <c r="C593" s="340">
        <v>39011</v>
      </c>
      <c r="D593" s="352" t="s">
        <v>391</v>
      </c>
      <c r="E593" s="349" t="s">
        <v>173</v>
      </c>
      <c r="F593" s="511" t="s">
        <v>1814</v>
      </c>
      <c r="G593" s="349" t="s">
        <v>305</v>
      </c>
      <c r="H593" s="349" t="s">
        <v>246</v>
      </c>
      <c r="I593" s="341" t="s">
        <v>190</v>
      </c>
      <c r="J593" s="344" t="s">
        <v>86</v>
      </c>
      <c r="K593" s="357" t="s">
        <v>248</v>
      </c>
      <c r="L593" s="341" t="s">
        <v>302</v>
      </c>
      <c r="M593" s="345">
        <v>14890</v>
      </c>
      <c r="N593" s="347">
        <v>14890</v>
      </c>
    </row>
    <row r="594" spans="2:16" x14ac:dyDescent="0.2">
      <c r="B594" s="121" t="s">
        <v>249</v>
      </c>
      <c r="C594" s="162">
        <v>39072</v>
      </c>
      <c r="D594" s="55" t="s">
        <v>341</v>
      </c>
      <c r="E594" s="54" t="s">
        <v>173</v>
      </c>
      <c r="F594" s="499" t="s">
        <v>250</v>
      </c>
      <c r="G594" s="54" t="s">
        <v>305</v>
      </c>
      <c r="H594" s="54" t="s">
        <v>251</v>
      </c>
      <c r="I594" s="92" t="s">
        <v>145</v>
      </c>
      <c r="J594" s="163" t="s">
        <v>183</v>
      </c>
      <c r="K594" s="178" t="s">
        <v>184</v>
      </c>
      <c r="L594" s="92" t="s">
        <v>302</v>
      </c>
      <c r="M594" s="142">
        <v>50000</v>
      </c>
      <c r="N594" s="120">
        <v>50000</v>
      </c>
    </row>
    <row r="595" spans="2:16" x14ac:dyDescent="0.2">
      <c r="B595" s="121"/>
      <c r="C595" s="162"/>
      <c r="D595" s="55"/>
      <c r="E595" s="54"/>
      <c r="F595" s="499"/>
      <c r="G595" s="54"/>
      <c r="H595" s="54"/>
      <c r="I595" s="92"/>
      <c r="J595" s="163"/>
      <c r="K595" s="178"/>
      <c r="L595" s="92"/>
      <c r="M595" s="142"/>
      <c r="N595" s="120"/>
    </row>
    <row r="596" spans="2:16" x14ac:dyDescent="0.2">
      <c r="B596" s="146" t="s">
        <v>11</v>
      </c>
      <c r="C596" s="162"/>
      <c r="D596" s="55"/>
      <c r="E596" s="54"/>
      <c r="F596" s="499"/>
      <c r="G596" s="54"/>
      <c r="H596" s="54"/>
      <c r="I596" s="92"/>
      <c r="J596" s="163"/>
      <c r="K596" s="178"/>
      <c r="L596" s="92"/>
      <c r="M596" s="142"/>
      <c r="N596" s="23">
        <f>SUM(N597:N597)</f>
        <v>25000</v>
      </c>
      <c r="P596" s="114">
        <f>+N596+N582</f>
        <v>90573.940338519998</v>
      </c>
    </row>
    <row r="597" spans="2:16" ht="15" customHeight="1" x14ac:dyDescent="0.2">
      <c r="B597" s="124" t="s">
        <v>201</v>
      </c>
      <c r="C597" s="162">
        <v>39000</v>
      </c>
      <c r="D597" s="55" t="s">
        <v>411</v>
      </c>
      <c r="E597" s="54" t="s">
        <v>173</v>
      </c>
      <c r="F597" s="499" t="s">
        <v>242</v>
      </c>
      <c r="G597" s="54" t="s">
        <v>11</v>
      </c>
      <c r="H597" s="54" t="s">
        <v>792</v>
      </c>
      <c r="I597" s="92" t="s">
        <v>78</v>
      </c>
      <c r="J597" s="163" t="s">
        <v>243</v>
      </c>
      <c r="K597" s="178" t="s">
        <v>278</v>
      </c>
      <c r="L597" s="92" t="s">
        <v>302</v>
      </c>
      <c r="M597" s="142">
        <v>25000</v>
      </c>
      <c r="N597" s="120">
        <v>25000</v>
      </c>
    </row>
    <row r="598" spans="2:16" x14ac:dyDescent="0.2">
      <c r="B598" s="124"/>
      <c r="C598" s="162"/>
      <c r="D598" s="55"/>
      <c r="E598" s="54"/>
      <c r="F598" s="499"/>
      <c r="G598" s="54"/>
      <c r="H598" s="54"/>
      <c r="I598" s="92"/>
      <c r="J598" s="163"/>
      <c r="K598" s="178"/>
      <c r="L598" s="92"/>
      <c r="M598" s="164"/>
      <c r="N598" s="120"/>
    </row>
    <row r="599" spans="2:16" ht="13.5" thickBot="1" x14ac:dyDescent="0.25">
      <c r="B599" s="129"/>
      <c r="C599" s="171"/>
      <c r="D599" s="130"/>
      <c r="E599" s="137"/>
      <c r="F599" s="500"/>
      <c r="G599" s="137"/>
      <c r="H599" s="137"/>
      <c r="I599" s="131"/>
      <c r="J599" s="172"/>
      <c r="K599" s="180"/>
      <c r="L599" s="131"/>
      <c r="M599" s="173"/>
      <c r="N599" s="135"/>
    </row>
    <row r="600" spans="2:16" ht="13.5" thickTop="1" x14ac:dyDescent="0.2">
      <c r="B600" s="161"/>
      <c r="C600" s="162"/>
      <c r="D600" s="54"/>
      <c r="E600" s="54"/>
      <c r="F600" s="499"/>
      <c r="G600" s="54"/>
      <c r="H600" s="54"/>
      <c r="I600" s="92"/>
      <c r="J600" s="163"/>
      <c r="K600" s="178"/>
      <c r="L600" s="92"/>
      <c r="M600" s="164"/>
      <c r="N600" s="153"/>
    </row>
    <row r="601" spans="2:16" s="259" customFormat="1" ht="18" x14ac:dyDescent="0.25">
      <c r="B601" s="28">
        <v>2007</v>
      </c>
      <c r="C601" s="266"/>
      <c r="D601" s="271"/>
      <c r="E601" s="267"/>
      <c r="F601" s="510"/>
      <c r="G601" s="267"/>
      <c r="H601" s="267"/>
      <c r="I601" s="263"/>
      <c r="J601" s="268"/>
      <c r="K601" s="269"/>
      <c r="L601" s="263"/>
      <c r="M601" s="270"/>
      <c r="N601" s="248">
        <f>+N602+N606+N611+N616+N619+N622</f>
        <v>628882.18000000005</v>
      </c>
    </row>
    <row r="602" spans="2:16" x14ac:dyDescent="0.2">
      <c r="B602" s="27" t="s">
        <v>20</v>
      </c>
      <c r="C602" s="162"/>
      <c r="D602" s="55"/>
      <c r="E602" s="54"/>
      <c r="F602" s="499"/>
      <c r="G602" s="54"/>
      <c r="H602" s="54"/>
      <c r="I602" s="92"/>
      <c r="J602" s="163"/>
      <c r="K602" s="178"/>
      <c r="L602" s="92"/>
      <c r="M602" s="164"/>
      <c r="N602" s="23">
        <f>SUM(N603:N604)</f>
        <v>11228.23</v>
      </c>
    </row>
    <row r="603" spans="2:16" ht="15" customHeight="1" x14ac:dyDescent="0.2">
      <c r="B603" s="124" t="s">
        <v>32</v>
      </c>
      <c r="C603" s="162">
        <v>39128</v>
      </c>
      <c r="D603" s="55" t="s">
        <v>42</v>
      </c>
      <c r="E603" s="54" t="s">
        <v>44</v>
      </c>
      <c r="F603" s="499" t="s">
        <v>1815</v>
      </c>
      <c r="G603" s="54" t="s">
        <v>20</v>
      </c>
      <c r="H603" s="54" t="s">
        <v>48</v>
      </c>
      <c r="I603" s="92" t="s">
        <v>56</v>
      </c>
      <c r="J603" s="163" t="s">
        <v>58</v>
      </c>
      <c r="K603" s="178" t="s">
        <v>248</v>
      </c>
      <c r="L603" s="92" t="s">
        <v>63</v>
      </c>
      <c r="M603" s="142">
        <v>5131.74</v>
      </c>
      <c r="N603" s="120">
        <v>6736.94</v>
      </c>
    </row>
    <row r="604" spans="2:16" ht="15" customHeight="1" x14ac:dyDescent="0.2">
      <c r="B604" s="124" t="s">
        <v>32</v>
      </c>
      <c r="C604" s="162">
        <v>39128</v>
      </c>
      <c r="D604" s="55" t="s">
        <v>43</v>
      </c>
      <c r="E604" s="54" t="s">
        <v>44</v>
      </c>
      <c r="F604" s="499" t="s">
        <v>1815</v>
      </c>
      <c r="G604" s="54" t="s">
        <v>20</v>
      </c>
      <c r="H604" s="54" t="s">
        <v>48</v>
      </c>
      <c r="I604" s="92" t="s">
        <v>244</v>
      </c>
      <c r="J604" s="163" t="s">
        <v>59</v>
      </c>
      <c r="K604" s="178" t="s">
        <v>84</v>
      </c>
      <c r="L604" s="92" t="s">
        <v>63</v>
      </c>
      <c r="M604" s="142">
        <v>3421.16</v>
      </c>
      <c r="N604" s="120">
        <v>4491.29</v>
      </c>
    </row>
    <row r="605" spans="2:16" x14ac:dyDescent="0.2">
      <c r="B605" s="124"/>
      <c r="C605" s="162"/>
      <c r="D605" s="55"/>
      <c r="E605" s="54"/>
      <c r="F605" s="499"/>
      <c r="G605" s="54"/>
      <c r="H605" s="54"/>
      <c r="I605" s="92"/>
      <c r="J605" s="163"/>
      <c r="K605" s="178"/>
      <c r="L605" s="92"/>
      <c r="M605" s="142"/>
      <c r="N605" s="120"/>
    </row>
    <row r="606" spans="2:16" x14ac:dyDescent="0.2">
      <c r="B606" s="146" t="s">
        <v>305</v>
      </c>
      <c r="C606" s="162"/>
      <c r="D606" s="55"/>
      <c r="E606" s="54"/>
      <c r="F606" s="499"/>
      <c r="G606" s="54"/>
      <c r="H606" s="54"/>
      <c r="I606" s="92"/>
      <c r="J606" s="163"/>
      <c r="K606" s="178"/>
      <c r="L606" s="92"/>
      <c r="M606" s="142"/>
      <c r="N606" s="23">
        <f>SUM(N607:N609)</f>
        <v>152692</v>
      </c>
    </row>
    <row r="607" spans="2:16" ht="15" customHeight="1" x14ac:dyDescent="0.2">
      <c r="B607" s="124" t="s">
        <v>33</v>
      </c>
      <c r="C607" s="162">
        <v>39135</v>
      </c>
      <c r="D607" s="55" t="s">
        <v>391</v>
      </c>
      <c r="E607" s="54" t="s">
        <v>173</v>
      </c>
      <c r="F607" s="499" t="s">
        <v>1816</v>
      </c>
      <c r="G607" s="54" t="s">
        <v>305</v>
      </c>
      <c r="H607" s="54" t="s">
        <v>49</v>
      </c>
      <c r="I607" s="92" t="s">
        <v>57</v>
      </c>
      <c r="J607" s="163" t="s">
        <v>75</v>
      </c>
      <c r="K607" s="178" t="s">
        <v>80</v>
      </c>
      <c r="L607" s="92" t="s">
        <v>302</v>
      </c>
      <c r="M607" s="142">
        <v>2692</v>
      </c>
      <c r="N607" s="120">
        <v>2692</v>
      </c>
    </row>
    <row r="608" spans="2:16" ht="15" customHeight="1" x14ac:dyDescent="0.2">
      <c r="B608" s="124" t="s">
        <v>34</v>
      </c>
      <c r="C608" s="162">
        <v>39135</v>
      </c>
      <c r="D608" s="55" t="s">
        <v>411</v>
      </c>
      <c r="E608" s="54" t="s">
        <v>173</v>
      </c>
      <c r="F608" s="499" t="s">
        <v>250</v>
      </c>
      <c r="G608" s="54" t="s">
        <v>305</v>
      </c>
      <c r="H608" s="54" t="s">
        <v>49</v>
      </c>
      <c r="I608" s="92" t="s">
        <v>78</v>
      </c>
      <c r="J608" s="163" t="s">
        <v>91</v>
      </c>
      <c r="K608" s="178" t="s">
        <v>194</v>
      </c>
      <c r="L608" s="92" t="s">
        <v>302</v>
      </c>
      <c r="M608" s="142">
        <v>50000</v>
      </c>
      <c r="N608" s="120">
        <v>50000</v>
      </c>
    </row>
    <row r="609" spans="1:14" ht="15" customHeight="1" x14ac:dyDescent="0.2">
      <c r="B609" s="124" t="s">
        <v>36</v>
      </c>
      <c r="C609" s="162">
        <v>39275</v>
      </c>
      <c r="D609" s="55" t="s">
        <v>341</v>
      </c>
      <c r="E609" s="54" t="s">
        <v>173</v>
      </c>
      <c r="F609" s="499" t="s">
        <v>1817</v>
      </c>
      <c r="G609" s="54" t="s">
        <v>305</v>
      </c>
      <c r="H609" s="54" t="s">
        <v>51</v>
      </c>
      <c r="I609" s="92" t="s">
        <v>145</v>
      </c>
      <c r="J609" s="163" t="s">
        <v>183</v>
      </c>
      <c r="K609" s="178" t="s">
        <v>184</v>
      </c>
      <c r="L609" s="92" t="s">
        <v>302</v>
      </c>
      <c r="M609" s="142">
        <v>100000</v>
      </c>
      <c r="N609" s="120">
        <v>100000</v>
      </c>
    </row>
    <row r="610" spans="1:14" x14ac:dyDescent="0.2">
      <c r="B610" s="124"/>
      <c r="C610" s="162"/>
      <c r="D610" s="55"/>
      <c r="E610" s="54"/>
      <c r="F610" s="499"/>
      <c r="G610" s="54"/>
      <c r="H610" s="54"/>
      <c r="I610" s="92"/>
      <c r="J610" s="163"/>
      <c r="K610" s="178"/>
      <c r="L610" s="92"/>
      <c r="M610" s="142"/>
      <c r="N610" s="120"/>
    </row>
    <row r="611" spans="1:14" x14ac:dyDescent="0.2">
      <c r="B611" s="146" t="s">
        <v>340</v>
      </c>
      <c r="C611" s="162"/>
      <c r="D611" s="55"/>
      <c r="E611" s="54"/>
      <c r="F611" s="499"/>
      <c r="G611" s="54"/>
      <c r="H611" s="54"/>
      <c r="I611" s="92"/>
      <c r="J611" s="163"/>
      <c r="K611" s="178"/>
      <c r="L611" s="92"/>
      <c r="M611" s="142"/>
      <c r="N611" s="23">
        <f>SUM(N612:N614)</f>
        <v>457029.7</v>
      </c>
    </row>
    <row r="612" spans="1:14" ht="15" customHeight="1" x14ac:dyDescent="0.2">
      <c r="B612" s="124" t="s">
        <v>35</v>
      </c>
      <c r="C612" s="162">
        <v>39169</v>
      </c>
      <c r="D612" s="55" t="s">
        <v>411</v>
      </c>
      <c r="E612" s="54" t="s">
        <v>173</v>
      </c>
      <c r="F612" s="499" t="s">
        <v>1818</v>
      </c>
      <c r="G612" s="54" t="s">
        <v>340</v>
      </c>
      <c r="H612" s="54" t="s">
        <v>50</v>
      </c>
      <c r="I612" s="92" t="s">
        <v>78</v>
      </c>
      <c r="J612" s="163" t="s">
        <v>247</v>
      </c>
      <c r="K612" s="178" t="s">
        <v>247</v>
      </c>
      <c r="L612" s="92" t="s">
        <v>302</v>
      </c>
      <c r="M612" s="142">
        <v>200000</v>
      </c>
      <c r="N612" s="120">
        <v>200000</v>
      </c>
    </row>
    <row r="613" spans="1:14" ht="15" customHeight="1" x14ac:dyDescent="0.2">
      <c r="B613" s="124" t="s">
        <v>39</v>
      </c>
      <c r="C613" s="162">
        <v>39366</v>
      </c>
      <c r="D613" s="55" t="s">
        <v>341</v>
      </c>
      <c r="E613" s="54" t="s">
        <v>173</v>
      </c>
      <c r="F613" s="499" t="s">
        <v>45</v>
      </c>
      <c r="G613" s="54" t="s">
        <v>340</v>
      </c>
      <c r="H613" s="54" t="s">
        <v>54</v>
      </c>
      <c r="I613" s="92" t="s">
        <v>145</v>
      </c>
      <c r="J613" s="163" t="s">
        <v>183</v>
      </c>
      <c r="K613" s="178" t="s">
        <v>184</v>
      </c>
      <c r="L613" s="92" t="s">
        <v>302</v>
      </c>
      <c r="M613" s="142">
        <v>200000</v>
      </c>
      <c r="N613" s="120">
        <v>200000</v>
      </c>
    </row>
    <row r="614" spans="1:14" ht="15" customHeight="1" x14ac:dyDescent="0.2">
      <c r="B614" s="124" t="s">
        <v>41</v>
      </c>
      <c r="C614" s="162">
        <v>39444</v>
      </c>
      <c r="D614" s="55" t="s">
        <v>628</v>
      </c>
      <c r="E614" s="54" t="s">
        <v>44</v>
      </c>
      <c r="F614" s="499" t="s">
        <v>46</v>
      </c>
      <c r="G614" s="54" t="s">
        <v>340</v>
      </c>
      <c r="H614" s="54" t="s">
        <v>50</v>
      </c>
      <c r="I614" s="92" t="s">
        <v>1156</v>
      </c>
      <c r="J614" s="163" t="s">
        <v>84</v>
      </c>
      <c r="K614" s="178" t="s">
        <v>62</v>
      </c>
      <c r="L614" s="92" t="s">
        <v>1084</v>
      </c>
      <c r="M614" s="142">
        <v>39000</v>
      </c>
      <c r="N614" s="120">
        <v>57029.7</v>
      </c>
    </row>
    <row r="615" spans="1:14" x14ac:dyDescent="0.2">
      <c r="B615" s="124"/>
      <c r="C615" s="162"/>
      <c r="D615" s="55"/>
      <c r="E615" s="54"/>
      <c r="F615" s="499"/>
      <c r="G615" s="54"/>
      <c r="H615" s="54"/>
      <c r="I615" s="92"/>
      <c r="J615" s="163"/>
      <c r="K615" s="178"/>
      <c r="L615" s="92"/>
      <c r="M615" s="142"/>
      <c r="N615" s="23"/>
    </row>
    <row r="616" spans="1:14" x14ac:dyDescent="0.2">
      <c r="B616" s="146" t="s">
        <v>135</v>
      </c>
      <c r="C616" s="162"/>
      <c r="D616" s="55"/>
      <c r="E616" s="54"/>
      <c r="F616" s="499"/>
      <c r="G616" s="54"/>
      <c r="H616" s="54"/>
      <c r="I616" s="92"/>
      <c r="J616" s="163"/>
      <c r="K616" s="178"/>
      <c r="L616" s="92"/>
      <c r="M616" s="142"/>
      <c r="N616" s="23">
        <f>+N617</f>
        <v>2760</v>
      </c>
    </row>
    <row r="617" spans="1:14" ht="15" customHeight="1" x14ac:dyDescent="0.2">
      <c r="B617" s="124" t="s">
        <v>37</v>
      </c>
      <c r="C617" s="162">
        <v>39282</v>
      </c>
      <c r="D617" s="55" t="s">
        <v>628</v>
      </c>
      <c r="E617" s="54" t="s">
        <v>44</v>
      </c>
      <c r="F617" s="499" t="s">
        <v>1819</v>
      </c>
      <c r="G617" s="54" t="s">
        <v>135</v>
      </c>
      <c r="H617" s="54" t="s">
        <v>52</v>
      </c>
      <c r="I617" s="163">
        <v>0.02</v>
      </c>
      <c r="J617" s="163" t="s">
        <v>91</v>
      </c>
      <c r="K617" s="178" t="s">
        <v>94</v>
      </c>
      <c r="L617" s="92" t="s">
        <v>63</v>
      </c>
      <c r="M617" s="142">
        <v>2000</v>
      </c>
      <c r="N617" s="120">
        <v>2760</v>
      </c>
    </row>
    <row r="618" spans="1:14" x14ac:dyDescent="0.2">
      <c r="B618" s="124"/>
      <c r="C618" s="162"/>
      <c r="D618" s="55"/>
      <c r="E618" s="54"/>
      <c r="F618" s="499"/>
      <c r="G618" s="54"/>
      <c r="H618" s="54"/>
      <c r="I618" s="163"/>
      <c r="J618" s="163"/>
      <c r="K618" s="178"/>
      <c r="L618" s="92"/>
      <c r="M618" s="142"/>
      <c r="N618" s="120"/>
    </row>
    <row r="619" spans="1:14" x14ac:dyDescent="0.2">
      <c r="B619" s="146" t="s">
        <v>684</v>
      </c>
      <c r="C619" s="162"/>
      <c r="D619" s="55"/>
      <c r="E619" s="54"/>
      <c r="F619" s="499"/>
      <c r="G619" s="54"/>
      <c r="H619" s="54"/>
      <c r="I619" s="163"/>
      <c r="J619" s="163"/>
      <c r="K619" s="178"/>
      <c r="L619" s="92"/>
      <c r="M619" s="142"/>
      <c r="N619" s="23">
        <f>+N620</f>
        <v>1179.25</v>
      </c>
    </row>
    <row r="620" spans="1:14" ht="25.5" x14ac:dyDescent="0.2">
      <c r="B620" s="353" t="s">
        <v>38</v>
      </c>
      <c r="C620" s="340">
        <v>39304</v>
      </c>
      <c r="D620" s="352" t="s">
        <v>341</v>
      </c>
      <c r="E620" s="349" t="s">
        <v>173</v>
      </c>
      <c r="F620" s="511" t="s">
        <v>1820</v>
      </c>
      <c r="G620" s="54" t="s">
        <v>684</v>
      </c>
      <c r="H620" s="54" t="s">
        <v>53</v>
      </c>
      <c r="I620" s="92" t="s">
        <v>145</v>
      </c>
      <c r="J620" s="163" t="s">
        <v>75</v>
      </c>
      <c r="K620" s="178" t="s">
        <v>1155</v>
      </c>
      <c r="L620" s="92" t="s">
        <v>302</v>
      </c>
      <c r="M620" s="142">
        <v>1179.25</v>
      </c>
      <c r="N620" s="120">
        <v>1179.25</v>
      </c>
    </row>
    <row r="621" spans="1:14" ht="10.5" customHeight="1" x14ac:dyDescent="0.2">
      <c r="B621" s="124"/>
      <c r="C621" s="162"/>
      <c r="D621" s="55"/>
      <c r="E621" s="54"/>
      <c r="F621" s="499"/>
      <c r="G621" s="54"/>
      <c r="H621" s="54"/>
      <c r="I621" s="92"/>
      <c r="J621" s="163"/>
      <c r="K621" s="178"/>
      <c r="L621" s="92"/>
      <c r="M621" s="142"/>
      <c r="N621" s="120"/>
    </row>
    <row r="622" spans="1:14" x14ac:dyDescent="0.2">
      <c r="B622" s="146" t="s">
        <v>960</v>
      </c>
      <c r="D622" s="55"/>
      <c r="E622" s="54"/>
      <c r="G622" s="54"/>
      <c r="H622" s="54"/>
      <c r="K622" s="178"/>
      <c r="L622" s="92"/>
      <c r="M622" s="142"/>
      <c r="N622" s="23">
        <f>+N623</f>
        <v>3993</v>
      </c>
    </row>
    <row r="623" spans="1:14" ht="30" customHeight="1" x14ac:dyDescent="0.2">
      <c r="A623" s="356"/>
      <c r="B623" s="353" t="s">
        <v>40</v>
      </c>
      <c r="C623" s="340">
        <v>39408</v>
      </c>
      <c r="D623" s="352" t="s">
        <v>341</v>
      </c>
      <c r="E623" s="349" t="s">
        <v>173</v>
      </c>
      <c r="F623" s="444" t="s">
        <v>1839</v>
      </c>
      <c r="G623" s="349" t="s">
        <v>47</v>
      </c>
      <c r="H623" s="349" t="s">
        <v>55</v>
      </c>
      <c r="I623" s="341" t="s">
        <v>145</v>
      </c>
      <c r="J623" s="344" t="s">
        <v>60</v>
      </c>
      <c r="K623" s="357" t="s">
        <v>61</v>
      </c>
      <c r="L623" s="341" t="s">
        <v>302</v>
      </c>
      <c r="M623" s="345">
        <v>3993</v>
      </c>
      <c r="N623" s="347">
        <v>3993</v>
      </c>
    </row>
    <row r="624" spans="1:14" ht="13.5" thickBot="1" x14ac:dyDescent="0.25">
      <c r="B624" s="129"/>
      <c r="C624" s="171"/>
      <c r="D624" s="130"/>
      <c r="E624" s="137"/>
      <c r="F624" s="500"/>
      <c r="G624" s="137"/>
      <c r="H624" s="137"/>
      <c r="I624" s="131"/>
      <c r="J624" s="172"/>
      <c r="K624" s="180"/>
      <c r="L624" s="131"/>
      <c r="M624" s="173"/>
      <c r="N624" s="135"/>
    </row>
    <row r="625" spans="2:14" ht="13.5" thickTop="1" x14ac:dyDescent="0.2">
      <c r="B625" s="124"/>
      <c r="C625" s="162"/>
      <c r="D625" s="55"/>
      <c r="E625" s="54"/>
      <c r="F625" s="499"/>
      <c r="G625" s="54"/>
      <c r="H625" s="54"/>
      <c r="I625" s="92"/>
      <c r="J625" s="163"/>
      <c r="K625" s="178"/>
      <c r="L625" s="92"/>
      <c r="M625" s="164"/>
      <c r="N625" s="120"/>
    </row>
    <row r="626" spans="2:14" s="259" customFormat="1" ht="18" x14ac:dyDescent="0.25">
      <c r="B626" s="28">
        <v>2008</v>
      </c>
      <c r="C626" s="266"/>
      <c r="D626" s="271"/>
      <c r="E626" s="267"/>
      <c r="F626" s="510"/>
      <c r="G626" s="267"/>
      <c r="H626" s="267"/>
      <c r="I626" s="263"/>
      <c r="J626" s="268"/>
      <c r="K626" s="269"/>
      <c r="L626" s="263"/>
      <c r="M626" s="270"/>
      <c r="N626" s="248">
        <f>+N628+N634+N643+N647</f>
        <v>1043274.9500000001</v>
      </c>
    </row>
    <row r="627" spans="2:14" x14ac:dyDescent="0.2">
      <c r="B627" s="161"/>
      <c r="C627" s="162"/>
      <c r="D627" s="55"/>
      <c r="E627" s="54"/>
      <c r="F627" s="499"/>
      <c r="G627" s="54"/>
      <c r="H627" s="54"/>
      <c r="I627" s="92"/>
      <c r="J627" s="163"/>
      <c r="K627" s="178"/>
      <c r="L627" s="92"/>
      <c r="M627" s="164"/>
      <c r="N627" s="120"/>
    </row>
    <row r="628" spans="2:14" x14ac:dyDescent="0.2">
      <c r="B628" s="146" t="s">
        <v>296</v>
      </c>
      <c r="C628" s="162"/>
      <c r="D628" s="55"/>
      <c r="E628" s="54"/>
      <c r="F628" s="499"/>
      <c r="G628" s="54"/>
      <c r="H628" s="54"/>
      <c r="I628" s="92"/>
      <c r="J628" s="163"/>
      <c r="K628" s="178"/>
      <c r="L628" s="92"/>
      <c r="M628" s="164"/>
      <c r="N628" s="23">
        <f>SUM(N629:N632)</f>
        <v>58857.93</v>
      </c>
    </row>
    <row r="629" spans="2:14" ht="15" customHeight="1" x14ac:dyDescent="0.2">
      <c r="B629" s="124" t="s">
        <v>202</v>
      </c>
      <c r="C629" s="162">
        <v>39513</v>
      </c>
      <c r="D629" s="55" t="s">
        <v>411</v>
      </c>
      <c r="E629" s="54" t="s">
        <v>173</v>
      </c>
      <c r="F629" s="499" t="s">
        <v>216</v>
      </c>
      <c r="G629" s="181" t="s">
        <v>296</v>
      </c>
      <c r="H629" s="54" t="s">
        <v>227</v>
      </c>
      <c r="I629" s="181" t="s">
        <v>78</v>
      </c>
      <c r="J629" s="47" t="s">
        <v>91</v>
      </c>
      <c r="K629" s="39" t="s">
        <v>235</v>
      </c>
      <c r="L629" s="92" t="s">
        <v>302</v>
      </c>
      <c r="M629" s="220">
        <v>20000</v>
      </c>
      <c r="N629" s="120">
        <v>20000</v>
      </c>
    </row>
    <row r="630" spans="2:14" ht="30" customHeight="1" x14ac:dyDescent="0.2">
      <c r="B630" s="353" t="s">
        <v>210</v>
      </c>
      <c r="C630" s="340">
        <v>39793</v>
      </c>
      <c r="D630" s="352" t="s">
        <v>583</v>
      </c>
      <c r="E630" s="349" t="s">
        <v>173</v>
      </c>
      <c r="F630" s="444" t="s">
        <v>1840</v>
      </c>
      <c r="G630" s="328" t="s">
        <v>296</v>
      </c>
      <c r="H630" s="349" t="s">
        <v>227</v>
      </c>
      <c r="I630" s="328" t="s">
        <v>116</v>
      </c>
      <c r="J630" s="354" t="s">
        <v>239</v>
      </c>
      <c r="K630" s="355" t="s">
        <v>239</v>
      </c>
      <c r="L630" s="341" t="s">
        <v>430</v>
      </c>
      <c r="M630" s="329">
        <v>9300</v>
      </c>
      <c r="N630" s="347">
        <v>13857.93</v>
      </c>
    </row>
    <row r="631" spans="2:14" x14ac:dyDescent="0.2">
      <c r="B631" s="124"/>
      <c r="C631" s="162"/>
      <c r="D631" s="55"/>
      <c r="E631" s="54"/>
      <c r="F631" s="499"/>
      <c r="G631" s="181"/>
      <c r="H631" s="54"/>
      <c r="I631" s="181"/>
      <c r="J631" s="37"/>
      <c r="K631" s="38"/>
      <c r="L631" s="92"/>
      <c r="M631" s="220"/>
      <c r="N631" s="120"/>
    </row>
    <row r="632" spans="2:14" ht="15" customHeight="1" x14ac:dyDescent="0.2">
      <c r="B632" s="124" t="s">
        <v>212</v>
      </c>
      <c r="C632" s="162">
        <v>39807</v>
      </c>
      <c r="D632" s="55" t="s">
        <v>341</v>
      </c>
      <c r="E632" s="54" t="s">
        <v>173</v>
      </c>
      <c r="F632" s="499" t="s">
        <v>225</v>
      </c>
      <c r="G632" s="181" t="s">
        <v>296</v>
      </c>
      <c r="H632" s="54" t="s">
        <v>144</v>
      </c>
      <c r="I632" s="181" t="s">
        <v>145</v>
      </c>
      <c r="J632" s="47" t="s">
        <v>183</v>
      </c>
      <c r="K632" s="183" t="s">
        <v>184</v>
      </c>
      <c r="L632" s="92" t="s">
        <v>302</v>
      </c>
      <c r="M632" s="220">
        <v>25000</v>
      </c>
      <c r="N632" s="120">
        <v>25000</v>
      </c>
    </row>
    <row r="633" spans="2:14" x14ac:dyDescent="0.2">
      <c r="B633" s="124"/>
      <c r="C633" s="162"/>
      <c r="D633" s="55"/>
      <c r="E633" s="54"/>
      <c r="F633" s="499"/>
      <c r="G633" s="181"/>
      <c r="H633" s="54"/>
      <c r="I633" s="181"/>
      <c r="J633" s="37"/>
      <c r="K633" s="38"/>
      <c r="L633" s="92"/>
      <c r="M633" s="220"/>
      <c r="N633" s="120"/>
    </row>
    <row r="634" spans="2:14" x14ac:dyDescent="0.2">
      <c r="B634" s="146" t="s">
        <v>340</v>
      </c>
      <c r="C634" s="162"/>
      <c r="D634" s="55"/>
      <c r="E634" s="54"/>
      <c r="F634" s="499"/>
      <c r="G634" s="181"/>
      <c r="H634" s="54"/>
      <c r="I634" s="181"/>
      <c r="J634" s="37"/>
      <c r="K634" s="38"/>
      <c r="L634" s="92"/>
      <c r="M634" s="220"/>
      <c r="N634" s="23">
        <f>SUM(N635:N641)</f>
        <v>565006.5</v>
      </c>
    </row>
    <row r="635" spans="2:14" ht="15" customHeight="1" x14ac:dyDescent="0.2">
      <c r="B635" s="124" t="s">
        <v>203</v>
      </c>
      <c r="C635" s="162">
        <v>39520</v>
      </c>
      <c r="D635" s="55" t="s">
        <v>411</v>
      </c>
      <c r="E635" s="54" t="s">
        <v>173</v>
      </c>
      <c r="F635" s="499" t="s">
        <v>217</v>
      </c>
      <c r="G635" s="181" t="s">
        <v>340</v>
      </c>
      <c r="H635" s="54" t="s">
        <v>50</v>
      </c>
      <c r="I635" s="181" t="s">
        <v>78</v>
      </c>
      <c r="J635" s="40" t="s">
        <v>236</v>
      </c>
      <c r="K635" s="39" t="s">
        <v>236</v>
      </c>
      <c r="L635" s="92" t="s">
        <v>302</v>
      </c>
      <c r="M635" s="220">
        <v>150000</v>
      </c>
      <c r="N635" s="120">
        <v>150000</v>
      </c>
    </row>
    <row r="636" spans="2:14" ht="15" customHeight="1" x14ac:dyDescent="0.2">
      <c r="B636" s="124" t="s">
        <v>204</v>
      </c>
      <c r="C636" s="162">
        <v>39583</v>
      </c>
      <c r="D636" s="55" t="s">
        <v>341</v>
      </c>
      <c r="E636" s="54" t="s">
        <v>173</v>
      </c>
      <c r="F636" s="499" t="s">
        <v>218</v>
      </c>
      <c r="G636" s="181" t="s">
        <v>340</v>
      </c>
      <c r="H636" s="54" t="s">
        <v>50</v>
      </c>
      <c r="I636" s="181" t="s">
        <v>145</v>
      </c>
      <c r="J636" s="47" t="s">
        <v>183</v>
      </c>
      <c r="K636" s="183" t="s">
        <v>184</v>
      </c>
      <c r="L636" s="92" t="s">
        <v>302</v>
      </c>
      <c r="M636" s="220">
        <v>100000</v>
      </c>
      <c r="N636" s="120">
        <v>100000</v>
      </c>
    </row>
    <row r="637" spans="2:14" ht="15" customHeight="1" x14ac:dyDescent="0.2">
      <c r="B637" s="124" t="s">
        <v>205</v>
      </c>
      <c r="C637" s="162">
        <v>39633</v>
      </c>
      <c r="D637" s="55" t="s">
        <v>341</v>
      </c>
      <c r="E637" s="54" t="s">
        <v>173</v>
      </c>
      <c r="F637" s="499" t="s">
        <v>219</v>
      </c>
      <c r="G637" s="181" t="s">
        <v>340</v>
      </c>
      <c r="H637" s="54" t="s">
        <v>50</v>
      </c>
      <c r="I637" s="181" t="s">
        <v>145</v>
      </c>
      <c r="J637" s="47" t="s">
        <v>183</v>
      </c>
      <c r="K637" s="183" t="s">
        <v>184</v>
      </c>
      <c r="L637" s="92" t="s">
        <v>302</v>
      </c>
      <c r="M637" s="220">
        <v>75000</v>
      </c>
      <c r="N637" s="120">
        <v>75000</v>
      </c>
    </row>
    <row r="638" spans="2:14" ht="15" customHeight="1" x14ac:dyDescent="0.2">
      <c r="B638" s="124" t="s">
        <v>207</v>
      </c>
      <c r="C638" s="162">
        <v>39767</v>
      </c>
      <c r="D638" s="55" t="s">
        <v>628</v>
      </c>
      <c r="E638" s="54" t="s">
        <v>93</v>
      </c>
      <c r="F638" s="499" t="s">
        <v>221</v>
      </c>
      <c r="G638" s="181" t="s">
        <v>340</v>
      </c>
      <c r="H638" s="54" t="s">
        <v>50</v>
      </c>
      <c r="I638" s="184">
        <v>3.3799999999999997E-2</v>
      </c>
      <c r="J638" s="47" t="s">
        <v>183</v>
      </c>
      <c r="K638" s="183" t="s">
        <v>91</v>
      </c>
      <c r="L638" s="92" t="s">
        <v>1084</v>
      </c>
      <c r="M638" s="220">
        <v>15000</v>
      </c>
      <c r="N638" s="120">
        <v>18900</v>
      </c>
    </row>
    <row r="639" spans="2:14" ht="15" customHeight="1" x14ac:dyDescent="0.2">
      <c r="B639" s="124" t="s">
        <v>209</v>
      </c>
      <c r="C639" s="162">
        <v>39782</v>
      </c>
      <c r="D639" s="55" t="s">
        <v>411</v>
      </c>
      <c r="E639" s="54" t="s">
        <v>173</v>
      </c>
      <c r="F639" s="499" t="s">
        <v>223</v>
      </c>
      <c r="G639" s="181" t="s">
        <v>340</v>
      </c>
      <c r="H639" s="54" t="s">
        <v>50</v>
      </c>
      <c r="I639" s="181" t="s">
        <v>78</v>
      </c>
      <c r="J639" s="40" t="s">
        <v>238</v>
      </c>
      <c r="K639" s="39" t="s">
        <v>238</v>
      </c>
      <c r="L639" s="92" t="s">
        <v>302</v>
      </c>
      <c r="M639" s="220">
        <v>70000</v>
      </c>
      <c r="N639" s="120">
        <v>70000</v>
      </c>
    </row>
    <row r="640" spans="2:14" ht="15" customHeight="1" x14ac:dyDescent="0.2">
      <c r="B640" s="124" t="s">
        <v>211</v>
      </c>
      <c r="C640" s="162">
        <v>39793</v>
      </c>
      <c r="D640" s="55" t="s">
        <v>341</v>
      </c>
      <c r="E640" s="54" t="s">
        <v>173</v>
      </c>
      <c r="F640" s="499" t="s">
        <v>224</v>
      </c>
      <c r="G640" s="181" t="s">
        <v>340</v>
      </c>
      <c r="H640" s="54" t="s">
        <v>50</v>
      </c>
      <c r="I640" s="181" t="s">
        <v>145</v>
      </c>
      <c r="J640" s="47" t="s">
        <v>183</v>
      </c>
      <c r="K640" s="183" t="s">
        <v>184</v>
      </c>
      <c r="L640" s="92" t="s">
        <v>302</v>
      </c>
      <c r="M640" s="220">
        <v>130000</v>
      </c>
      <c r="N640" s="120">
        <v>130000</v>
      </c>
    </row>
    <row r="641" spans="2:14" ht="15" customHeight="1" x14ac:dyDescent="0.2">
      <c r="B641" s="124" t="s">
        <v>214</v>
      </c>
      <c r="C641" s="162">
        <v>39813</v>
      </c>
      <c r="D641" s="55" t="s">
        <v>628</v>
      </c>
      <c r="E641" s="54" t="s">
        <v>93</v>
      </c>
      <c r="F641" s="499" t="s">
        <v>224</v>
      </c>
      <c r="G641" s="181" t="s">
        <v>340</v>
      </c>
      <c r="H641" s="54" t="s">
        <v>50</v>
      </c>
      <c r="I641" s="42" t="s">
        <v>241</v>
      </c>
      <c r="J641" s="47" t="s">
        <v>183</v>
      </c>
      <c r="K641" s="183" t="s">
        <v>232</v>
      </c>
      <c r="L641" s="92" t="s">
        <v>1084</v>
      </c>
      <c r="M641" s="220">
        <v>15000</v>
      </c>
      <c r="N641" s="120">
        <v>21106.5</v>
      </c>
    </row>
    <row r="642" spans="2:14" x14ac:dyDescent="0.2">
      <c r="B642" s="124"/>
      <c r="C642" s="162"/>
      <c r="D642" s="55"/>
      <c r="E642" s="54"/>
      <c r="F642" s="499"/>
      <c r="G642" s="181"/>
      <c r="H642" s="54"/>
      <c r="I642" s="184"/>
      <c r="J642" s="47"/>
      <c r="K642" s="183"/>
      <c r="L642" s="92"/>
      <c r="M642" s="220"/>
      <c r="N642" s="120"/>
    </row>
    <row r="643" spans="2:14" x14ac:dyDescent="0.2">
      <c r="B643" s="146" t="s">
        <v>381</v>
      </c>
      <c r="C643" s="162"/>
      <c r="D643" s="55"/>
      <c r="E643" s="54"/>
      <c r="F643" s="499"/>
      <c r="G643" s="181"/>
      <c r="H643" s="54"/>
      <c r="I643" s="184"/>
      <c r="J643" s="47"/>
      <c r="K643" s="183"/>
      <c r="L643" s="92"/>
      <c r="M643" s="220"/>
      <c r="N643" s="23">
        <f>SUM(N644:N645)</f>
        <v>119410.52</v>
      </c>
    </row>
    <row r="644" spans="2:14" x14ac:dyDescent="0.2">
      <c r="B644" s="124" t="s">
        <v>208</v>
      </c>
      <c r="C644" s="162">
        <v>39772</v>
      </c>
      <c r="D644" s="55" t="s">
        <v>215</v>
      </c>
      <c r="E644" s="54" t="s">
        <v>93</v>
      </c>
      <c r="F644" s="499" t="s">
        <v>222</v>
      </c>
      <c r="G644" s="181" t="s">
        <v>381</v>
      </c>
      <c r="H644" s="54" t="s">
        <v>228</v>
      </c>
      <c r="I644" s="41" t="s">
        <v>237</v>
      </c>
      <c r="J644" s="47" t="s">
        <v>84</v>
      </c>
      <c r="K644" s="183" t="s">
        <v>91</v>
      </c>
      <c r="L644" s="92" t="s">
        <v>366</v>
      </c>
      <c r="M644" s="220">
        <v>6660000</v>
      </c>
      <c r="N644" s="120">
        <v>69410.52</v>
      </c>
    </row>
    <row r="645" spans="2:14" x14ac:dyDescent="0.2">
      <c r="B645" s="124" t="s">
        <v>206</v>
      </c>
      <c r="C645" s="162">
        <v>39634</v>
      </c>
      <c r="D645" s="55" t="s">
        <v>341</v>
      </c>
      <c r="E645" s="54" t="s">
        <v>173</v>
      </c>
      <c r="F645" s="499" t="s">
        <v>220</v>
      </c>
      <c r="G645" s="181" t="s">
        <v>381</v>
      </c>
      <c r="H645" s="54" t="s">
        <v>382</v>
      </c>
      <c r="I645" s="181" t="s">
        <v>145</v>
      </c>
      <c r="J645" s="47" t="s">
        <v>86</v>
      </c>
      <c r="K645" s="183" t="s">
        <v>231</v>
      </c>
      <c r="L645" s="92" t="s">
        <v>302</v>
      </c>
      <c r="M645" s="220">
        <v>50000</v>
      </c>
      <c r="N645" s="120">
        <v>50000</v>
      </c>
    </row>
    <row r="646" spans="2:14" x14ac:dyDescent="0.2">
      <c r="B646" s="124"/>
      <c r="C646" s="177"/>
      <c r="D646" s="55"/>
      <c r="E646" s="54"/>
      <c r="F646" s="512"/>
      <c r="G646" s="181"/>
      <c r="H646" s="54"/>
      <c r="I646" s="46"/>
      <c r="J646" s="47"/>
      <c r="K646" s="183"/>
      <c r="L646" s="92"/>
      <c r="M646" s="220"/>
      <c r="N646" s="120"/>
    </row>
    <row r="647" spans="2:14" x14ac:dyDescent="0.2">
      <c r="B647" s="146" t="s">
        <v>305</v>
      </c>
      <c r="C647" s="177"/>
      <c r="D647" s="55"/>
      <c r="E647" s="54"/>
      <c r="F647" s="499"/>
      <c r="H647" s="54"/>
      <c r="I647" s="55"/>
      <c r="J647" s="92"/>
      <c r="K647" s="117"/>
      <c r="M647" s="114"/>
      <c r="N647" s="23">
        <f>+N648</f>
        <v>300000</v>
      </c>
    </row>
    <row r="648" spans="2:14" ht="25.5" x14ac:dyDescent="0.2">
      <c r="B648" s="353" t="s">
        <v>213</v>
      </c>
      <c r="C648" s="358">
        <v>39813</v>
      </c>
      <c r="D648" s="352" t="s">
        <v>391</v>
      </c>
      <c r="E648" s="349" t="s">
        <v>173</v>
      </c>
      <c r="F648" s="511" t="s">
        <v>226</v>
      </c>
      <c r="G648" s="328" t="s">
        <v>305</v>
      </c>
      <c r="H648" s="349" t="s">
        <v>229</v>
      </c>
      <c r="I648" s="378" t="s">
        <v>240</v>
      </c>
      <c r="J648" s="196" t="s">
        <v>230</v>
      </c>
      <c r="K648" s="197" t="s">
        <v>117</v>
      </c>
      <c r="L648" s="341" t="s">
        <v>302</v>
      </c>
      <c r="M648" s="329">
        <v>300000</v>
      </c>
      <c r="N648" s="347">
        <v>300000</v>
      </c>
    </row>
    <row r="649" spans="2:14" x14ac:dyDescent="0.2">
      <c r="B649" s="124"/>
      <c r="C649" s="177"/>
      <c r="D649" s="55"/>
      <c r="E649" s="54"/>
      <c r="F649" s="499"/>
      <c r="H649" s="54"/>
      <c r="K649" s="183"/>
      <c r="L649" s="92"/>
      <c r="M649" s="182"/>
      <c r="N649" s="120"/>
    </row>
    <row r="650" spans="2:14" ht="13.5" thickBot="1" x14ac:dyDescent="0.25">
      <c r="B650" s="129"/>
      <c r="C650" s="179"/>
      <c r="D650" s="130"/>
      <c r="E650" s="137"/>
      <c r="F650" s="500"/>
      <c r="G650" s="137"/>
      <c r="H650" s="137"/>
      <c r="I650" s="131"/>
      <c r="J650" s="172"/>
      <c r="K650" s="180"/>
      <c r="L650" s="131"/>
      <c r="M650" s="173"/>
      <c r="N650" s="135"/>
    </row>
    <row r="651" spans="2:14" ht="13.5" thickTop="1" x14ac:dyDescent="0.2">
      <c r="B651" s="185"/>
      <c r="C651" s="177"/>
      <c r="D651" s="55"/>
      <c r="E651" s="54"/>
      <c r="F651" s="499"/>
      <c r="G651" s="54"/>
      <c r="H651" s="54"/>
      <c r="I651" s="92"/>
      <c r="J651" s="163"/>
      <c r="K651" s="178"/>
      <c r="L651" s="92"/>
      <c r="M651" s="164"/>
      <c r="N651" s="120"/>
    </row>
    <row r="652" spans="2:14" s="259" customFormat="1" ht="18" x14ac:dyDescent="0.25">
      <c r="B652" s="51">
        <v>2009</v>
      </c>
      <c r="C652" s="272"/>
      <c r="D652" s="271"/>
      <c r="E652" s="267"/>
      <c r="F652" s="510"/>
      <c r="G652" s="267"/>
      <c r="H652" s="267"/>
      <c r="I652" s="263"/>
      <c r="J652" s="268"/>
      <c r="K652" s="269"/>
      <c r="L652" s="263"/>
      <c r="M652" s="270"/>
      <c r="N652" s="248">
        <f>N654+N658+N670+N674+N680</f>
        <v>754631</v>
      </c>
    </row>
    <row r="653" spans="2:14" x14ac:dyDescent="0.2">
      <c r="B653" s="185"/>
      <c r="C653" s="177"/>
      <c r="D653" s="55"/>
      <c r="E653" s="54"/>
      <c r="F653" s="499"/>
      <c r="G653" s="54"/>
      <c r="H653" s="54"/>
      <c r="I653" s="92"/>
      <c r="J653" s="163"/>
      <c r="K653" s="178"/>
      <c r="L653" s="92"/>
      <c r="M653" s="164"/>
      <c r="N653" s="120"/>
    </row>
    <row r="654" spans="2:14" x14ac:dyDescent="0.2">
      <c r="B654" s="146" t="s">
        <v>296</v>
      </c>
      <c r="C654" s="177"/>
      <c r="D654" s="55"/>
      <c r="E654" s="54"/>
      <c r="F654" s="502"/>
      <c r="G654" s="54"/>
      <c r="H654" s="92"/>
      <c r="I654" s="55"/>
      <c r="J654" s="163"/>
      <c r="K654" s="178"/>
      <c r="L654" s="92"/>
      <c r="M654" s="164"/>
      <c r="N654" s="23">
        <f>+N655+N656</f>
        <v>20000</v>
      </c>
    </row>
    <row r="655" spans="2:14" ht="15" customHeight="1" x14ac:dyDescent="0.2">
      <c r="B655" s="46" t="s">
        <v>1186</v>
      </c>
      <c r="C655" s="186">
        <v>40136</v>
      </c>
      <c r="D655" s="187" t="s">
        <v>411</v>
      </c>
      <c r="E655" s="60" t="s">
        <v>173</v>
      </c>
      <c r="F655" s="513" t="s">
        <v>1203</v>
      </c>
      <c r="G655" s="60" t="s">
        <v>296</v>
      </c>
      <c r="H655" s="181" t="s">
        <v>1214</v>
      </c>
      <c r="I655" s="46" t="s">
        <v>78</v>
      </c>
      <c r="J655" s="181">
        <v>17.5</v>
      </c>
      <c r="K655" s="58" t="s">
        <v>1226</v>
      </c>
      <c r="L655" s="188" t="s">
        <v>302</v>
      </c>
      <c r="M655" s="220">
        <v>10000</v>
      </c>
      <c r="N655" s="189">
        <v>10000</v>
      </c>
    </row>
    <row r="656" spans="2:14" ht="15" customHeight="1" x14ac:dyDescent="0.2">
      <c r="B656" s="46" t="s">
        <v>1186</v>
      </c>
      <c r="C656" s="186">
        <v>40136</v>
      </c>
      <c r="D656" s="187" t="s">
        <v>341</v>
      </c>
      <c r="E656" s="60" t="s">
        <v>173</v>
      </c>
      <c r="F656" s="513" t="s">
        <v>1203</v>
      </c>
      <c r="G656" s="60" t="s">
        <v>296</v>
      </c>
      <c r="H656" s="181" t="s">
        <v>1214</v>
      </c>
      <c r="I656" s="46" t="s">
        <v>1220</v>
      </c>
      <c r="J656" s="181" t="s">
        <v>84</v>
      </c>
      <c r="K656" s="183" t="s">
        <v>94</v>
      </c>
      <c r="L656" s="188" t="s">
        <v>302</v>
      </c>
      <c r="M656" s="220">
        <v>10000</v>
      </c>
      <c r="N656" s="189">
        <v>10000</v>
      </c>
    </row>
    <row r="657" spans="2:14" x14ac:dyDescent="0.2">
      <c r="B657" s="185"/>
      <c r="C657" s="177"/>
      <c r="D657" s="55"/>
      <c r="E657" s="54"/>
      <c r="F657" s="502"/>
      <c r="G657" s="54"/>
      <c r="H657" s="92"/>
      <c r="I657" s="55"/>
      <c r="J657" s="163"/>
      <c r="K657" s="178"/>
      <c r="L657" s="92"/>
      <c r="M657" s="142"/>
      <c r="N657" s="120"/>
    </row>
    <row r="658" spans="2:14" x14ac:dyDescent="0.2">
      <c r="B658" s="146" t="s">
        <v>340</v>
      </c>
      <c r="C658" s="177"/>
      <c r="D658" s="55"/>
      <c r="E658" s="54"/>
      <c r="F658" s="502"/>
      <c r="G658" s="54"/>
      <c r="H658" s="92"/>
      <c r="I658" s="55"/>
      <c r="J658" s="163"/>
      <c r="K658" s="178"/>
      <c r="L658" s="92"/>
      <c r="M658" s="142"/>
      <c r="N658" s="23">
        <f>SUM(N659:N668)</f>
        <v>492000</v>
      </c>
    </row>
    <row r="659" spans="2:14" ht="15" customHeight="1" x14ac:dyDescent="0.2">
      <c r="B659" s="46" t="s">
        <v>1180</v>
      </c>
      <c r="C659" s="186">
        <v>40012</v>
      </c>
      <c r="D659" s="46" t="s">
        <v>341</v>
      </c>
      <c r="E659" s="60" t="s">
        <v>173</v>
      </c>
      <c r="F659" s="513" t="s">
        <v>1197</v>
      </c>
      <c r="G659" s="60" t="s">
        <v>340</v>
      </c>
      <c r="H659" s="181" t="s">
        <v>1212</v>
      </c>
      <c r="I659" s="46" t="s">
        <v>1219</v>
      </c>
      <c r="J659" s="181">
        <f>66/12</f>
        <v>5.5</v>
      </c>
      <c r="K659" s="183" t="s">
        <v>1223</v>
      </c>
      <c r="L659" s="181" t="s">
        <v>302</v>
      </c>
      <c r="M659" s="220">
        <v>10000</v>
      </c>
      <c r="N659" s="189">
        <v>10000</v>
      </c>
    </row>
    <row r="660" spans="2:14" ht="15" customHeight="1" x14ac:dyDescent="0.2">
      <c r="B660" s="46" t="s">
        <v>1181</v>
      </c>
      <c r="C660" s="186">
        <v>40059</v>
      </c>
      <c r="D660" s="46" t="s">
        <v>411</v>
      </c>
      <c r="E660" s="60" t="s">
        <v>173</v>
      </c>
      <c r="F660" s="513" t="s">
        <v>1198</v>
      </c>
      <c r="G660" s="60" t="s">
        <v>340</v>
      </c>
      <c r="H660" s="181" t="s">
        <v>1212</v>
      </c>
      <c r="I660" s="46" t="s">
        <v>78</v>
      </c>
      <c r="J660" s="57" t="s">
        <v>1217</v>
      </c>
      <c r="K660" s="58" t="s">
        <v>1217</v>
      </c>
      <c r="L660" s="181" t="s">
        <v>302</v>
      </c>
      <c r="M660" s="220">
        <v>20000</v>
      </c>
      <c r="N660" s="189">
        <v>20000</v>
      </c>
    </row>
    <row r="661" spans="2:14" ht="15" customHeight="1" x14ac:dyDescent="0.2">
      <c r="B661" s="46" t="s">
        <v>1182</v>
      </c>
      <c r="C661" s="186">
        <v>40059</v>
      </c>
      <c r="D661" s="46" t="s">
        <v>411</v>
      </c>
      <c r="E661" s="60" t="s">
        <v>173</v>
      </c>
      <c r="F661" s="513" t="s">
        <v>1199</v>
      </c>
      <c r="G661" s="60" t="s">
        <v>340</v>
      </c>
      <c r="H661" s="181" t="s">
        <v>1212</v>
      </c>
      <c r="I661" s="46" t="s">
        <v>78</v>
      </c>
      <c r="J661" s="57" t="s">
        <v>1224</v>
      </c>
      <c r="K661" s="58" t="s">
        <v>1224</v>
      </c>
      <c r="L661" s="181" t="s">
        <v>302</v>
      </c>
      <c r="M661" s="220">
        <v>20000</v>
      </c>
      <c r="N661" s="189">
        <v>20000</v>
      </c>
    </row>
    <row r="662" spans="2:14" ht="15" customHeight="1" x14ac:dyDescent="0.2">
      <c r="B662" s="46" t="s">
        <v>1183</v>
      </c>
      <c r="C662" s="186">
        <v>40080</v>
      </c>
      <c r="D662" s="187" t="s">
        <v>341</v>
      </c>
      <c r="E662" s="60" t="s">
        <v>173</v>
      </c>
      <c r="F662" s="513" t="s">
        <v>1200</v>
      </c>
      <c r="G662" s="60" t="s">
        <v>340</v>
      </c>
      <c r="H662" s="181" t="s">
        <v>1212</v>
      </c>
      <c r="I662" s="46" t="s">
        <v>1220</v>
      </c>
      <c r="J662" s="181">
        <f>66/12</f>
        <v>5.5</v>
      </c>
      <c r="K662" s="183" t="s">
        <v>1223</v>
      </c>
      <c r="L662" s="188" t="s">
        <v>302</v>
      </c>
      <c r="M662" s="220">
        <v>20000</v>
      </c>
      <c r="N662" s="189">
        <v>20000</v>
      </c>
    </row>
    <row r="663" spans="2:14" ht="15" customHeight="1" x14ac:dyDescent="0.2">
      <c r="B663" s="46" t="s">
        <v>1185</v>
      </c>
      <c r="C663" s="186">
        <v>40115</v>
      </c>
      <c r="D663" s="187" t="s">
        <v>341</v>
      </c>
      <c r="E663" s="60" t="s">
        <v>173</v>
      </c>
      <c r="F663" s="513" t="s">
        <v>1202</v>
      </c>
      <c r="G663" s="60" t="s">
        <v>340</v>
      </c>
      <c r="H663" s="181" t="s">
        <v>1212</v>
      </c>
      <c r="I663" s="46" t="s">
        <v>1220</v>
      </c>
      <c r="J663" s="181">
        <f>66/12</f>
        <v>5.5</v>
      </c>
      <c r="K663" s="183" t="s">
        <v>1223</v>
      </c>
      <c r="L663" s="188" t="s">
        <v>302</v>
      </c>
      <c r="M663" s="220">
        <v>150000</v>
      </c>
      <c r="N663" s="189">
        <v>150000</v>
      </c>
    </row>
    <row r="664" spans="2:14" ht="15" customHeight="1" x14ac:dyDescent="0.2">
      <c r="B664" s="46" t="s">
        <v>1187</v>
      </c>
      <c r="C664" s="186">
        <v>40151</v>
      </c>
      <c r="D664" s="187" t="s">
        <v>411</v>
      </c>
      <c r="E664" s="60" t="s">
        <v>173</v>
      </c>
      <c r="F664" s="513" t="s">
        <v>1204</v>
      </c>
      <c r="G664" s="60" t="s">
        <v>340</v>
      </c>
      <c r="H664" s="181" t="s">
        <v>1212</v>
      </c>
      <c r="I664" s="46" t="s">
        <v>78</v>
      </c>
      <c r="J664" s="181" t="s">
        <v>79</v>
      </c>
      <c r="K664" s="58" t="s">
        <v>1227</v>
      </c>
      <c r="L664" s="188" t="s">
        <v>302</v>
      </c>
      <c r="M664" s="220">
        <v>150000</v>
      </c>
      <c r="N664" s="189">
        <v>150000</v>
      </c>
    </row>
    <row r="665" spans="2:14" ht="15" customHeight="1" x14ac:dyDescent="0.2">
      <c r="B665" s="46" t="s">
        <v>1188</v>
      </c>
      <c r="C665" s="186">
        <v>40151</v>
      </c>
      <c r="D665" s="187" t="s">
        <v>341</v>
      </c>
      <c r="E665" s="60" t="s">
        <v>173</v>
      </c>
      <c r="F665" s="513" t="s">
        <v>1205</v>
      </c>
      <c r="G665" s="60" t="s">
        <v>340</v>
      </c>
      <c r="H665" s="181" t="s">
        <v>1212</v>
      </c>
      <c r="I665" s="46" t="s">
        <v>1220</v>
      </c>
      <c r="J665" s="181">
        <f>66/12</f>
        <v>5.5</v>
      </c>
      <c r="K665" s="183" t="s">
        <v>1223</v>
      </c>
      <c r="L665" s="188" t="s">
        <v>302</v>
      </c>
      <c r="M665" s="220">
        <v>20000</v>
      </c>
      <c r="N665" s="189">
        <v>20000</v>
      </c>
    </row>
    <row r="666" spans="2:14" ht="15" customHeight="1" x14ac:dyDescent="0.2">
      <c r="B666" s="46" t="s">
        <v>1189</v>
      </c>
      <c r="C666" s="186">
        <v>40164</v>
      </c>
      <c r="D666" s="187" t="s">
        <v>341</v>
      </c>
      <c r="E666" s="60" t="s">
        <v>173</v>
      </c>
      <c r="F666" s="513" t="s">
        <v>1206</v>
      </c>
      <c r="G666" s="60" t="s">
        <v>340</v>
      </c>
      <c r="H666" s="181" t="s">
        <v>1212</v>
      </c>
      <c r="I666" s="46" t="s">
        <v>1220</v>
      </c>
      <c r="J666" s="181">
        <f>66/12</f>
        <v>5.5</v>
      </c>
      <c r="K666" s="183" t="s">
        <v>1223</v>
      </c>
      <c r="L666" s="188" t="s">
        <v>302</v>
      </c>
      <c r="M666" s="220">
        <v>50000</v>
      </c>
      <c r="N666" s="189">
        <v>50000</v>
      </c>
    </row>
    <row r="667" spans="2:14" ht="15" customHeight="1" x14ac:dyDescent="0.2">
      <c r="B667" s="46" t="s">
        <v>1190</v>
      </c>
      <c r="C667" s="186">
        <v>40164</v>
      </c>
      <c r="D667" s="187" t="s">
        <v>411</v>
      </c>
      <c r="E667" s="60" t="s">
        <v>173</v>
      </c>
      <c r="F667" s="513" t="s">
        <v>1207</v>
      </c>
      <c r="G667" s="60" t="s">
        <v>340</v>
      </c>
      <c r="H667" s="181" t="s">
        <v>1212</v>
      </c>
      <c r="I667" s="46" t="s">
        <v>78</v>
      </c>
      <c r="J667" s="92" t="s">
        <v>1229</v>
      </c>
      <c r="K667" s="58" t="s">
        <v>1228</v>
      </c>
      <c r="L667" s="188" t="s">
        <v>302</v>
      </c>
      <c r="M667" s="220">
        <v>50000</v>
      </c>
      <c r="N667" s="189">
        <v>50000</v>
      </c>
    </row>
    <row r="668" spans="2:14" ht="15" customHeight="1" x14ac:dyDescent="0.2">
      <c r="B668" s="46" t="s">
        <v>1191</v>
      </c>
      <c r="C668" s="186">
        <v>40178</v>
      </c>
      <c r="D668" s="187" t="s">
        <v>341</v>
      </c>
      <c r="E668" s="60" t="s">
        <v>173</v>
      </c>
      <c r="F668" s="513" t="s">
        <v>1208</v>
      </c>
      <c r="G668" s="60" t="s">
        <v>340</v>
      </c>
      <c r="H668" s="181" t="s">
        <v>1215</v>
      </c>
      <c r="I668" s="46" t="s">
        <v>1220</v>
      </c>
      <c r="J668" s="181" t="s">
        <v>86</v>
      </c>
      <c r="K668" s="183" t="s">
        <v>87</v>
      </c>
      <c r="L668" s="190" t="s">
        <v>302</v>
      </c>
      <c r="M668" s="220">
        <v>2000</v>
      </c>
      <c r="N668" s="189">
        <v>2000</v>
      </c>
    </row>
    <row r="669" spans="2:14" x14ac:dyDescent="0.2">
      <c r="B669" s="185"/>
      <c r="C669" s="177"/>
      <c r="D669" s="55"/>
      <c r="E669" s="54"/>
      <c r="F669" s="502"/>
      <c r="G669" s="54"/>
      <c r="H669" s="92"/>
      <c r="I669" s="55"/>
      <c r="J669" s="163"/>
      <c r="K669" s="178"/>
      <c r="L669" s="92"/>
      <c r="M669" s="142"/>
      <c r="N669" s="120"/>
    </row>
    <row r="670" spans="2:14" x14ac:dyDescent="0.2">
      <c r="B670" s="102" t="s">
        <v>353</v>
      </c>
      <c r="C670" s="177"/>
      <c r="D670" s="55"/>
      <c r="E670" s="54"/>
      <c r="F670" s="502"/>
      <c r="G670" s="54"/>
      <c r="H670" s="92"/>
      <c r="I670" s="191"/>
      <c r="J670" s="163"/>
      <c r="K670" s="178"/>
      <c r="L670" s="92"/>
      <c r="M670" s="142"/>
      <c r="N670" s="23">
        <f>+N671+N672</f>
        <v>50506</v>
      </c>
    </row>
    <row r="671" spans="2:14" ht="15" customHeight="1" x14ac:dyDescent="0.2">
      <c r="B671" s="46" t="s">
        <v>1175</v>
      </c>
      <c r="C671" s="186">
        <v>39897</v>
      </c>
      <c r="D671" s="46" t="s">
        <v>215</v>
      </c>
      <c r="E671" s="469" t="s">
        <v>93</v>
      </c>
      <c r="F671" s="513" t="s">
        <v>1192</v>
      </c>
      <c r="G671" s="60" t="s">
        <v>1209</v>
      </c>
      <c r="H671" s="181" t="s">
        <v>228</v>
      </c>
      <c r="I671" s="192" t="s">
        <v>1241</v>
      </c>
      <c r="J671" s="47" t="s">
        <v>84</v>
      </c>
      <c r="K671" s="183" t="s">
        <v>91</v>
      </c>
      <c r="L671" s="181" t="s">
        <v>366</v>
      </c>
      <c r="M671" s="220">
        <v>755000</v>
      </c>
      <c r="N671" s="48">
        <v>7741</v>
      </c>
    </row>
    <row r="672" spans="2:14" ht="15" customHeight="1" x14ac:dyDescent="0.2">
      <c r="B672" s="46" t="s">
        <v>1177</v>
      </c>
      <c r="C672" s="186">
        <v>39897</v>
      </c>
      <c r="D672" s="46" t="s">
        <v>215</v>
      </c>
      <c r="E672" s="469" t="s">
        <v>93</v>
      </c>
      <c r="F672" s="513" t="s">
        <v>1194</v>
      </c>
      <c r="G672" s="60" t="s">
        <v>1209</v>
      </c>
      <c r="H672" s="181" t="s">
        <v>1211</v>
      </c>
      <c r="I672" s="192" t="s">
        <v>1241</v>
      </c>
      <c r="J672" s="47" t="s">
        <v>84</v>
      </c>
      <c r="K672" s="183" t="s">
        <v>91</v>
      </c>
      <c r="L672" s="181" t="s">
        <v>366</v>
      </c>
      <c r="M672" s="220">
        <v>4171000</v>
      </c>
      <c r="N672" s="48">
        <v>42765</v>
      </c>
    </row>
    <row r="673" spans="2:14" x14ac:dyDescent="0.2">
      <c r="B673" s="185"/>
      <c r="C673" s="177"/>
      <c r="D673" s="55"/>
      <c r="E673" s="54"/>
      <c r="F673" s="502"/>
      <c r="G673" s="54"/>
      <c r="H673" s="92"/>
      <c r="I673" s="191"/>
      <c r="J673" s="163"/>
      <c r="K673" s="178"/>
      <c r="L673" s="92"/>
      <c r="M673" s="142"/>
      <c r="N673" s="120"/>
    </row>
    <row r="674" spans="2:14" x14ac:dyDescent="0.2">
      <c r="B674" s="146" t="s">
        <v>381</v>
      </c>
      <c r="C674" s="177"/>
      <c r="D674" s="55"/>
      <c r="E674" s="54"/>
      <c r="F674" s="502"/>
      <c r="G674" s="54"/>
      <c r="H674" s="92"/>
      <c r="I674" s="191"/>
      <c r="J674" s="163"/>
      <c r="K674" s="178"/>
      <c r="L674" s="92"/>
      <c r="M674" s="142"/>
      <c r="N674" s="23">
        <f>SUM(N675:N678)</f>
        <v>162125</v>
      </c>
    </row>
    <row r="675" spans="2:14" ht="30" customHeight="1" x14ac:dyDescent="0.2">
      <c r="B675" s="323" t="s">
        <v>1176</v>
      </c>
      <c r="C675" s="325">
        <v>39897</v>
      </c>
      <c r="D675" s="323" t="s">
        <v>215</v>
      </c>
      <c r="E675" s="470" t="s">
        <v>93</v>
      </c>
      <c r="F675" s="514" t="s">
        <v>1193</v>
      </c>
      <c r="G675" s="217" t="s">
        <v>381</v>
      </c>
      <c r="H675" s="327" t="s">
        <v>1210</v>
      </c>
      <c r="I675" s="330" t="s">
        <v>1216</v>
      </c>
      <c r="J675" s="359" t="s">
        <v>84</v>
      </c>
      <c r="K675" s="361" t="s">
        <v>91</v>
      </c>
      <c r="L675" s="327" t="s">
        <v>366</v>
      </c>
      <c r="M675" s="362">
        <v>4995000</v>
      </c>
      <c r="N675" s="48">
        <v>51214</v>
      </c>
    </row>
    <row r="676" spans="2:14" ht="15" customHeight="1" x14ac:dyDescent="0.2">
      <c r="B676" s="360"/>
      <c r="C676" s="325"/>
      <c r="D676" s="323"/>
      <c r="E676" s="469"/>
      <c r="F676" s="514"/>
      <c r="G676" s="60"/>
      <c r="H676" s="327"/>
      <c r="I676" s="330"/>
      <c r="J676" s="359"/>
      <c r="K676" s="361"/>
      <c r="L676" s="327"/>
      <c r="M676" s="362"/>
      <c r="N676" s="48"/>
    </row>
    <row r="677" spans="2:14" ht="45" customHeight="1" x14ac:dyDescent="0.2">
      <c r="B677" s="324" t="s">
        <v>1178</v>
      </c>
      <c r="C677" s="326">
        <v>40079</v>
      </c>
      <c r="D677" s="324" t="s">
        <v>215</v>
      </c>
      <c r="E677" s="217" t="s">
        <v>93</v>
      </c>
      <c r="F677" s="515" t="s">
        <v>1195</v>
      </c>
      <c r="G677" s="217" t="s">
        <v>381</v>
      </c>
      <c r="H677" s="328" t="s">
        <v>382</v>
      </c>
      <c r="I677" s="330" t="s">
        <v>1225</v>
      </c>
      <c r="J677" s="363" t="s">
        <v>255</v>
      </c>
      <c r="K677" s="361" t="s">
        <v>256</v>
      </c>
      <c r="L677" s="328" t="s">
        <v>366</v>
      </c>
      <c r="M677" s="364">
        <v>5550000</v>
      </c>
      <c r="N677" s="365">
        <v>60911</v>
      </c>
    </row>
    <row r="678" spans="2:14" ht="47.25" customHeight="1" x14ac:dyDescent="0.2">
      <c r="B678" s="193" t="s">
        <v>1179</v>
      </c>
      <c r="C678" s="194">
        <v>40178</v>
      </c>
      <c r="D678" s="187" t="s">
        <v>628</v>
      </c>
      <c r="E678" s="470" t="s">
        <v>93</v>
      </c>
      <c r="F678" s="514" t="s">
        <v>1196</v>
      </c>
      <c r="G678" s="217" t="s">
        <v>381</v>
      </c>
      <c r="H678" s="328" t="s">
        <v>382</v>
      </c>
      <c r="I678" s="195" t="s">
        <v>241</v>
      </c>
      <c r="J678" s="196" t="s">
        <v>1221</v>
      </c>
      <c r="K678" s="197" t="s">
        <v>1222</v>
      </c>
      <c r="L678" s="190" t="s">
        <v>302</v>
      </c>
      <c r="M678" s="300">
        <v>50000</v>
      </c>
      <c r="N678" s="49">
        <v>50000</v>
      </c>
    </row>
    <row r="679" spans="2:14" x14ac:dyDescent="0.2">
      <c r="B679" s="193"/>
      <c r="C679" s="194"/>
      <c r="D679" s="187"/>
      <c r="E679" s="469"/>
      <c r="F679" s="516"/>
      <c r="G679" s="60"/>
      <c r="H679" s="328"/>
      <c r="I679" s="198"/>
      <c r="J679" s="196"/>
      <c r="K679" s="197"/>
      <c r="L679" s="190"/>
      <c r="M679" s="300"/>
      <c r="N679" s="48"/>
    </row>
    <row r="680" spans="2:14" x14ac:dyDescent="0.2">
      <c r="B680" s="45" t="s">
        <v>438</v>
      </c>
      <c r="C680" s="194"/>
      <c r="D680" s="187"/>
      <c r="E680" s="469"/>
      <c r="F680" s="516"/>
      <c r="G680" s="60"/>
      <c r="H680" s="328"/>
      <c r="I680" s="198"/>
      <c r="J680" s="196"/>
      <c r="K680" s="197"/>
      <c r="L680" s="190"/>
      <c r="M680" s="300"/>
      <c r="N680" s="50">
        <f>+N681+N682</f>
        <v>30000</v>
      </c>
    </row>
    <row r="681" spans="2:14" ht="15" customHeight="1" x14ac:dyDescent="0.2">
      <c r="B681" s="46" t="s">
        <v>1184</v>
      </c>
      <c r="C681" s="186">
        <v>40108</v>
      </c>
      <c r="D681" s="187" t="s">
        <v>411</v>
      </c>
      <c r="E681" s="60" t="s">
        <v>173</v>
      </c>
      <c r="F681" s="513" t="s">
        <v>1201</v>
      </c>
      <c r="G681" s="60" t="s">
        <v>438</v>
      </c>
      <c r="H681" s="181" t="s">
        <v>1213</v>
      </c>
      <c r="I681" s="46" t="s">
        <v>78</v>
      </c>
      <c r="J681" s="47" t="s">
        <v>91</v>
      </c>
      <c r="K681" s="58" t="s">
        <v>1218</v>
      </c>
      <c r="L681" s="188" t="s">
        <v>302</v>
      </c>
      <c r="M681" s="220">
        <v>15000</v>
      </c>
      <c r="N681" s="189">
        <v>15000</v>
      </c>
    </row>
    <row r="682" spans="2:14" ht="15" customHeight="1" x14ac:dyDescent="0.2">
      <c r="B682" s="46" t="s">
        <v>1184</v>
      </c>
      <c r="C682" s="186">
        <v>40108</v>
      </c>
      <c r="D682" s="187" t="s">
        <v>341</v>
      </c>
      <c r="E682" s="60" t="s">
        <v>173</v>
      </c>
      <c r="F682" s="513" t="s">
        <v>1201</v>
      </c>
      <c r="G682" s="60" t="s">
        <v>438</v>
      </c>
      <c r="H682" s="181" t="s">
        <v>1213</v>
      </c>
      <c r="I682" s="46" t="s">
        <v>1220</v>
      </c>
      <c r="J682" s="181">
        <f>66/12</f>
        <v>5.5</v>
      </c>
      <c r="K682" s="183" t="s">
        <v>1223</v>
      </c>
      <c r="L682" s="188" t="s">
        <v>302</v>
      </c>
      <c r="M682" s="220">
        <v>15000</v>
      </c>
      <c r="N682" s="189">
        <v>15000</v>
      </c>
    </row>
    <row r="683" spans="2:14" ht="13.5" thickBot="1" x14ac:dyDescent="0.25">
      <c r="B683" s="199"/>
      <c r="C683" s="200"/>
      <c r="D683" s="201"/>
      <c r="E683" s="202"/>
      <c r="F683" s="517"/>
      <c r="G683" s="202"/>
      <c r="H683" s="203"/>
      <c r="I683" s="199"/>
      <c r="J683" s="203"/>
      <c r="K683" s="204"/>
      <c r="L683" s="205"/>
      <c r="M683" s="206"/>
      <c r="N683" s="207"/>
    </row>
    <row r="684" spans="2:14" ht="13.5" thickTop="1" x14ac:dyDescent="0.2">
      <c r="B684" s="208"/>
      <c r="C684" s="209"/>
      <c r="D684" s="210"/>
      <c r="E684" s="208"/>
      <c r="F684" s="513"/>
      <c r="G684" s="208"/>
      <c r="H684" s="208"/>
      <c r="I684" s="211"/>
      <c r="J684" s="212"/>
      <c r="K684" s="213"/>
      <c r="L684" s="214"/>
      <c r="M684" s="215"/>
      <c r="N684" s="216"/>
    </row>
    <row r="685" spans="2:14" s="259" customFormat="1" ht="18.75" x14ac:dyDescent="0.25">
      <c r="B685" s="28">
        <v>2010</v>
      </c>
      <c r="C685" s="273"/>
      <c r="D685" s="274"/>
      <c r="E685" s="275"/>
      <c r="F685" s="518"/>
      <c r="G685" s="275"/>
      <c r="H685" s="275"/>
      <c r="I685" s="276"/>
      <c r="J685" s="277"/>
      <c r="K685" s="278"/>
      <c r="L685" s="279"/>
      <c r="M685" s="280"/>
      <c r="N685" s="248">
        <f>N687+N694+N716+N721+N713</f>
        <v>1336402.8199999998</v>
      </c>
    </row>
    <row r="686" spans="2:14" x14ac:dyDescent="0.2">
      <c r="B686" s="60"/>
      <c r="C686" s="186"/>
      <c r="D686" s="217"/>
      <c r="E686" s="60"/>
      <c r="F686" s="513"/>
      <c r="G686" s="60"/>
      <c r="H686" s="60"/>
      <c r="I686" s="46"/>
      <c r="J686" s="181"/>
      <c r="K686" s="183"/>
      <c r="L686" s="218"/>
      <c r="M686" s="182"/>
      <c r="N686" s="189"/>
    </row>
    <row r="687" spans="2:14" x14ac:dyDescent="0.2">
      <c r="B687" s="146" t="s">
        <v>296</v>
      </c>
      <c r="C687" s="186"/>
      <c r="D687" s="217"/>
      <c r="E687" s="60"/>
      <c r="F687" s="513"/>
      <c r="G687" s="60"/>
      <c r="H687" s="60"/>
      <c r="I687" s="46"/>
      <c r="J687" s="92"/>
      <c r="K687" s="183"/>
      <c r="L687" s="218"/>
      <c r="M687" s="182"/>
      <c r="N687" s="23">
        <f>SUM(N688:N692)</f>
        <v>190765.86</v>
      </c>
    </row>
    <row r="688" spans="2:14" ht="15" customHeight="1" x14ac:dyDescent="0.2">
      <c r="B688" s="60" t="s">
        <v>1243</v>
      </c>
      <c r="C688" s="186">
        <v>40360</v>
      </c>
      <c r="D688" s="60" t="s">
        <v>628</v>
      </c>
      <c r="E688" s="469" t="s">
        <v>93</v>
      </c>
      <c r="F688" s="516" t="s">
        <v>1269</v>
      </c>
      <c r="G688" s="54" t="s">
        <v>296</v>
      </c>
      <c r="H688" s="60" t="s">
        <v>1293</v>
      </c>
      <c r="I688" s="219">
        <v>0.02</v>
      </c>
      <c r="J688" s="47" t="s">
        <v>91</v>
      </c>
      <c r="K688" s="183" t="s">
        <v>94</v>
      </c>
      <c r="L688" s="46" t="s">
        <v>1084</v>
      </c>
      <c r="M688" s="220">
        <v>5000</v>
      </c>
      <c r="N688" s="48">
        <v>6113.5</v>
      </c>
    </row>
    <row r="689" spans="2:14" ht="25.5" x14ac:dyDescent="0.2">
      <c r="B689" s="217" t="s">
        <v>1251</v>
      </c>
      <c r="C689" s="326">
        <v>40360</v>
      </c>
      <c r="D689" s="217" t="s">
        <v>583</v>
      </c>
      <c r="E689" s="217" t="s">
        <v>173</v>
      </c>
      <c r="F689" s="519" t="s">
        <v>1679</v>
      </c>
      <c r="G689" s="54" t="s">
        <v>296</v>
      </c>
      <c r="H689" s="60" t="s">
        <v>1294</v>
      </c>
      <c r="I689" s="46" t="s">
        <v>116</v>
      </c>
      <c r="J689" s="221" t="s">
        <v>1312</v>
      </c>
      <c r="K689" s="222" t="s">
        <v>1312</v>
      </c>
      <c r="L689" s="46" t="s">
        <v>430</v>
      </c>
      <c r="M689" s="220">
        <v>5200</v>
      </c>
      <c r="N689" s="48">
        <v>7690.28</v>
      </c>
    </row>
    <row r="690" spans="2:14" ht="38.25" x14ac:dyDescent="0.2">
      <c r="B690" s="217" t="s">
        <v>1245</v>
      </c>
      <c r="C690" s="326">
        <v>40542</v>
      </c>
      <c r="D690" s="217" t="s">
        <v>628</v>
      </c>
      <c r="E690" s="470" t="s">
        <v>93</v>
      </c>
      <c r="F690" s="516" t="s">
        <v>1821</v>
      </c>
      <c r="G690" s="349" t="s">
        <v>296</v>
      </c>
      <c r="H690" s="217" t="s">
        <v>1291</v>
      </c>
      <c r="I690" s="377">
        <v>0.02</v>
      </c>
      <c r="J690" s="328" t="s">
        <v>91</v>
      </c>
      <c r="K690" s="197" t="s">
        <v>94</v>
      </c>
      <c r="L690" s="324" t="s">
        <v>1084</v>
      </c>
      <c r="M690" s="329">
        <v>5300</v>
      </c>
      <c r="N690" s="365">
        <v>6962.08</v>
      </c>
    </row>
    <row r="691" spans="2:14" ht="15" customHeight="1" x14ac:dyDescent="0.2">
      <c r="B691" s="60" t="s">
        <v>1267</v>
      </c>
      <c r="C691" s="186">
        <v>40528</v>
      </c>
      <c r="D691" s="60" t="s">
        <v>411</v>
      </c>
      <c r="E691" s="60" t="s">
        <v>173</v>
      </c>
      <c r="F691" s="519" t="s">
        <v>1289</v>
      </c>
      <c r="G691" s="54" t="s">
        <v>296</v>
      </c>
      <c r="H691" s="60" t="s">
        <v>143</v>
      </c>
      <c r="I691" s="223" t="s">
        <v>1301</v>
      </c>
      <c r="J691" s="181" t="s">
        <v>62</v>
      </c>
      <c r="K691" s="58" t="s">
        <v>1296</v>
      </c>
      <c r="L691" s="46" t="s">
        <v>302</v>
      </c>
      <c r="M691" s="220">
        <v>20000</v>
      </c>
      <c r="N691" s="48">
        <v>20000</v>
      </c>
    </row>
    <row r="692" spans="2:14" ht="38.25" x14ac:dyDescent="0.2">
      <c r="B692" s="217" t="s">
        <v>1268</v>
      </c>
      <c r="C692" s="326">
        <v>40542</v>
      </c>
      <c r="D692" s="217" t="s">
        <v>391</v>
      </c>
      <c r="E692" s="217" t="s">
        <v>173</v>
      </c>
      <c r="F692" s="519" t="s">
        <v>1290</v>
      </c>
      <c r="G692" s="349" t="s">
        <v>296</v>
      </c>
      <c r="H692" s="217" t="s">
        <v>1295</v>
      </c>
      <c r="I692" s="323" t="s">
        <v>1302</v>
      </c>
      <c r="J692" s="328" t="s">
        <v>84</v>
      </c>
      <c r="K692" s="197" t="s">
        <v>117</v>
      </c>
      <c r="L692" s="324" t="s">
        <v>302</v>
      </c>
      <c r="M692" s="329">
        <v>150000</v>
      </c>
      <c r="N692" s="365">
        <v>150000</v>
      </c>
    </row>
    <row r="693" spans="2:14" x14ac:dyDescent="0.2">
      <c r="B693" s="60"/>
      <c r="C693" s="186"/>
      <c r="D693" s="60"/>
      <c r="E693" s="60"/>
      <c r="F693" s="516"/>
      <c r="G693" s="54"/>
      <c r="H693" s="60"/>
      <c r="I693" s="223"/>
      <c r="J693" s="181"/>
      <c r="K693" s="183"/>
      <c r="L693" s="46"/>
      <c r="M693" s="220"/>
      <c r="N693" s="48"/>
    </row>
    <row r="694" spans="2:14" x14ac:dyDescent="0.2">
      <c r="B694" s="146" t="s">
        <v>340</v>
      </c>
      <c r="C694" s="186"/>
      <c r="D694" s="217"/>
      <c r="E694" s="60"/>
      <c r="F694" s="513"/>
      <c r="G694" s="60"/>
      <c r="H694" s="60"/>
      <c r="I694" s="46"/>
      <c r="J694" s="92"/>
      <c r="K694" s="183"/>
      <c r="L694" s="218"/>
      <c r="M694" s="182"/>
      <c r="N694" s="23">
        <f>SUM(N695:N711)</f>
        <v>715805.1</v>
      </c>
    </row>
    <row r="695" spans="2:14" ht="25.5" x14ac:dyDescent="0.2">
      <c r="B695" s="217" t="s">
        <v>1250</v>
      </c>
      <c r="C695" s="326">
        <v>40360</v>
      </c>
      <c r="D695" s="217" t="s">
        <v>341</v>
      </c>
      <c r="E695" s="217" t="s">
        <v>173</v>
      </c>
      <c r="F695" s="519" t="s">
        <v>1274</v>
      </c>
      <c r="G695" s="217" t="s">
        <v>340</v>
      </c>
      <c r="H695" s="217" t="s">
        <v>1114</v>
      </c>
      <c r="I695" s="323" t="s">
        <v>1300</v>
      </c>
      <c r="J695" s="328" t="s">
        <v>230</v>
      </c>
      <c r="K695" s="197" t="s">
        <v>1303</v>
      </c>
      <c r="L695" s="324" t="s">
        <v>302</v>
      </c>
      <c r="M695" s="329">
        <v>5000</v>
      </c>
      <c r="N695" s="365">
        <v>5000</v>
      </c>
    </row>
    <row r="696" spans="2:14" ht="15" customHeight="1" x14ac:dyDescent="0.2">
      <c r="B696" s="54" t="s">
        <v>1244</v>
      </c>
      <c r="C696" s="186">
        <v>40507</v>
      </c>
      <c r="D696" s="60" t="s">
        <v>628</v>
      </c>
      <c r="E696" s="469" t="s">
        <v>93</v>
      </c>
      <c r="F696" s="516" t="s">
        <v>1205</v>
      </c>
      <c r="G696" s="60" t="s">
        <v>340</v>
      </c>
      <c r="H696" s="60" t="s">
        <v>1292</v>
      </c>
      <c r="I696" s="219" t="s">
        <v>1297</v>
      </c>
      <c r="J696" s="181" t="s">
        <v>84</v>
      </c>
      <c r="K696" s="183" t="s">
        <v>117</v>
      </c>
      <c r="L696" s="46" t="s">
        <v>1084</v>
      </c>
      <c r="M696" s="220">
        <v>45000</v>
      </c>
      <c r="N696" s="48">
        <v>59971.5</v>
      </c>
    </row>
    <row r="697" spans="2:14" ht="15" customHeight="1" x14ac:dyDescent="0.2">
      <c r="B697" s="60" t="s">
        <v>1246</v>
      </c>
      <c r="C697" s="186">
        <v>40542</v>
      </c>
      <c r="D697" s="60" t="s">
        <v>628</v>
      </c>
      <c r="E697" s="469" t="s">
        <v>93</v>
      </c>
      <c r="F697" s="516" t="s">
        <v>1270</v>
      </c>
      <c r="G697" s="60" t="s">
        <v>340</v>
      </c>
      <c r="H697" s="60" t="s">
        <v>1292</v>
      </c>
      <c r="I697" s="224" t="s">
        <v>1298</v>
      </c>
      <c r="J697" s="181" t="s">
        <v>84</v>
      </c>
      <c r="K697" s="183" t="s">
        <v>117</v>
      </c>
      <c r="L697" s="46" t="s">
        <v>1084</v>
      </c>
      <c r="M697" s="220">
        <v>20000</v>
      </c>
      <c r="N697" s="48">
        <v>26272</v>
      </c>
    </row>
    <row r="698" spans="2:14" ht="15" customHeight="1" x14ac:dyDescent="0.2">
      <c r="B698" s="60" t="s">
        <v>1247</v>
      </c>
      <c r="C698" s="186">
        <v>40542</v>
      </c>
      <c r="D698" s="60" t="s">
        <v>628</v>
      </c>
      <c r="E698" s="469" t="s">
        <v>93</v>
      </c>
      <c r="F698" s="516" t="s">
        <v>1271</v>
      </c>
      <c r="G698" s="60" t="s">
        <v>340</v>
      </c>
      <c r="H698" s="60" t="s">
        <v>1292</v>
      </c>
      <c r="I698" s="224" t="s">
        <v>1298</v>
      </c>
      <c r="J698" s="181" t="s">
        <v>84</v>
      </c>
      <c r="K698" s="183" t="s">
        <v>117</v>
      </c>
      <c r="L698" s="46" t="s">
        <v>1084</v>
      </c>
      <c r="M698" s="220">
        <v>21000</v>
      </c>
      <c r="N698" s="48">
        <v>27585.599999999999</v>
      </c>
    </row>
    <row r="699" spans="2:14" ht="15" customHeight="1" x14ac:dyDescent="0.2">
      <c r="B699" s="60" t="s">
        <v>1248</v>
      </c>
      <c r="C699" s="186">
        <v>40542</v>
      </c>
      <c r="D699" s="60" t="s">
        <v>628</v>
      </c>
      <c r="E699" s="469" t="s">
        <v>93</v>
      </c>
      <c r="F699" s="516" t="s">
        <v>1272</v>
      </c>
      <c r="G699" s="60" t="s">
        <v>340</v>
      </c>
      <c r="H699" s="60" t="s">
        <v>1292</v>
      </c>
      <c r="I699" s="224" t="s">
        <v>1298</v>
      </c>
      <c r="J699" s="181" t="s">
        <v>84</v>
      </c>
      <c r="K699" s="183" t="s">
        <v>117</v>
      </c>
      <c r="L699" s="46" t="s">
        <v>1084</v>
      </c>
      <c r="M699" s="220">
        <v>35000</v>
      </c>
      <c r="N699" s="48">
        <v>45976</v>
      </c>
    </row>
    <row r="700" spans="2:14" ht="15" customHeight="1" x14ac:dyDescent="0.2">
      <c r="B700" s="60" t="s">
        <v>1252</v>
      </c>
      <c r="C700" s="186">
        <v>40402</v>
      </c>
      <c r="D700" s="60" t="s">
        <v>341</v>
      </c>
      <c r="E700" s="60" t="s">
        <v>173</v>
      </c>
      <c r="F700" s="519" t="s">
        <v>1275</v>
      </c>
      <c r="G700" s="60" t="s">
        <v>340</v>
      </c>
      <c r="H700" s="60" t="s">
        <v>1292</v>
      </c>
      <c r="I700" s="46" t="s">
        <v>1219</v>
      </c>
      <c r="J700" s="181" t="s">
        <v>183</v>
      </c>
      <c r="K700" s="183" t="s">
        <v>184</v>
      </c>
      <c r="L700" s="46" t="s">
        <v>302</v>
      </c>
      <c r="M700" s="220">
        <v>50000</v>
      </c>
      <c r="N700" s="48">
        <v>50000</v>
      </c>
    </row>
    <row r="701" spans="2:14" ht="15" customHeight="1" x14ac:dyDescent="0.2">
      <c r="B701" s="60" t="s">
        <v>1253</v>
      </c>
      <c r="C701" s="186">
        <v>40416</v>
      </c>
      <c r="D701" s="60" t="s">
        <v>411</v>
      </c>
      <c r="E701" s="60" t="s">
        <v>173</v>
      </c>
      <c r="F701" s="519" t="s">
        <v>1276</v>
      </c>
      <c r="G701" s="60" t="s">
        <v>340</v>
      </c>
      <c r="H701" s="60" t="s">
        <v>1292</v>
      </c>
      <c r="I701" s="223" t="s">
        <v>1301</v>
      </c>
      <c r="J701" s="181" t="s">
        <v>157</v>
      </c>
      <c r="K701" s="58" t="s">
        <v>1304</v>
      </c>
      <c r="L701" s="46" t="s">
        <v>302</v>
      </c>
      <c r="M701" s="220">
        <v>75000</v>
      </c>
      <c r="N701" s="48">
        <v>75000</v>
      </c>
    </row>
    <row r="702" spans="2:14" ht="15" customHeight="1" x14ac:dyDescent="0.2">
      <c r="B702" s="60" t="s">
        <v>1254</v>
      </c>
      <c r="C702" s="186">
        <v>40430</v>
      </c>
      <c r="D702" s="60" t="s">
        <v>411</v>
      </c>
      <c r="E702" s="60" t="s">
        <v>173</v>
      </c>
      <c r="F702" s="519" t="s">
        <v>1277</v>
      </c>
      <c r="G702" s="60" t="s">
        <v>340</v>
      </c>
      <c r="H702" s="60" t="s">
        <v>1292</v>
      </c>
      <c r="I702" s="223" t="s">
        <v>1301</v>
      </c>
      <c r="J702" s="181" t="s">
        <v>248</v>
      </c>
      <c r="K702" s="225" t="s">
        <v>1305</v>
      </c>
      <c r="L702" s="46" t="s">
        <v>302</v>
      </c>
      <c r="M702" s="220">
        <v>100000</v>
      </c>
      <c r="N702" s="48">
        <v>100000</v>
      </c>
    </row>
    <row r="703" spans="2:14" ht="15" customHeight="1" x14ac:dyDescent="0.2">
      <c r="B703" s="60" t="s">
        <v>1255</v>
      </c>
      <c r="C703" s="186">
        <v>40465</v>
      </c>
      <c r="D703" s="60" t="s">
        <v>341</v>
      </c>
      <c r="E703" s="60" t="s">
        <v>173</v>
      </c>
      <c r="F703" s="519" t="s">
        <v>1278</v>
      </c>
      <c r="G703" s="60" t="s">
        <v>340</v>
      </c>
      <c r="H703" s="60" t="s">
        <v>1292</v>
      </c>
      <c r="I703" s="223" t="s">
        <v>1300</v>
      </c>
      <c r="J703" s="181" t="s">
        <v>183</v>
      </c>
      <c r="K703" s="183" t="s">
        <v>184</v>
      </c>
      <c r="L703" s="46" t="s">
        <v>302</v>
      </c>
      <c r="M703" s="220">
        <v>25000</v>
      </c>
      <c r="N703" s="48">
        <v>25000</v>
      </c>
    </row>
    <row r="704" spans="2:14" ht="15" customHeight="1" x14ac:dyDescent="0.2">
      <c r="B704" s="60" t="s">
        <v>1256</v>
      </c>
      <c r="C704" s="186">
        <v>40473</v>
      </c>
      <c r="D704" s="60" t="s">
        <v>341</v>
      </c>
      <c r="E704" s="60" t="s">
        <v>173</v>
      </c>
      <c r="F704" s="519" t="s">
        <v>1279</v>
      </c>
      <c r="G704" s="60" t="s">
        <v>340</v>
      </c>
      <c r="H704" s="60" t="s">
        <v>1292</v>
      </c>
      <c r="I704" s="223" t="s">
        <v>1300</v>
      </c>
      <c r="J704" s="181" t="s">
        <v>183</v>
      </c>
      <c r="K704" s="183" t="s">
        <v>184</v>
      </c>
      <c r="L704" s="46" t="s">
        <v>302</v>
      </c>
      <c r="M704" s="220">
        <v>25000</v>
      </c>
      <c r="N704" s="48">
        <v>25000</v>
      </c>
    </row>
    <row r="705" spans="2:14" ht="15" customHeight="1" x14ac:dyDescent="0.2">
      <c r="B705" s="60" t="s">
        <v>1257</v>
      </c>
      <c r="C705" s="186">
        <v>40500</v>
      </c>
      <c r="D705" s="60" t="s">
        <v>341</v>
      </c>
      <c r="E705" s="60" t="s">
        <v>173</v>
      </c>
      <c r="F705" s="519" t="s">
        <v>1272</v>
      </c>
      <c r="G705" s="60" t="s">
        <v>340</v>
      </c>
      <c r="H705" s="60" t="s">
        <v>1292</v>
      </c>
      <c r="I705" s="223" t="s">
        <v>1300</v>
      </c>
      <c r="J705" s="181" t="s">
        <v>183</v>
      </c>
      <c r="K705" s="183" t="s">
        <v>184</v>
      </c>
      <c r="L705" s="46" t="s">
        <v>302</v>
      </c>
      <c r="M705" s="220">
        <v>50000</v>
      </c>
      <c r="N705" s="48">
        <v>50000</v>
      </c>
    </row>
    <row r="706" spans="2:14" ht="15" customHeight="1" x14ac:dyDescent="0.2">
      <c r="B706" s="60" t="s">
        <v>1258</v>
      </c>
      <c r="C706" s="186">
        <v>40500</v>
      </c>
      <c r="D706" s="60" t="s">
        <v>341</v>
      </c>
      <c r="E706" s="60" t="s">
        <v>173</v>
      </c>
      <c r="F706" s="519" t="s">
        <v>1280</v>
      </c>
      <c r="G706" s="60" t="s">
        <v>340</v>
      </c>
      <c r="H706" s="60" t="s">
        <v>1292</v>
      </c>
      <c r="I706" s="223" t="s">
        <v>1300</v>
      </c>
      <c r="J706" s="181" t="s">
        <v>183</v>
      </c>
      <c r="K706" s="183" t="s">
        <v>184</v>
      </c>
      <c r="L706" s="46" t="s">
        <v>302</v>
      </c>
      <c r="M706" s="220">
        <v>25000</v>
      </c>
      <c r="N706" s="48">
        <v>25000</v>
      </c>
    </row>
    <row r="707" spans="2:14" ht="25.5" x14ac:dyDescent="0.2">
      <c r="B707" s="349" t="s">
        <v>1260</v>
      </c>
      <c r="C707" s="326">
        <v>40507</v>
      </c>
      <c r="D707" s="217" t="s">
        <v>341</v>
      </c>
      <c r="E707" s="217" t="s">
        <v>173</v>
      </c>
      <c r="F707" s="519" t="s">
        <v>1282</v>
      </c>
      <c r="G707" s="217" t="s">
        <v>340</v>
      </c>
      <c r="H707" s="217" t="s">
        <v>1114</v>
      </c>
      <c r="I707" s="323" t="s">
        <v>1300</v>
      </c>
      <c r="J707" s="328" t="s">
        <v>183</v>
      </c>
      <c r="K707" s="197" t="s">
        <v>1308</v>
      </c>
      <c r="L707" s="324" t="s">
        <v>302</v>
      </c>
      <c r="M707" s="329">
        <v>20000</v>
      </c>
      <c r="N707" s="365">
        <v>20000</v>
      </c>
    </row>
    <row r="708" spans="2:14" ht="25.5" x14ac:dyDescent="0.2">
      <c r="B708" s="54" t="s">
        <v>1261</v>
      </c>
      <c r="C708" s="186">
        <v>40507</v>
      </c>
      <c r="D708" s="60" t="s">
        <v>341</v>
      </c>
      <c r="E708" s="60" t="s">
        <v>173</v>
      </c>
      <c r="F708" s="519" t="s">
        <v>1283</v>
      </c>
      <c r="G708" s="60" t="s">
        <v>340</v>
      </c>
      <c r="H708" s="60" t="s">
        <v>1114</v>
      </c>
      <c r="I708" s="223" t="s">
        <v>1300</v>
      </c>
      <c r="J708" s="181" t="s">
        <v>230</v>
      </c>
      <c r="K708" s="183" t="s">
        <v>1309</v>
      </c>
      <c r="L708" s="46" t="s">
        <v>302</v>
      </c>
      <c r="M708" s="220">
        <v>6000</v>
      </c>
      <c r="N708" s="48">
        <v>6000</v>
      </c>
    </row>
    <row r="709" spans="2:14" ht="15" customHeight="1" x14ac:dyDescent="0.2">
      <c r="B709" s="54" t="s">
        <v>1262</v>
      </c>
      <c r="C709" s="186">
        <v>40507</v>
      </c>
      <c r="D709" s="60" t="s">
        <v>341</v>
      </c>
      <c r="E709" s="60" t="s">
        <v>173</v>
      </c>
      <c r="F709" s="519" t="s">
        <v>1284</v>
      </c>
      <c r="G709" s="60" t="s">
        <v>340</v>
      </c>
      <c r="H709" s="60" t="s">
        <v>1292</v>
      </c>
      <c r="I709" s="223" t="s">
        <v>1300</v>
      </c>
      <c r="J709" s="181" t="s">
        <v>183</v>
      </c>
      <c r="K709" s="183" t="s">
        <v>184</v>
      </c>
      <c r="L709" s="46" t="s">
        <v>302</v>
      </c>
      <c r="M709" s="220">
        <v>100000</v>
      </c>
      <c r="N709" s="48">
        <v>100000</v>
      </c>
    </row>
    <row r="710" spans="2:14" ht="15" customHeight="1" x14ac:dyDescent="0.2">
      <c r="B710" s="54" t="s">
        <v>1263</v>
      </c>
      <c r="C710" s="186">
        <v>40507</v>
      </c>
      <c r="D710" s="60" t="s">
        <v>341</v>
      </c>
      <c r="E710" s="60" t="s">
        <v>173</v>
      </c>
      <c r="F710" s="519" t="s">
        <v>1285</v>
      </c>
      <c r="G710" s="60" t="s">
        <v>340</v>
      </c>
      <c r="H710" s="60" t="s">
        <v>1292</v>
      </c>
      <c r="I710" s="223" t="s">
        <v>1300</v>
      </c>
      <c r="J710" s="181" t="s">
        <v>183</v>
      </c>
      <c r="K710" s="183" t="s">
        <v>184</v>
      </c>
      <c r="L710" s="46" t="s">
        <v>302</v>
      </c>
      <c r="M710" s="220">
        <v>25000</v>
      </c>
      <c r="N710" s="48">
        <v>25000</v>
      </c>
    </row>
    <row r="711" spans="2:14" ht="15" customHeight="1" x14ac:dyDescent="0.2">
      <c r="B711" s="54" t="s">
        <v>1264</v>
      </c>
      <c r="C711" s="186">
        <v>40507</v>
      </c>
      <c r="D711" s="60" t="s">
        <v>411</v>
      </c>
      <c r="E711" s="60" t="s">
        <v>173</v>
      </c>
      <c r="F711" s="519" t="s">
        <v>1286</v>
      </c>
      <c r="G711" s="60" t="s">
        <v>340</v>
      </c>
      <c r="H711" s="60" t="s">
        <v>1292</v>
      </c>
      <c r="I711" s="223" t="s">
        <v>1301</v>
      </c>
      <c r="J711" s="181" t="s">
        <v>248</v>
      </c>
      <c r="K711" s="58" t="s">
        <v>1306</v>
      </c>
      <c r="L711" s="46" t="s">
        <v>302</v>
      </c>
      <c r="M711" s="220">
        <v>50000</v>
      </c>
      <c r="N711" s="48">
        <v>50000</v>
      </c>
    </row>
    <row r="712" spans="2:14" x14ac:dyDescent="0.2">
      <c r="B712" s="146"/>
      <c r="C712" s="186"/>
      <c r="D712" s="217"/>
      <c r="E712" s="60"/>
      <c r="F712" s="513"/>
      <c r="G712" s="60"/>
      <c r="H712" s="60"/>
      <c r="I712" s="46"/>
      <c r="J712" s="92"/>
      <c r="K712" s="183"/>
      <c r="L712" s="218"/>
      <c r="M712" s="182"/>
      <c r="N712" s="189"/>
    </row>
    <row r="713" spans="2:14" x14ac:dyDescent="0.2">
      <c r="B713" s="146" t="s">
        <v>684</v>
      </c>
      <c r="C713" s="186"/>
      <c r="D713" s="217"/>
      <c r="E713" s="60"/>
      <c r="F713" s="513"/>
      <c r="G713" s="60"/>
      <c r="H713" s="60"/>
      <c r="I713" s="46"/>
      <c r="J713" s="92"/>
      <c r="K713" s="183"/>
      <c r="L713" s="218"/>
      <c r="M713" s="182"/>
      <c r="N713" s="23">
        <f>+N714</f>
        <v>20000</v>
      </c>
    </row>
    <row r="714" spans="2:14" ht="15" customHeight="1" x14ac:dyDescent="0.2">
      <c r="B714" s="60" t="s">
        <v>1266</v>
      </c>
      <c r="C714" s="186">
        <v>40514</v>
      </c>
      <c r="D714" s="60" t="s">
        <v>411</v>
      </c>
      <c r="E714" s="60" t="s">
        <v>173</v>
      </c>
      <c r="F714" s="519" t="s">
        <v>1288</v>
      </c>
      <c r="G714" s="60" t="s">
        <v>684</v>
      </c>
      <c r="H714" s="60" t="s">
        <v>685</v>
      </c>
      <c r="I714" s="223" t="s">
        <v>1301</v>
      </c>
      <c r="J714" s="181" t="s">
        <v>62</v>
      </c>
      <c r="K714" s="58" t="s">
        <v>1313</v>
      </c>
      <c r="L714" s="46" t="s">
        <v>302</v>
      </c>
      <c r="M714" s="220">
        <v>20000</v>
      </c>
      <c r="N714" s="48">
        <v>20000</v>
      </c>
    </row>
    <row r="715" spans="2:14" x14ac:dyDescent="0.2">
      <c r="B715" s="146"/>
      <c r="C715" s="186"/>
      <c r="D715" s="217"/>
      <c r="E715" s="60"/>
      <c r="F715" s="513"/>
      <c r="G715" s="60"/>
      <c r="H715" s="60"/>
      <c r="I715" s="46"/>
      <c r="J715" s="92"/>
      <c r="K715" s="183"/>
      <c r="L715" s="218"/>
      <c r="M715" s="182"/>
      <c r="N715" s="189"/>
    </row>
    <row r="716" spans="2:14" x14ac:dyDescent="0.2">
      <c r="B716" s="146" t="s">
        <v>381</v>
      </c>
      <c r="C716" s="186"/>
      <c r="D716" s="217"/>
      <c r="E716" s="60"/>
      <c r="F716" s="513"/>
      <c r="G716" s="60"/>
      <c r="H716" s="60"/>
      <c r="I716" s="46"/>
      <c r="J716" s="92"/>
      <c r="K716" s="183"/>
      <c r="L716" s="218"/>
      <c r="M716" s="182"/>
      <c r="N716" s="23">
        <f>SUM(N717:N719)</f>
        <v>209831.86</v>
      </c>
    </row>
    <row r="717" spans="2:14" ht="15" customHeight="1" x14ac:dyDescent="0.2">
      <c r="B717" s="60" t="s">
        <v>1242</v>
      </c>
      <c r="C717" s="186">
        <v>40250</v>
      </c>
      <c r="D717" s="60" t="s">
        <v>215</v>
      </c>
      <c r="E717" s="469" t="s">
        <v>93</v>
      </c>
      <c r="F717" s="516" t="s">
        <v>1273</v>
      </c>
      <c r="G717" s="60" t="s">
        <v>381</v>
      </c>
      <c r="H717" s="60" t="s">
        <v>382</v>
      </c>
      <c r="I717" s="192" t="s">
        <v>1310</v>
      </c>
      <c r="J717" s="47" t="s">
        <v>255</v>
      </c>
      <c r="K717" s="183" t="s">
        <v>256</v>
      </c>
      <c r="L717" s="46" t="s">
        <v>366</v>
      </c>
      <c r="M717" s="220">
        <v>9301000</v>
      </c>
      <c r="N717" s="48">
        <v>102831.86</v>
      </c>
    </row>
    <row r="718" spans="2:14" ht="15" customHeight="1" x14ac:dyDescent="0.2">
      <c r="B718" s="60" t="s">
        <v>1249</v>
      </c>
      <c r="C718" s="186">
        <v>40339</v>
      </c>
      <c r="D718" s="60" t="s">
        <v>391</v>
      </c>
      <c r="E718" s="60" t="s">
        <v>173</v>
      </c>
      <c r="F718" s="519" t="s">
        <v>1273</v>
      </c>
      <c r="G718" s="60" t="s">
        <v>381</v>
      </c>
      <c r="H718" s="60" t="s">
        <v>382</v>
      </c>
      <c r="I718" s="223" t="s">
        <v>1299</v>
      </c>
      <c r="J718" s="47" t="s">
        <v>230</v>
      </c>
      <c r="K718" s="183" t="s">
        <v>184</v>
      </c>
      <c r="L718" s="46" t="s">
        <v>302</v>
      </c>
      <c r="M718" s="220">
        <v>77000</v>
      </c>
      <c r="N718" s="48">
        <v>77000</v>
      </c>
    </row>
    <row r="719" spans="2:14" ht="15" customHeight="1" x14ac:dyDescent="0.2">
      <c r="B719" s="60" t="s">
        <v>1265</v>
      </c>
      <c r="C719" s="186">
        <v>40507</v>
      </c>
      <c r="D719" s="60" t="s">
        <v>411</v>
      </c>
      <c r="E719" s="60" t="s">
        <v>173</v>
      </c>
      <c r="F719" s="519" t="s">
        <v>1287</v>
      </c>
      <c r="G719" s="60" t="s">
        <v>381</v>
      </c>
      <c r="H719" s="60" t="s">
        <v>96</v>
      </c>
      <c r="I719" s="223" t="s">
        <v>1301</v>
      </c>
      <c r="J719" s="181" t="s">
        <v>248</v>
      </c>
      <c r="K719" s="58" t="s">
        <v>1311</v>
      </c>
      <c r="L719" s="46" t="s">
        <v>302</v>
      </c>
      <c r="M719" s="220">
        <v>30000</v>
      </c>
      <c r="N719" s="48">
        <v>30000</v>
      </c>
    </row>
    <row r="720" spans="2:14" x14ac:dyDescent="0.2">
      <c r="B720" s="115"/>
      <c r="C720" s="116"/>
      <c r="D720" s="115"/>
      <c r="E720" s="54"/>
      <c r="G720" s="54"/>
      <c r="H720" s="54"/>
      <c r="I720" s="55"/>
      <c r="J720" s="92"/>
      <c r="K720" s="117"/>
      <c r="L720" s="55"/>
      <c r="M720" s="84"/>
      <c r="N720" s="160"/>
    </row>
    <row r="721" spans="2:14" x14ac:dyDescent="0.2">
      <c r="B721" s="146" t="s">
        <v>305</v>
      </c>
      <c r="C721" s="116"/>
      <c r="D721" s="115"/>
      <c r="E721" s="54"/>
      <c r="G721" s="54"/>
      <c r="H721" s="54"/>
      <c r="I721" s="55"/>
      <c r="J721" s="92"/>
      <c r="K721" s="117"/>
      <c r="L721" s="55"/>
      <c r="M721" s="84"/>
      <c r="N721" s="23">
        <f>+N722</f>
        <v>200000</v>
      </c>
    </row>
    <row r="722" spans="2:14" ht="15" customHeight="1" x14ac:dyDescent="0.2">
      <c r="B722" s="54" t="s">
        <v>1259</v>
      </c>
      <c r="C722" s="186">
        <v>40507</v>
      </c>
      <c r="D722" s="60" t="s">
        <v>391</v>
      </c>
      <c r="E722" s="60" t="s">
        <v>173</v>
      </c>
      <c r="F722" s="519" t="s">
        <v>1281</v>
      </c>
      <c r="G722" s="60" t="s">
        <v>305</v>
      </c>
      <c r="H722" s="60" t="s">
        <v>51</v>
      </c>
      <c r="I722" s="223" t="s">
        <v>1440</v>
      </c>
      <c r="J722" s="181" t="s">
        <v>230</v>
      </c>
      <c r="K722" s="183" t="s">
        <v>1307</v>
      </c>
      <c r="L722" s="46" t="s">
        <v>302</v>
      </c>
      <c r="M722" s="220">
        <v>200000</v>
      </c>
      <c r="N722" s="48">
        <v>200000</v>
      </c>
    </row>
    <row r="723" spans="2:14" ht="13.5" thickBot="1" x14ac:dyDescent="0.25">
      <c r="B723" s="31"/>
      <c r="C723" s="127"/>
      <c r="D723" s="126"/>
      <c r="E723" s="137"/>
      <c r="F723" s="520"/>
      <c r="G723" s="137"/>
      <c r="H723" s="137"/>
      <c r="I723" s="152"/>
      <c r="J723" s="131"/>
      <c r="K723" s="132"/>
      <c r="L723" s="130"/>
      <c r="M723" s="157"/>
      <c r="N723" s="135"/>
    </row>
    <row r="724" spans="2:14" ht="13.5" thickTop="1" x14ac:dyDescent="0.2">
      <c r="B724" s="53"/>
      <c r="C724" s="72"/>
      <c r="D724" s="73"/>
      <c r="E724" s="176"/>
      <c r="F724" s="521"/>
      <c r="G724" s="176"/>
      <c r="H724" s="176"/>
      <c r="I724" s="163"/>
      <c r="J724" s="92"/>
      <c r="K724" s="92"/>
      <c r="L724" s="76"/>
      <c r="M724" s="226"/>
      <c r="N724" s="227"/>
    </row>
    <row r="725" spans="2:14" s="259" customFormat="1" ht="18.75" x14ac:dyDescent="0.25">
      <c r="B725" s="28">
        <v>2011</v>
      </c>
      <c r="C725" s="273"/>
      <c r="D725" s="274"/>
      <c r="E725" s="275"/>
      <c r="F725" s="522"/>
      <c r="G725" s="275"/>
      <c r="H725" s="275"/>
      <c r="I725" s="276"/>
      <c r="J725" s="277"/>
      <c r="K725" s="281"/>
      <c r="L725" s="279"/>
      <c r="M725" s="280"/>
      <c r="N725" s="248">
        <f>+N727+N735+N738+N741+N744</f>
        <v>580500</v>
      </c>
    </row>
    <row r="726" spans="2:14" x14ac:dyDescent="0.2">
      <c r="B726" s="60"/>
      <c r="C726" s="186"/>
      <c r="D726" s="217"/>
      <c r="E726" s="60"/>
      <c r="F726" s="523"/>
      <c r="G726" s="60"/>
      <c r="H726" s="60"/>
      <c r="I726" s="46"/>
      <c r="J726" s="181"/>
      <c r="K726" s="47"/>
      <c r="L726" s="218"/>
      <c r="M726" s="182"/>
      <c r="N726" s="189"/>
    </row>
    <row r="727" spans="2:14" x14ac:dyDescent="0.2">
      <c r="B727" s="146" t="s">
        <v>340</v>
      </c>
      <c r="C727" s="186"/>
      <c r="D727" s="217"/>
      <c r="E727" s="60"/>
      <c r="F727" s="523"/>
      <c r="G727" s="60"/>
      <c r="H727" s="60"/>
      <c r="I727" s="46"/>
      <c r="J727" s="92"/>
      <c r="K727" s="47"/>
      <c r="L727" s="218"/>
      <c r="M727" s="182"/>
      <c r="N727" s="23">
        <f>SUM(N728:N733)</f>
        <v>150000</v>
      </c>
    </row>
    <row r="728" spans="2:14" x14ac:dyDescent="0.2">
      <c r="B728" s="60" t="s">
        <v>1316</v>
      </c>
      <c r="C728" s="186">
        <v>40710</v>
      </c>
      <c r="D728" s="60" t="s">
        <v>341</v>
      </c>
      <c r="E728" s="60" t="s">
        <v>173</v>
      </c>
      <c r="F728" s="524" t="s">
        <v>1318</v>
      </c>
      <c r="G728" s="54" t="s">
        <v>340</v>
      </c>
      <c r="H728" s="60" t="s">
        <v>1319</v>
      </c>
      <c r="I728" s="228" t="s">
        <v>1300</v>
      </c>
      <c r="J728" s="92" t="s">
        <v>183</v>
      </c>
      <c r="K728" s="47" t="s">
        <v>1223</v>
      </c>
      <c r="L728" s="46" t="s">
        <v>302</v>
      </c>
      <c r="M728" s="220">
        <v>25000</v>
      </c>
      <c r="N728" s="48">
        <f t="shared" ref="N728:N733" si="2">+M728</f>
        <v>25000</v>
      </c>
    </row>
    <row r="729" spans="2:14" ht="26.25" customHeight="1" x14ac:dyDescent="0.2">
      <c r="B729" s="217" t="s">
        <v>1317</v>
      </c>
      <c r="C729" s="326">
        <v>40710</v>
      </c>
      <c r="D729" s="217" t="s">
        <v>411</v>
      </c>
      <c r="E729" s="217" t="s">
        <v>173</v>
      </c>
      <c r="F729" s="524" t="s">
        <v>1822</v>
      </c>
      <c r="G729" s="349" t="s">
        <v>340</v>
      </c>
      <c r="H729" s="217" t="s">
        <v>1320</v>
      </c>
      <c r="I729" s="327" t="s">
        <v>1330</v>
      </c>
      <c r="J729" s="341" t="s">
        <v>157</v>
      </c>
      <c r="K729" s="374" t="s">
        <v>1346</v>
      </c>
      <c r="L729" s="324" t="s">
        <v>302</v>
      </c>
      <c r="M729" s="329">
        <v>25000</v>
      </c>
      <c r="N729" s="365">
        <f t="shared" si="2"/>
        <v>25000</v>
      </c>
    </row>
    <row r="730" spans="2:14" ht="15" customHeight="1" x14ac:dyDescent="0.2">
      <c r="B730" s="60" t="s">
        <v>1321</v>
      </c>
      <c r="C730" s="186">
        <v>40802</v>
      </c>
      <c r="D730" s="60" t="s">
        <v>341</v>
      </c>
      <c r="E730" s="60" t="s">
        <v>173</v>
      </c>
      <c r="F730" s="524" t="s">
        <v>1325</v>
      </c>
      <c r="G730" s="54" t="s">
        <v>340</v>
      </c>
      <c r="H730" s="60" t="s">
        <v>1329</v>
      </c>
      <c r="I730" s="228" t="s">
        <v>1300</v>
      </c>
      <c r="J730" s="92" t="s">
        <v>183</v>
      </c>
      <c r="K730" s="47" t="s">
        <v>1223</v>
      </c>
      <c r="L730" s="46" t="s">
        <v>302</v>
      </c>
      <c r="M730" s="220">
        <v>25000</v>
      </c>
      <c r="N730" s="48">
        <f t="shared" si="2"/>
        <v>25000</v>
      </c>
    </row>
    <row r="731" spans="2:14" ht="15" customHeight="1" x14ac:dyDescent="0.2">
      <c r="B731" s="60" t="s">
        <v>1322</v>
      </c>
      <c r="C731" s="186">
        <v>40806</v>
      </c>
      <c r="D731" s="60" t="s">
        <v>341</v>
      </c>
      <c r="E731" s="60" t="s">
        <v>173</v>
      </c>
      <c r="F731" s="524" t="s">
        <v>1326</v>
      </c>
      <c r="G731" s="54" t="s">
        <v>340</v>
      </c>
      <c r="H731" s="60" t="s">
        <v>1329</v>
      </c>
      <c r="I731" s="228" t="s">
        <v>1300</v>
      </c>
      <c r="J731" s="92" t="s">
        <v>183</v>
      </c>
      <c r="K731" s="47" t="s">
        <v>1223</v>
      </c>
      <c r="L731" s="46" t="s">
        <v>302</v>
      </c>
      <c r="M731" s="220">
        <v>25000</v>
      </c>
      <c r="N731" s="48">
        <f t="shared" si="2"/>
        <v>25000</v>
      </c>
    </row>
    <row r="732" spans="2:14" ht="15" customHeight="1" x14ac:dyDescent="0.2">
      <c r="B732" s="60" t="s">
        <v>1323</v>
      </c>
      <c r="C732" s="186">
        <v>40900</v>
      </c>
      <c r="D732" s="60" t="s">
        <v>341</v>
      </c>
      <c r="E732" s="60" t="s">
        <v>173</v>
      </c>
      <c r="F732" s="524" t="s">
        <v>1327</v>
      </c>
      <c r="G732" s="54" t="s">
        <v>340</v>
      </c>
      <c r="H732" s="60" t="s">
        <v>1329</v>
      </c>
      <c r="I732" s="228" t="s">
        <v>1300</v>
      </c>
      <c r="J732" s="92" t="s">
        <v>183</v>
      </c>
      <c r="K732" s="47" t="s">
        <v>1223</v>
      </c>
      <c r="L732" s="46" t="s">
        <v>302</v>
      </c>
      <c r="M732" s="220">
        <v>25000</v>
      </c>
      <c r="N732" s="48">
        <f t="shared" si="2"/>
        <v>25000</v>
      </c>
    </row>
    <row r="733" spans="2:14" ht="15" customHeight="1" x14ac:dyDescent="0.2">
      <c r="B733" s="60" t="s">
        <v>1324</v>
      </c>
      <c r="C733" s="186">
        <v>40900</v>
      </c>
      <c r="D733" s="60" t="s">
        <v>341</v>
      </c>
      <c r="E733" s="60" t="s">
        <v>173</v>
      </c>
      <c r="F733" s="524" t="s">
        <v>1328</v>
      </c>
      <c r="G733" s="54" t="s">
        <v>340</v>
      </c>
      <c r="H733" s="60" t="s">
        <v>1329</v>
      </c>
      <c r="I733" s="228" t="s">
        <v>1300</v>
      </c>
      <c r="J733" s="92" t="s">
        <v>183</v>
      </c>
      <c r="K733" s="47" t="s">
        <v>1223</v>
      </c>
      <c r="L733" s="46" t="s">
        <v>302</v>
      </c>
      <c r="M733" s="220">
        <v>25000</v>
      </c>
      <c r="N733" s="48">
        <f t="shared" si="2"/>
        <v>25000</v>
      </c>
    </row>
    <row r="734" spans="2:14" x14ac:dyDescent="0.2">
      <c r="B734" s="60"/>
      <c r="C734" s="186"/>
      <c r="D734" s="60"/>
      <c r="E734" s="60"/>
      <c r="F734" s="524"/>
      <c r="G734" s="54"/>
      <c r="H734" s="60"/>
      <c r="I734" s="228"/>
      <c r="J734" s="92"/>
      <c r="K734" s="47"/>
      <c r="L734" s="46"/>
      <c r="M734" s="220"/>
      <c r="N734" s="48"/>
    </row>
    <row r="735" spans="2:14" x14ac:dyDescent="0.2">
      <c r="B735" s="102" t="s">
        <v>353</v>
      </c>
      <c r="C735" s="186"/>
      <c r="D735" s="60"/>
      <c r="E735" s="60"/>
      <c r="F735" s="524"/>
      <c r="G735" s="54"/>
      <c r="H735" s="60"/>
      <c r="I735" s="228"/>
      <c r="J735" s="92"/>
      <c r="K735" s="47"/>
      <c r="L735" s="46"/>
      <c r="M735" s="220"/>
      <c r="N735" s="23">
        <f>+N736</f>
        <v>50000</v>
      </c>
    </row>
    <row r="736" spans="2:14" ht="25.5" x14ac:dyDescent="0.2">
      <c r="B736" s="217" t="s">
        <v>1331</v>
      </c>
      <c r="C736" s="326">
        <v>40703</v>
      </c>
      <c r="D736" s="217" t="s">
        <v>411</v>
      </c>
      <c r="E736" s="217" t="s">
        <v>173</v>
      </c>
      <c r="F736" s="524" t="s">
        <v>1332</v>
      </c>
      <c r="G736" s="217" t="s">
        <v>353</v>
      </c>
      <c r="H736" s="217" t="s">
        <v>1333</v>
      </c>
      <c r="I736" s="327" t="s">
        <v>1330</v>
      </c>
      <c r="J736" s="341" t="s">
        <v>157</v>
      </c>
      <c r="K736" s="374" t="s">
        <v>1347</v>
      </c>
      <c r="L736" s="324" t="s">
        <v>302</v>
      </c>
      <c r="M736" s="329">
        <v>50000</v>
      </c>
      <c r="N736" s="365">
        <v>50000</v>
      </c>
    </row>
    <row r="737" spans="2:14" x14ac:dyDescent="0.2">
      <c r="B737" s="60"/>
      <c r="C737" s="186"/>
      <c r="D737" s="60"/>
      <c r="E737" s="60"/>
      <c r="F737" s="524"/>
      <c r="G737" s="54"/>
      <c r="H737" s="60"/>
      <c r="I737" s="228"/>
      <c r="J737" s="92"/>
      <c r="K737" s="47"/>
      <c r="L737" s="46"/>
      <c r="M737" s="220"/>
      <c r="N737" s="48"/>
    </row>
    <row r="738" spans="2:14" x14ac:dyDescent="0.2">
      <c r="B738" s="146" t="s">
        <v>684</v>
      </c>
      <c r="C738" s="186"/>
      <c r="D738" s="60"/>
      <c r="E738" s="60"/>
      <c r="F738" s="524"/>
      <c r="G738" s="54"/>
      <c r="H738" s="60"/>
      <c r="I738" s="228"/>
      <c r="J738" s="92"/>
      <c r="K738" s="47"/>
      <c r="L738" s="46"/>
      <c r="M738" s="220"/>
      <c r="N738" s="23">
        <f>+N739</f>
        <v>26000</v>
      </c>
    </row>
    <row r="739" spans="2:14" ht="38.25" x14ac:dyDescent="0.2">
      <c r="B739" s="217" t="s">
        <v>1334</v>
      </c>
      <c r="C739" s="326">
        <v>41271</v>
      </c>
      <c r="D739" s="217" t="s">
        <v>341</v>
      </c>
      <c r="E739" s="217" t="s">
        <v>173</v>
      </c>
      <c r="F739" s="524" t="s">
        <v>1335</v>
      </c>
      <c r="G739" s="349" t="s">
        <v>1336</v>
      </c>
      <c r="H739" s="217" t="s">
        <v>1337</v>
      </c>
      <c r="I739" s="327" t="s">
        <v>1300</v>
      </c>
      <c r="J739" s="341" t="s">
        <v>183</v>
      </c>
      <c r="K739" s="196" t="s">
        <v>1338</v>
      </c>
      <c r="L739" s="324" t="s">
        <v>302</v>
      </c>
      <c r="M739" s="329">
        <v>26000</v>
      </c>
      <c r="N739" s="365">
        <f>+M739</f>
        <v>26000</v>
      </c>
    </row>
    <row r="740" spans="2:14" x14ac:dyDescent="0.2">
      <c r="B740" s="60"/>
      <c r="C740" s="186"/>
      <c r="D740" s="60"/>
      <c r="E740" s="60"/>
      <c r="F740" s="524"/>
      <c r="G740" s="54"/>
      <c r="H740" s="60"/>
      <c r="I740" s="228"/>
      <c r="J740" s="92"/>
      <c r="K740" s="47"/>
      <c r="L740" s="46"/>
      <c r="M740" s="220"/>
      <c r="N740" s="48"/>
    </row>
    <row r="741" spans="2:14" x14ac:dyDescent="0.2">
      <c r="B741" s="146" t="s">
        <v>381</v>
      </c>
      <c r="C741" s="113"/>
      <c r="D741" s="115"/>
      <c r="E741" s="54"/>
      <c r="F741" s="499"/>
      <c r="G741" s="54"/>
      <c r="H741" s="54"/>
      <c r="I741" s="163"/>
      <c r="J741" s="92"/>
      <c r="K741" s="92"/>
      <c r="L741" s="55"/>
      <c r="M741" s="155"/>
      <c r="N741" s="23">
        <f>+N742</f>
        <v>54500</v>
      </c>
    </row>
    <row r="742" spans="2:14" ht="38.25" x14ac:dyDescent="0.2">
      <c r="B742" s="217" t="s">
        <v>1339</v>
      </c>
      <c r="C742" s="326">
        <v>40731</v>
      </c>
      <c r="D742" s="349" t="s">
        <v>411</v>
      </c>
      <c r="E742" s="217" t="s">
        <v>173</v>
      </c>
      <c r="F742" s="524" t="s">
        <v>1340</v>
      </c>
      <c r="G742" s="217" t="s">
        <v>381</v>
      </c>
      <c r="H742" s="349" t="s">
        <v>382</v>
      </c>
      <c r="I742" s="327" t="s">
        <v>1330</v>
      </c>
      <c r="J742" s="328" t="s">
        <v>1341</v>
      </c>
      <c r="K742" s="328" t="s">
        <v>1342</v>
      </c>
      <c r="L742" s="352" t="s">
        <v>302</v>
      </c>
      <c r="M742" s="376">
        <v>54500</v>
      </c>
      <c r="N742" s="347">
        <f>+M742</f>
        <v>54500</v>
      </c>
    </row>
    <row r="743" spans="2:14" x14ac:dyDescent="0.2">
      <c r="B743" s="146"/>
      <c r="C743" s="113"/>
      <c r="D743" s="115"/>
      <c r="E743" s="54"/>
      <c r="F743" s="499"/>
      <c r="G743" s="54"/>
      <c r="H743" s="54"/>
      <c r="I743" s="163"/>
      <c r="J743" s="92"/>
      <c r="K743" s="92"/>
      <c r="L743" s="55"/>
      <c r="M743" s="155"/>
      <c r="N743" s="120"/>
    </row>
    <row r="744" spans="2:14" x14ac:dyDescent="0.2">
      <c r="B744" s="146" t="s">
        <v>305</v>
      </c>
      <c r="C744" s="113"/>
      <c r="D744" s="115"/>
      <c r="E744" s="54"/>
      <c r="F744" s="499"/>
      <c r="G744" s="54"/>
      <c r="H744" s="54"/>
      <c r="I744" s="163"/>
      <c r="J744" s="92"/>
      <c r="K744" s="92"/>
      <c r="L744" s="55"/>
      <c r="M744" s="155"/>
      <c r="N744" s="23">
        <f>+N745</f>
        <v>300000</v>
      </c>
    </row>
    <row r="745" spans="2:14" ht="25.5" x14ac:dyDescent="0.2">
      <c r="B745" s="217" t="s">
        <v>1343</v>
      </c>
      <c r="C745" s="326">
        <v>40721</v>
      </c>
      <c r="D745" s="349" t="s">
        <v>391</v>
      </c>
      <c r="E745" s="217" t="s">
        <v>173</v>
      </c>
      <c r="F745" s="524" t="s">
        <v>1344</v>
      </c>
      <c r="G745" s="349" t="s">
        <v>305</v>
      </c>
      <c r="H745" s="217" t="s">
        <v>1345</v>
      </c>
      <c r="I745" s="328" t="s">
        <v>1441</v>
      </c>
      <c r="J745" s="328" t="s">
        <v>162</v>
      </c>
      <c r="K745" s="328" t="s">
        <v>80</v>
      </c>
      <c r="L745" s="352" t="s">
        <v>302</v>
      </c>
      <c r="M745" s="376">
        <v>300000</v>
      </c>
      <c r="N745" s="347">
        <f>+M745</f>
        <v>300000</v>
      </c>
    </row>
    <row r="746" spans="2:14" ht="13.5" thickBot="1" x14ac:dyDescent="0.25">
      <c r="B746" s="31"/>
      <c r="C746" s="127"/>
      <c r="D746" s="126"/>
      <c r="E746" s="137"/>
      <c r="F746" s="500"/>
      <c r="G746" s="137"/>
      <c r="H746" s="137"/>
      <c r="I746" s="172"/>
      <c r="J746" s="131"/>
      <c r="K746" s="132"/>
      <c r="L746" s="130"/>
      <c r="M746" s="157"/>
      <c r="N746" s="135"/>
    </row>
    <row r="747" spans="2:14" ht="13.5" thickTop="1" x14ac:dyDescent="0.2">
      <c r="B747" s="53"/>
      <c r="C747" s="72"/>
      <c r="D747" s="73"/>
      <c r="E747" s="176"/>
      <c r="F747" s="521"/>
      <c r="G747" s="176"/>
      <c r="H747" s="176"/>
      <c r="I747" s="163"/>
      <c r="J747" s="92"/>
      <c r="K747" s="92"/>
      <c r="L747" s="76"/>
      <c r="M747" s="226"/>
      <c r="N747" s="227"/>
    </row>
    <row r="748" spans="2:14" s="259" customFormat="1" ht="18.75" x14ac:dyDescent="0.25">
      <c r="B748" s="28">
        <v>2012</v>
      </c>
      <c r="C748" s="273"/>
      <c r="D748" s="274"/>
      <c r="E748" s="275"/>
      <c r="F748" s="522"/>
      <c r="G748" s="275"/>
      <c r="H748" s="275"/>
      <c r="I748" s="276"/>
      <c r="J748" s="277"/>
      <c r="K748" s="281"/>
      <c r="L748" s="279"/>
      <c r="M748" s="280"/>
      <c r="N748" s="248">
        <f>+N750+N755+N759+N764+N776+N779+N788+N785</f>
        <v>1392317.931141939</v>
      </c>
    </row>
    <row r="749" spans="2:14" x14ac:dyDescent="0.2">
      <c r="B749" s="60"/>
      <c r="C749" s="186"/>
      <c r="D749" s="217"/>
      <c r="E749" s="60"/>
      <c r="F749" s="523"/>
      <c r="G749" s="60"/>
      <c r="H749" s="60"/>
      <c r="I749" s="46"/>
      <c r="J749" s="181"/>
      <c r="K749" s="47"/>
      <c r="L749" s="218"/>
      <c r="M749" s="182"/>
      <c r="N749" s="189"/>
    </row>
    <row r="750" spans="2:14" x14ac:dyDescent="0.2">
      <c r="B750" s="146" t="s">
        <v>296</v>
      </c>
      <c r="C750" s="186"/>
      <c r="D750" s="217"/>
      <c r="E750" s="60"/>
      <c r="F750" s="523"/>
      <c r="G750" s="60"/>
      <c r="H750" s="60"/>
      <c r="I750" s="46"/>
      <c r="J750" s="92"/>
      <c r="K750" s="47"/>
      <c r="L750" s="218"/>
      <c r="M750" s="182"/>
      <c r="N750" s="23">
        <f>SUM(N751:N753)</f>
        <v>93391.593999999997</v>
      </c>
    </row>
    <row r="751" spans="2:14" x14ac:dyDescent="0.2">
      <c r="B751" s="60" t="s">
        <v>1350</v>
      </c>
      <c r="C751" s="186">
        <v>40997</v>
      </c>
      <c r="D751" s="60" t="s">
        <v>215</v>
      </c>
      <c r="E751" s="60" t="s">
        <v>169</v>
      </c>
      <c r="F751" s="516" t="s">
        <v>1351</v>
      </c>
      <c r="G751" s="54" t="s">
        <v>296</v>
      </c>
      <c r="H751" s="54" t="s">
        <v>1352</v>
      </c>
      <c r="I751" s="409" t="s">
        <v>1423</v>
      </c>
      <c r="J751" s="47" t="s">
        <v>255</v>
      </c>
      <c r="K751" s="184" t="s">
        <v>256</v>
      </c>
      <c r="L751" s="46" t="s">
        <v>366</v>
      </c>
      <c r="M751" s="220">
        <v>4406000</v>
      </c>
      <c r="N751" s="230">
        <f>53457998/1000</f>
        <v>53457.998</v>
      </c>
    </row>
    <row r="752" spans="2:14" ht="25.5" x14ac:dyDescent="0.2">
      <c r="B752" s="217" t="s">
        <v>1354</v>
      </c>
      <c r="C752" s="326">
        <v>41235</v>
      </c>
      <c r="D752" s="217" t="s">
        <v>391</v>
      </c>
      <c r="E752" s="217" t="s">
        <v>173</v>
      </c>
      <c r="F752" s="516" t="s">
        <v>1355</v>
      </c>
      <c r="G752" s="349" t="s">
        <v>296</v>
      </c>
      <c r="H752" s="349" t="s">
        <v>1356</v>
      </c>
      <c r="I752" s="327" t="s">
        <v>1357</v>
      </c>
      <c r="J752" s="341" t="s">
        <v>86</v>
      </c>
      <c r="K752" s="196" t="s">
        <v>86</v>
      </c>
      <c r="L752" s="324" t="s">
        <v>302</v>
      </c>
      <c r="M752" s="329">
        <v>20000</v>
      </c>
      <c r="N752" s="49">
        <v>20000</v>
      </c>
    </row>
    <row r="753" spans="2:14" ht="25.5" x14ac:dyDescent="0.2">
      <c r="B753" s="349" t="s">
        <v>1358</v>
      </c>
      <c r="C753" s="326">
        <v>41265</v>
      </c>
      <c r="D753" s="217" t="s">
        <v>583</v>
      </c>
      <c r="E753" s="217" t="s">
        <v>173</v>
      </c>
      <c r="F753" s="516" t="s">
        <v>1823</v>
      </c>
      <c r="G753" s="54" t="s">
        <v>296</v>
      </c>
      <c r="H753" s="54" t="s">
        <v>1352</v>
      </c>
      <c r="I753" s="228" t="s">
        <v>116</v>
      </c>
      <c r="J753" s="57" t="s">
        <v>1424</v>
      </c>
      <c r="K753" s="231" t="s">
        <v>117</v>
      </c>
      <c r="L753" s="46" t="s">
        <v>430</v>
      </c>
      <c r="M753" s="220">
        <v>12900</v>
      </c>
      <c r="N753" s="230">
        <f>19933596/1000</f>
        <v>19933.596000000001</v>
      </c>
    </row>
    <row r="754" spans="2:14" x14ac:dyDescent="0.2">
      <c r="B754" s="60"/>
      <c r="C754" s="186"/>
      <c r="D754" s="60"/>
      <c r="E754" s="60"/>
      <c r="F754" s="524"/>
      <c r="G754" s="54"/>
      <c r="H754" s="60"/>
      <c r="I754" s="228"/>
      <c r="J754" s="92"/>
      <c r="K754" s="47"/>
      <c r="L754" s="46"/>
      <c r="M754" s="220"/>
      <c r="N754" s="48"/>
    </row>
    <row r="755" spans="2:14" x14ac:dyDescent="0.2">
      <c r="B755" s="146" t="s">
        <v>1359</v>
      </c>
      <c r="C755" s="186"/>
      <c r="D755" s="60"/>
      <c r="E755" s="60"/>
      <c r="F755" s="524"/>
      <c r="G755" s="54"/>
      <c r="H755" s="60"/>
      <c r="I755" s="228"/>
      <c r="J755" s="92"/>
      <c r="K755" s="47"/>
      <c r="L755" s="46"/>
      <c r="M755" s="220"/>
      <c r="N755" s="23">
        <f>SUM(N756:N758)</f>
        <v>72178.270847207998</v>
      </c>
    </row>
    <row r="756" spans="2:14" ht="38.25" x14ac:dyDescent="0.2">
      <c r="B756" s="217" t="s">
        <v>1360</v>
      </c>
      <c r="C756" s="326">
        <v>41146</v>
      </c>
      <c r="D756" s="217" t="s">
        <v>215</v>
      </c>
      <c r="E756" s="217" t="s">
        <v>169</v>
      </c>
      <c r="F756" s="516" t="s">
        <v>1824</v>
      </c>
      <c r="G756" s="349" t="s">
        <v>1359</v>
      </c>
      <c r="H756" s="217" t="s">
        <v>1361</v>
      </c>
      <c r="I756" s="403" t="s">
        <v>1378</v>
      </c>
      <c r="J756" s="341"/>
      <c r="K756" s="404" t="s">
        <v>91</v>
      </c>
      <c r="L756" s="324" t="s">
        <v>366</v>
      </c>
      <c r="M756" s="329">
        <v>4396000</v>
      </c>
      <c r="N756" s="49">
        <f>57178270.847208/1000</f>
        <v>57178.270847207998</v>
      </c>
    </row>
    <row r="757" spans="2:14" ht="38.25" x14ac:dyDescent="0.2">
      <c r="B757" s="217" t="s">
        <v>1362</v>
      </c>
      <c r="C757" s="326">
        <v>41132</v>
      </c>
      <c r="D757" s="217" t="s">
        <v>341</v>
      </c>
      <c r="E757" s="217" t="s">
        <v>173</v>
      </c>
      <c r="F757" s="516" t="s">
        <v>1824</v>
      </c>
      <c r="G757" s="349" t="s">
        <v>1359</v>
      </c>
      <c r="H757" s="217" t="s">
        <v>1361</v>
      </c>
      <c r="I757" s="327" t="s">
        <v>1300</v>
      </c>
      <c r="J757" s="341" t="s">
        <v>1307</v>
      </c>
      <c r="K757" s="405" t="s">
        <v>1353</v>
      </c>
      <c r="L757" s="324" t="s">
        <v>302</v>
      </c>
      <c r="M757" s="329">
        <v>15000</v>
      </c>
      <c r="N757" s="49">
        <v>15000</v>
      </c>
    </row>
    <row r="758" spans="2:14" x14ac:dyDescent="0.2">
      <c r="B758" s="102"/>
      <c r="C758" s="186"/>
      <c r="D758" s="60"/>
      <c r="E758" s="60"/>
      <c r="F758" s="524"/>
      <c r="G758" s="54"/>
      <c r="H758" s="60"/>
      <c r="I758" s="228"/>
      <c r="J758" s="92"/>
      <c r="K758" s="47"/>
      <c r="L758" s="46"/>
      <c r="M758" s="220"/>
      <c r="N758" s="23"/>
    </row>
    <row r="759" spans="2:14" x14ac:dyDescent="0.2">
      <c r="B759" s="146" t="s">
        <v>621</v>
      </c>
      <c r="C759" s="186"/>
      <c r="D759" s="60"/>
      <c r="E759" s="60"/>
      <c r="F759" s="524"/>
      <c r="G759" s="60"/>
      <c r="H759" s="60"/>
      <c r="I759" s="228"/>
      <c r="J759" s="92"/>
      <c r="K759" s="37"/>
      <c r="L759" s="46"/>
      <c r="M759" s="220"/>
      <c r="N759" s="23">
        <f>SUM(N760:N762)</f>
        <v>57982.101167318004</v>
      </c>
    </row>
    <row r="760" spans="2:14" ht="15" customHeight="1" x14ac:dyDescent="0.2">
      <c r="B760" s="54" t="s">
        <v>1364</v>
      </c>
      <c r="C760" s="186">
        <v>41256</v>
      </c>
      <c r="D760" s="60" t="s">
        <v>628</v>
      </c>
      <c r="E760" s="60" t="s">
        <v>169</v>
      </c>
      <c r="F760" s="516" t="s">
        <v>1825</v>
      </c>
      <c r="G760" s="54" t="s">
        <v>621</v>
      </c>
      <c r="H760" s="54" t="s">
        <v>1365</v>
      </c>
      <c r="I760" s="232">
        <v>0.02</v>
      </c>
      <c r="J760" s="47" t="s">
        <v>91</v>
      </c>
      <c r="K760" s="184" t="s">
        <v>94</v>
      </c>
      <c r="L760" s="46" t="s">
        <v>1084</v>
      </c>
      <c r="M760" s="220">
        <v>6000</v>
      </c>
      <c r="N760" s="230">
        <f>7982101.167318/1000</f>
        <v>7982.1011673180001</v>
      </c>
    </row>
    <row r="761" spans="2:14" ht="15" customHeight="1" x14ac:dyDescent="0.2">
      <c r="B761" s="60" t="s">
        <v>1366</v>
      </c>
      <c r="C761" s="186">
        <v>41132</v>
      </c>
      <c r="D761" s="60" t="s">
        <v>341</v>
      </c>
      <c r="E761" s="60" t="s">
        <v>173</v>
      </c>
      <c r="F761" s="516" t="s">
        <v>1367</v>
      </c>
      <c r="G761" s="54" t="s">
        <v>621</v>
      </c>
      <c r="H761" s="54" t="s">
        <v>1365</v>
      </c>
      <c r="I761" s="228" t="s">
        <v>1300</v>
      </c>
      <c r="J761" s="92" t="s">
        <v>80</v>
      </c>
      <c r="K761" s="47" t="s">
        <v>200</v>
      </c>
      <c r="L761" s="46" t="s">
        <v>302</v>
      </c>
      <c r="M761" s="220">
        <v>25000</v>
      </c>
      <c r="N761" s="230">
        <v>25000</v>
      </c>
    </row>
    <row r="762" spans="2:14" ht="15" customHeight="1" x14ac:dyDescent="0.2">
      <c r="B762" s="54" t="s">
        <v>1368</v>
      </c>
      <c r="C762" s="186">
        <v>41263</v>
      </c>
      <c r="D762" s="60" t="s">
        <v>411</v>
      </c>
      <c r="E762" s="60" t="s">
        <v>173</v>
      </c>
      <c r="F762" s="516" t="s">
        <v>1369</v>
      </c>
      <c r="G762" s="54" t="s">
        <v>621</v>
      </c>
      <c r="H762" s="54" t="s">
        <v>1370</v>
      </c>
      <c r="I762" s="406" t="s">
        <v>1371</v>
      </c>
      <c r="J762" s="163" t="s">
        <v>256</v>
      </c>
      <c r="K762" s="163" t="s">
        <v>256</v>
      </c>
      <c r="L762" s="55" t="s">
        <v>302</v>
      </c>
      <c r="M762" s="142">
        <v>25000</v>
      </c>
      <c r="N762" s="143">
        <v>25000</v>
      </c>
    </row>
    <row r="763" spans="2:14" x14ac:dyDescent="0.2">
      <c r="B763" s="60"/>
      <c r="C763" s="186"/>
      <c r="D763" s="60"/>
      <c r="E763" s="60"/>
      <c r="F763" s="524"/>
      <c r="G763" s="54"/>
      <c r="H763" s="60"/>
      <c r="I763" s="228"/>
      <c r="J763" s="92"/>
      <c r="K763" s="47"/>
      <c r="L763" s="46"/>
      <c r="M763" s="220"/>
      <c r="N763" s="48"/>
    </row>
    <row r="764" spans="2:14" x14ac:dyDescent="0.2">
      <c r="B764" s="146" t="s">
        <v>340</v>
      </c>
      <c r="C764" s="186"/>
      <c r="D764" s="60"/>
      <c r="E764" s="60"/>
      <c r="F764" s="524"/>
      <c r="G764" s="54"/>
      <c r="H764" s="60"/>
      <c r="I764" s="228"/>
      <c r="J764" s="92"/>
      <c r="K764" s="47"/>
      <c r="L764" s="46"/>
      <c r="M764" s="220"/>
      <c r="N764" s="23">
        <f>SUM(N765:N774)</f>
        <v>808875.35192348238</v>
      </c>
    </row>
    <row r="765" spans="2:14" ht="15" customHeight="1" x14ac:dyDescent="0.2">
      <c r="B765" s="60" t="s">
        <v>1442</v>
      </c>
      <c r="C765" s="186">
        <v>40932</v>
      </c>
      <c r="D765" s="60" t="s">
        <v>1372</v>
      </c>
      <c r="E765" s="60" t="s">
        <v>1374</v>
      </c>
      <c r="F765" s="516" t="s">
        <v>1373</v>
      </c>
      <c r="G765" s="54" t="s">
        <v>340</v>
      </c>
      <c r="H765" s="54" t="s">
        <v>298</v>
      </c>
      <c r="I765" s="228">
        <v>5.625</v>
      </c>
      <c r="J765" s="407" t="s">
        <v>907</v>
      </c>
      <c r="K765" s="57" t="s">
        <v>1377</v>
      </c>
      <c r="L765" s="46" t="s">
        <v>302</v>
      </c>
      <c r="M765" s="220">
        <v>500000</v>
      </c>
      <c r="N765" s="230">
        <f>+M765</f>
        <v>500000</v>
      </c>
    </row>
    <row r="766" spans="2:14" ht="15" customHeight="1" x14ac:dyDescent="0.2">
      <c r="B766" s="60" t="s">
        <v>1375</v>
      </c>
      <c r="C766" s="186">
        <v>41192</v>
      </c>
      <c r="D766" s="60" t="s">
        <v>215</v>
      </c>
      <c r="E766" s="60" t="s">
        <v>169</v>
      </c>
      <c r="F766" s="516" t="s">
        <v>1376</v>
      </c>
      <c r="G766" s="54" t="s">
        <v>340</v>
      </c>
      <c r="H766" s="54" t="s">
        <v>359</v>
      </c>
      <c r="I766" s="233" t="s">
        <v>1412</v>
      </c>
      <c r="J766" s="47" t="s">
        <v>84</v>
      </c>
      <c r="K766" s="184" t="s">
        <v>91</v>
      </c>
      <c r="L766" s="46" t="s">
        <v>366</v>
      </c>
      <c r="M766" s="220">
        <v>8770000</v>
      </c>
      <c r="N766" s="230">
        <f>118742746.61926/1000</f>
        <v>118742.74661926</v>
      </c>
    </row>
    <row r="767" spans="2:14" ht="15" customHeight="1" x14ac:dyDescent="0.2">
      <c r="B767" s="54" t="s">
        <v>1379</v>
      </c>
      <c r="C767" s="186">
        <v>41263</v>
      </c>
      <c r="D767" s="60" t="s">
        <v>628</v>
      </c>
      <c r="E767" s="60" t="s">
        <v>169</v>
      </c>
      <c r="F767" s="516" t="s">
        <v>1380</v>
      </c>
      <c r="G767" s="54" t="s">
        <v>340</v>
      </c>
      <c r="H767" s="54" t="s">
        <v>1329</v>
      </c>
      <c r="I767" s="228" t="s">
        <v>1386</v>
      </c>
      <c r="J767" s="47" t="s">
        <v>84</v>
      </c>
      <c r="K767" s="184" t="s">
        <v>117</v>
      </c>
      <c r="L767" s="46" t="s">
        <v>1084</v>
      </c>
      <c r="M767" s="220">
        <v>15000</v>
      </c>
      <c r="N767" s="230">
        <f>20054602.184085/1000</f>
        <v>20054.602184085001</v>
      </c>
    </row>
    <row r="768" spans="2:14" ht="15" customHeight="1" x14ac:dyDescent="0.2">
      <c r="B768" s="54" t="s">
        <v>1381</v>
      </c>
      <c r="C768" s="186">
        <v>41265</v>
      </c>
      <c r="D768" s="60" t="s">
        <v>1382</v>
      </c>
      <c r="E768" s="60" t="s">
        <v>169</v>
      </c>
      <c r="F768" s="516" t="s">
        <v>1383</v>
      </c>
      <c r="G768" s="54" t="s">
        <v>340</v>
      </c>
      <c r="H768" s="54" t="s">
        <v>359</v>
      </c>
      <c r="I768" s="228" t="s">
        <v>1386</v>
      </c>
      <c r="J768" s="47" t="s">
        <v>162</v>
      </c>
      <c r="K768" s="184" t="s">
        <v>177</v>
      </c>
      <c r="L768" s="46" t="s">
        <v>1084</v>
      </c>
      <c r="M768" s="220">
        <v>25000</v>
      </c>
      <c r="N768" s="230">
        <f>33385335.413425/1000</f>
        <v>33385.335413424997</v>
      </c>
    </row>
    <row r="769" spans="2:14" ht="15" customHeight="1" x14ac:dyDescent="0.2">
      <c r="B769" s="54" t="s">
        <v>1384</v>
      </c>
      <c r="C769" s="186">
        <v>41265</v>
      </c>
      <c r="D769" s="60" t="s">
        <v>628</v>
      </c>
      <c r="E769" s="60" t="s">
        <v>169</v>
      </c>
      <c r="F769" s="516" t="s">
        <v>1385</v>
      </c>
      <c r="G769" s="54" t="s">
        <v>340</v>
      </c>
      <c r="H769" s="54" t="s">
        <v>359</v>
      </c>
      <c r="I769" s="228" t="s">
        <v>1386</v>
      </c>
      <c r="J769" s="47" t="s">
        <v>84</v>
      </c>
      <c r="K769" s="184" t="s">
        <v>91</v>
      </c>
      <c r="L769" s="46" t="s">
        <v>1084</v>
      </c>
      <c r="M769" s="220">
        <v>12500</v>
      </c>
      <c r="N769" s="230">
        <f>16692667.7067125/1000</f>
        <v>16692.667706712498</v>
      </c>
    </row>
    <row r="770" spans="2:14" ht="15" customHeight="1" x14ac:dyDescent="0.2">
      <c r="B770" s="60" t="s">
        <v>1387</v>
      </c>
      <c r="C770" s="186">
        <v>41146</v>
      </c>
      <c r="D770" s="60" t="s">
        <v>341</v>
      </c>
      <c r="E770" s="60" t="s">
        <v>173</v>
      </c>
      <c r="F770" s="516" t="s">
        <v>1388</v>
      </c>
      <c r="G770" s="54" t="s">
        <v>340</v>
      </c>
      <c r="H770" s="54" t="s">
        <v>1400</v>
      </c>
      <c r="I770" s="228" t="s">
        <v>1300</v>
      </c>
      <c r="J770" s="92" t="s">
        <v>84</v>
      </c>
      <c r="K770" s="47" t="s">
        <v>94</v>
      </c>
      <c r="L770" s="46" t="s">
        <v>302</v>
      </c>
      <c r="M770" s="220">
        <v>20000</v>
      </c>
      <c r="N770" s="230">
        <v>20000</v>
      </c>
    </row>
    <row r="771" spans="2:14" ht="15" customHeight="1" x14ac:dyDescent="0.2">
      <c r="B771" s="60" t="s">
        <v>1390</v>
      </c>
      <c r="C771" s="186">
        <v>41207</v>
      </c>
      <c r="D771" s="60" t="s">
        <v>341</v>
      </c>
      <c r="E771" s="60" t="s">
        <v>173</v>
      </c>
      <c r="F771" s="516" t="s">
        <v>1391</v>
      </c>
      <c r="G771" s="54" t="s">
        <v>340</v>
      </c>
      <c r="H771" s="54" t="s">
        <v>1329</v>
      </c>
      <c r="I771" s="228" t="s">
        <v>1300</v>
      </c>
      <c r="J771" s="92" t="s">
        <v>1307</v>
      </c>
      <c r="K771" s="408" t="s">
        <v>1353</v>
      </c>
      <c r="L771" s="46" t="s">
        <v>302</v>
      </c>
      <c r="M771" s="220">
        <v>30000</v>
      </c>
      <c r="N771" s="230">
        <v>30000</v>
      </c>
    </row>
    <row r="772" spans="2:14" ht="15" customHeight="1" x14ac:dyDescent="0.2">
      <c r="B772" s="54" t="s">
        <v>1394</v>
      </c>
      <c r="C772" s="186">
        <v>41256</v>
      </c>
      <c r="D772" s="60" t="s">
        <v>341</v>
      </c>
      <c r="E772" s="60" t="s">
        <v>173</v>
      </c>
      <c r="F772" s="516" t="s">
        <v>1395</v>
      </c>
      <c r="G772" s="54" t="s">
        <v>340</v>
      </c>
      <c r="H772" s="54" t="s">
        <v>1329</v>
      </c>
      <c r="I772" s="228" t="s">
        <v>1300</v>
      </c>
      <c r="J772" s="92" t="s">
        <v>84</v>
      </c>
      <c r="K772" s="47" t="s">
        <v>162</v>
      </c>
      <c r="L772" s="46" t="s">
        <v>302</v>
      </c>
      <c r="M772" s="220">
        <v>30000</v>
      </c>
      <c r="N772" s="230">
        <v>30000</v>
      </c>
    </row>
    <row r="773" spans="2:14" ht="15" customHeight="1" x14ac:dyDescent="0.2">
      <c r="B773" s="54" t="s">
        <v>1396</v>
      </c>
      <c r="C773" s="186">
        <v>41256</v>
      </c>
      <c r="D773" s="60" t="s">
        <v>341</v>
      </c>
      <c r="E773" s="60" t="s">
        <v>173</v>
      </c>
      <c r="F773" s="516" t="s">
        <v>1397</v>
      </c>
      <c r="G773" s="54" t="s">
        <v>340</v>
      </c>
      <c r="H773" s="54" t="s">
        <v>1329</v>
      </c>
      <c r="I773" s="228" t="s">
        <v>1300</v>
      </c>
      <c r="J773" s="92" t="s">
        <v>84</v>
      </c>
      <c r="K773" s="47" t="s">
        <v>162</v>
      </c>
      <c r="L773" s="46" t="s">
        <v>302</v>
      </c>
      <c r="M773" s="220">
        <v>30000</v>
      </c>
      <c r="N773" s="230">
        <v>30000</v>
      </c>
    </row>
    <row r="774" spans="2:14" ht="25.5" x14ac:dyDescent="0.2">
      <c r="B774" s="54" t="s">
        <v>1398</v>
      </c>
      <c r="C774" s="186">
        <v>41265</v>
      </c>
      <c r="D774" s="60" t="s">
        <v>411</v>
      </c>
      <c r="E774" s="60" t="s">
        <v>173</v>
      </c>
      <c r="F774" s="516" t="s">
        <v>1399</v>
      </c>
      <c r="G774" s="54" t="s">
        <v>340</v>
      </c>
      <c r="H774" s="54" t="s">
        <v>1404</v>
      </c>
      <c r="I774" s="228" t="s">
        <v>1371</v>
      </c>
      <c r="J774" s="47" t="s">
        <v>84</v>
      </c>
      <c r="K774" s="47" t="s">
        <v>162</v>
      </c>
      <c r="L774" s="46" t="s">
        <v>302</v>
      </c>
      <c r="M774" s="220">
        <v>10000</v>
      </c>
      <c r="N774" s="230">
        <v>10000</v>
      </c>
    </row>
    <row r="775" spans="2:14" x14ac:dyDescent="0.2">
      <c r="B775" s="54"/>
      <c r="C775" s="186"/>
      <c r="D775" s="60"/>
      <c r="E775" s="60"/>
      <c r="F775" s="516"/>
      <c r="G775" s="54"/>
      <c r="H775" s="54"/>
      <c r="I775" s="228"/>
      <c r="J775" s="47"/>
      <c r="K775" s="47"/>
      <c r="L775" s="46"/>
      <c r="M775" s="220"/>
      <c r="N775" s="230"/>
    </row>
    <row r="776" spans="2:14" x14ac:dyDescent="0.2">
      <c r="B776" s="146" t="s">
        <v>305</v>
      </c>
      <c r="C776" s="186"/>
      <c r="D776" s="60"/>
      <c r="E776" s="60"/>
      <c r="F776" s="516"/>
      <c r="G776" s="54"/>
      <c r="H776" s="54"/>
      <c r="I776" s="228"/>
      <c r="J776" s="47"/>
      <c r="K776" s="47"/>
      <c r="L776" s="46"/>
      <c r="M776" s="220"/>
      <c r="N776" s="23">
        <f>+N777</f>
        <v>70000</v>
      </c>
    </row>
    <row r="777" spans="2:14" ht="15" customHeight="1" x14ac:dyDescent="0.2">
      <c r="B777" s="54" t="s">
        <v>1392</v>
      </c>
      <c r="C777" s="186">
        <v>41250</v>
      </c>
      <c r="D777" s="60" t="s">
        <v>341</v>
      </c>
      <c r="E777" s="60" t="s">
        <v>173</v>
      </c>
      <c r="F777" s="516" t="s">
        <v>1393</v>
      </c>
      <c r="G777" s="54" t="s">
        <v>305</v>
      </c>
      <c r="H777" s="54" t="s">
        <v>1402</v>
      </c>
      <c r="I777" s="228" t="s">
        <v>1300</v>
      </c>
      <c r="J777" s="92" t="s">
        <v>156</v>
      </c>
      <c r="K777" s="57" t="s">
        <v>1413</v>
      </c>
      <c r="L777" s="46" t="s">
        <v>302</v>
      </c>
      <c r="M777" s="220">
        <v>70000</v>
      </c>
      <c r="N777" s="230">
        <v>70000</v>
      </c>
    </row>
    <row r="778" spans="2:14" x14ac:dyDescent="0.2">
      <c r="B778" s="54"/>
      <c r="C778" s="186"/>
      <c r="D778" s="60"/>
      <c r="E778" s="60"/>
      <c r="F778" s="516"/>
      <c r="G778" s="54"/>
      <c r="H778" s="54"/>
      <c r="I778" s="228"/>
      <c r="J778" s="47"/>
      <c r="K778" s="47"/>
      <c r="L778" s="46"/>
      <c r="M778" s="220"/>
      <c r="N778" s="230"/>
    </row>
    <row r="779" spans="2:14" x14ac:dyDescent="0.2">
      <c r="B779" s="146" t="s">
        <v>381</v>
      </c>
      <c r="C779" s="186"/>
      <c r="D779" s="60"/>
      <c r="E779" s="60"/>
      <c r="F779" s="516"/>
      <c r="G779" s="54"/>
      <c r="H779" s="54"/>
      <c r="I779" s="228"/>
      <c r="J779" s="47"/>
      <c r="K779" s="47"/>
      <c r="L779" s="46"/>
      <c r="M779" s="220"/>
      <c r="N779" s="23">
        <f>SUM(N780:N783)</f>
        <v>219588.77078854584</v>
      </c>
    </row>
    <row r="780" spans="2:14" ht="15" customHeight="1" x14ac:dyDescent="0.2">
      <c r="B780" s="60" t="s">
        <v>1405</v>
      </c>
      <c r="C780" s="186">
        <v>40991</v>
      </c>
      <c r="D780" s="60" t="s">
        <v>215</v>
      </c>
      <c r="E780" s="60" t="s">
        <v>169</v>
      </c>
      <c r="F780" s="516" t="s">
        <v>1406</v>
      </c>
      <c r="G780" s="54" t="s">
        <v>381</v>
      </c>
      <c r="H780" s="54" t="s">
        <v>1443</v>
      </c>
      <c r="I780" s="409" t="s">
        <v>1423</v>
      </c>
      <c r="J780" s="47" t="s">
        <v>255</v>
      </c>
      <c r="K780" s="184" t="s">
        <v>256</v>
      </c>
      <c r="L780" s="46" t="s">
        <v>366</v>
      </c>
      <c r="M780" s="220">
        <v>3210000</v>
      </c>
      <c r="N780" s="230">
        <f>38889150/1000</f>
        <v>38889.15</v>
      </c>
    </row>
    <row r="781" spans="2:14" ht="45" customHeight="1" x14ac:dyDescent="0.2">
      <c r="B781" s="349" t="s">
        <v>1407</v>
      </c>
      <c r="C781" s="326">
        <v>41250</v>
      </c>
      <c r="D781" s="217" t="s">
        <v>215</v>
      </c>
      <c r="E781" s="217" t="s">
        <v>169</v>
      </c>
      <c r="F781" s="514" t="s">
        <v>1409</v>
      </c>
      <c r="G781" s="349" t="s">
        <v>381</v>
      </c>
      <c r="H781" s="349" t="s">
        <v>382</v>
      </c>
      <c r="I781" s="410" t="s">
        <v>1423</v>
      </c>
      <c r="J781" s="196" t="s">
        <v>255</v>
      </c>
      <c r="K781" s="404" t="s">
        <v>256</v>
      </c>
      <c r="L781" s="324" t="s">
        <v>366</v>
      </c>
      <c r="M781" s="345">
        <v>5078000</v>
      </c>
      <c r="N781" s="49">
        <f>70883288.096244/1000</f>
        <v>70883.28809624401</v>
      </c>
    </row>
    <row r="782" spans="2:14" ht="16.5" customHeight="1" x14ac:dyDescent="0.2">
      <c r="B782" s="54" t="s">
        <v>1408</v>
      </c>
      <c r="C782" s="186">
        <v>41252</v>
      </c>
      <c r="D782" s="60" t="s">
        <v>628</v>
      </c>
      <c r="E782" s="60" t="s">
        <v>169</v>
      </c>
      <c r="F782" s="516" t="s">
        <v>1410</v>
      </c>
      <c r="G782" s="54" t="s">
        <v>381</v>
      </c>
      <c r="H782" s="54" t="s">
        <v>1411</v>
      </c>
      <c r="I782" s="233" t="s">
        <v>1419</v>
      </c>
      <c r="J782" s="47" t="s">
        <v>91</v>
      </c>
      <c r="K782" s="57" t="s">
        <v>1363</v>
      </c>
      <c r="L782" s="46" t="s">
        <v>1084</v>
      </c>
      <c r="M782" s="220">
        <v>7449.7661900000003</v>
      </c>
      <c r="N782" s="230">
        <f>9816332.69230185/1000</f>
        <v>9816.3326923018503</v>
      </c>
    </row>
    <row r="783" spans="2:14" ht="45" customHeight="1" x14ac:dyDescent="0.2">
      <c r="B783" s="217" t="s">
        <v>1414</v>
      </c>
      <c r="C783" s="326">
        <v>41133</v>
      </c>
      <c r="D783" s="217" t="s">
        <v>341</v>
      </c>
      <c r="E783" s="217" t="s">
        <v>173</v>
      </c>
      <c r="F783" s="514" t="s">
        <v>1415</v>
      </c>
      <c r="G783" s="349" t="s">
        <v>381</v>
      </c>
      <c r="H783" s="349" t="s">
        <v>382</v>
      </c>
      <c r="I783" s="327" t="s">
        <v>1300</v>
      </c>
      <c r="J783" s="341" t="s">
        <v>183</v>
      </c>
      <c r="K783" s="196" t="s">
        <v>1308</v>
      </c>
      <c r="L783" s="324" t="s">
        <v>302</v>
      </c>
      <c r="M783" s="329">
        <v>100000</v>
      </c>
      <c r="N783" s="49">
        <v>100000</v>
      </c>
    </row>
    <row r="784" spans="2:14" x14ac:dyDescent="0.2">
      <c r="B784" s="54"/>
      <c r="C784" s="186"/>
      <c r="D784" s="60"/>
      <c r="E784" s="60"/>
      <c r="F784" s="516"/>
      <c r="G784" s="54"/>
      <c r="H784" s="54"/>
      <c r="I784" s="228"/>
      <c r="J784" s="47"/>
      <c r="K784" s="47"/>
      <c r="L784" s="46"/>
      <c r="M784" s="220"/>
      <c r="N784" s="230"/>
    </row>
    <row r="785" spans="2:14" x14ac:dyDescent="0.2">
      <c r="B785" s="146" t="s">
        <v>688</v>
      </c>
      <c r="C785" s="186"/>
      <c r="D785" s="60"/>
      <c r="E785" s="60"/>
      <c r="F785" s="516"/>
      <c r="G785" s="54"/>
      <c r="H785" s="54"/>
      <c r="I785" s="228"/>
      <c r="J785" s="47"/>
      <c r="K785" s="47"/>
      <c r="L785" s="46"/>
      <c r="M785" s="220"/>
      <c r="N785" s="23">
        <f>+N786</f>
        <v>35301.842415384999</v>
      </c>
    </row>
    <row r="786" spans="2:14" ht="45" customHeight="1" x14ac:dyDescent="0.2">
      <c r="B786" s="349" t="s">
        <v>1416</v>
      </c>
      <c r="C786" s="326">
        <v>41273</v>
      </c>
      <c r="D786" s="217" t="s">
        <v>215</v>
      </c>
      <c r="E786" s="217" t="s">
        <v>169</v>
      </c>
      <c r="F786" s="514" t="s">
        <v>1417</v>
      </c>
      <c r="G786" s="349" t="s">
        <v>69</v>
      </c>
      <c r="H786" s="349" t="s">
        <v>1418</v>
      </c>
      <c r="I786" s="403" t="s">
        <v>1403</v>
      </c>
      <c r="J786" s="196" t="s">
        <v>80</v>
      </c>
      <c r="K786" s="404" t="s">
        <v>58</v>
      </c>
      <c r="L786" s="324" t="s">
        <v>366</v>
      </c>
      <c r="M786" s="345">
        <v>2905000</v>
      </c>
      <c r="N786" s="49">
        <f>35301842.415385/1000</f>
        <v>35301.842415384999</v>
      </c>
    </row>
    <row r="787" spans="2:14" x14ac:dyDescent="0.2">
      <c r="B787" s="54"/>
      <c r="C787" s="186"/>
      <c r="D787" s="60"/>
      <c r="E787" s="60"/>
      <c r="F787" s="516"/>
      <c r="G787" s="54"/>
      <c r="H787" s="54"/>
      <c r="I787" s="228"/>
      <c r="J787" s="47"/>
      <c r="K787" s="47"/>
      <c r="L787" s="46"/>
      <c r="M787" s="220"/>
      <c r="N787" s="230"/>
    </row>
    <row r="788" spans="2:14" x14ac:dyDescent="0.2">
      <c r="B788" s="27" t="s">
        <v>20</v>
      </c>
      <c r="C788" s="186"/>
      <c r="D788" s="60"/>
      <c r="E788" s="60"/>
      <c r="F788" s="516"/>
      <c r="G788" s="54"/>
      <c r="H788" s="54"/>
      <c r="I788" s="228"/>
      <c r="J788" s="47"/>
      <c r="K788" s="47"/>
      <c r="L788" s="46"/>
      <c r="M788" s="220"/>
      <c r="N788" s="23">
        <f>+N789</f>
        <v>35000</v>
      </c>
    </row>
    <row r="789" spans="2:14" ht="15" customHeight="1" x14ac:dyDescent="0.2">
      <c r="B789" s="60" t="s">
        <v>1389</v>
      </c>
      <c r="C789" s="186">
        <v>41146</v>
      </c>
      <c r="D789" s="60" t="s">
        <v>341</v>
      </c>
      <c r="E789" s="60" t="s">
        <v>173</v>
      </c>
      <c r="F789" s="516" t="s">
        <v>1826</v>
      </c>
      <c r="G789" s="54" t="s">
        <v>20</v>
      </c>
      <c r="H789" s="54" t="s">
        <v>1401</v>
      </c>
      <c r="I789" s="228" t="s">
        <v>1300</v>
      </c>
      <c r="J789" s="92" t="s">
        <v>232</v>
      </c>
      <c r="K789" s="47" t="s">
        <v>157</v>
      </c>
      <c r="L789" s="46" t="s">
        <v>302</v>
      </c>
      <c r="M789" s="220">
        <v>35000</v>
      </c>
      <c r="N789" s="230">
        <v>35000</v>
      </c>
    </row>
    <row r="790" spans="2:14" ht="13.5" thickBot="1" x14ac:dyDescent="0.25">
      <c r="B790" s="202"/>
      <c r="C790" s="200"/>
      <c r="D790" s="202"/>
      <c r="E790" s="202"/>
      <c r="F790" s="525"/>
      <c r="G790" s="137"/>
      <c r="H790" s="137"/>
      <c r="I790" s="282"/>
      <c r="J790" s="131"/>
      <c r="K790" s="283"/>
      <c r="L790" s="199"/>
      <c r="M790" s="284"/>
      <c r="N790" s="285"/>
    </row>
    <row r="791" spans="2:14" ht="13.5" thickTop="1" x14ac:dyDescent="0.2">
      <c r="B791" s="60"/>
      <c r="C791" s="186"/>
      <c r="D791" s="60"/>
      <c r="E791" s="60"/>
      <c r="F791" s="516"/>
      <c r="G791" s="54"/>
      <c r="H791" s="54"/>
      <c r="I791" s="223"/>
      <c r="J791" s="92"/>
      <c r="K791" s="183"/>
      <c r="L791" s="181"/>
      <c r="M791" s="220"/>
      <c r="N791" s="230"/>
    </row>
    <row r="792" spans="2:14" ht="18" x14ac:dyDescent="0.25">
      <c r="B792" s="28">
        <v>2013</v>
      </c>
      <c r="C792" s="186"/>
      <c r="D792" s="60"/>
      <c r="E792" s="60"/>
      <c r="F792" s="516"/>
      <c r="G792" s="54"/>
      <c r="H792" s="54"/>
      <c r="I792" s="223"/>
      <c r="J792" s="92"/>
      <c r="K792" s="183"/>
      <c r="L792" s="181"/>
      <c r="M792" s="220"/>
      <c r="N792" s="248">
        <f>+N794+N799+N802+N805+N813+N816+N819</f>
        <v>379387.20746589999</v>
      </c>
    </row>
    <row r="793" spans="2:14" ht="18" x14ac:dyDescent="0.25">
      <c r="B793" s="28"/>
      <c r="C793" s="186"/>
      <c r="D793" s="60"/>
      <c r="E793" s="60"/>
      <c r="F793" s="516"/>
      <c r="G793" s="54"/>
      <c r="H793" s="54"/>
      <c r="I793" s="223"/>
      <c r="J793" s="92"/>
      <c r="K793" s="183"/>
      <c r="L793" s="181"/>
      <c r="M793" s="220"/>
      <c r="N793" s="230"/>
    </row>
    <row r="794" spans="2:14" x14ac:dyDescent="0.2">
      <c r="B794" s="146" t="s">
        <v>296</v>
      </c>
      <c r="C794" s="186"/>
      <c r="D794" s="60"/>
      <c r="E794" s="60"/>
      <c r="F794" s="516"/>
      <c r="G794" s="54"/>
      <c r="H794" s="54"/>
      <c r="I794" s="223"/>
      <c r="J794" s="92"/>
      <c r="K794" s="183"/>
      <c r="L794" s="181"/>
      <c r="M794" s="220"/>
      <c r="N794" s="23">
        <f>SUM(N795:N797)</f>
        <v>100000</v>
      </c>
    </row>
    <row r="795" spans="2:14" ht="38.25" x14ac:dyDescent="0.2">
      <c r="B795" s="349" t="s">
        <v>1512</v>
      </c>
      <c r="C795" s="411">
        <v>41530</v>
      </c>
      <c r="D795" s="217" t="s">
        <v>411</v>
      </c>
      <c r="E795" s="217" t="s">
        <v>173</v>
      </c>
      <c r="F795" s="526" t="s">
        <v>1513</v>
      </c>
      <c r="G795" s="60" t="s">
        <v>1511</v>
      </c>
      <c r="H795" s="54" t="s">
        <v>1294</v>
      </c>
      <c r="I795" s="223" t="s">
        <v>1371</v>
      </c>
      <c r="J795" s="163" t="s">
        <v>86</v>
      </c>
      <c r="K795" s="412" t="s">
        <v>86</v>
      </c>
      <c r="L795" s="181" t="s">
        <v>302</v>
      </c>
      <c r="M795" s="220">
        <v>20000</v>
      </c>
      <c r="N795" s="189">
        <v>20000</v>
      </c>
    </row>
    <row r="796" spans="2:14" ht="15" customHeight="1" x14ac:dyDescent="0.2">
      <c r="B796" s="54" t="s">
        <v>1514</v>
      </c>
      <c r="C796" s="301">
        <v>41635</v>
      </c>
      <c r="D796" s="60" t="s">
        <v>341</v>
      </c>
      <c r="E796" s="60" t="s">
        <v>173</v>
      </c>
      <c r="F796" s="526" t="s">
        <v>1515</v>
      </c>
      <c r="G796" s="54" t="s">
        <v>1511</v>
      </c>
      <c r="H796" s="60" t="s">
        <v>1516</v>
      </c>
      <c r="I796" s="223" t="s">
        <v>1300</v>
      </c>
      <c r="J796" s="92" t="s">
        <v>1517</v>
      </c>
      <c r="K796" s="178" t="s">
        <v>75</v>
      </c>
      <c r="L796" s="181" t="s">
        <v>302</v>
      </c>
      <c r="M796" s="220">
        <v>40000</v>
      </c>
      <c r="N796" s="189">
        <v>40000</v>
      </c>
    </row>
    <row r="797" spans="2:14" ht="15" customHeight="1" x14ac:dyDescent="0.2">
      <c r="B797" s="54" t="s">
        <v>1514</v>
      </c>
      <c r="C797" s="301">
        <v>41635</v>
      </c>
      <c r="D797" s="60" t="s">
        <v>411</v>
      </c>
      <c r="E797" s="60" t="s">
        <v>173</v>
      </c>
      <c r="F797" s="526" t="s">
        <v>1515</v>
      </c>
      <c r="G797" s="54" t="s">
        <v>1511</v>
      </c>
      <c r="H797" s="60" t="s">
        <v>1516</v>
      </c>
      <c r="I797" s="223" t="s">
        <v>1371</v>
      </c>
      <c r="J797" s="92" t="s">
        <v>1517</v>
      </c>
      <c r="K797" s="178" t="s">
        <v>75</v>
      </c>
      <c r="L797" s="181" t="s">
        <v>302</v>
      </c>
      <c r="M797" s="220">
        <v>40000</v>
      </c>
      <c r="N797" s="189">
        <v>40000</v>
      </c>
    </row>
    <row r="798" spans="2:14" x14ac:dyDescent="0.2">
      <c r="B798" s="60"/>
      <c r="C798" s="186"/>
      <c r="D798" s="60"/>
      <c r="E798" s="60"/>
      <c r="F798" s="516"/>
      <c r="G798" s="54"/>
      <c r="H798" s="54"/>
      <c r="I798" s="223"/>
      <c r="J798" s="92"/>
      <c r="K798" s="183"/>
      <c r="L798" s="181"/>
      <c r="M798" s="220"/>
      <c r="N798" s="230"/>
    </row>
    <row r="799" spans="2:14" x14ac:dyDescent="0.2">
      <c r="B799" s="146" t="s">
        <v>1359</v>
      </c>
      <c r="C799" s="186"/>
      <c r="D799" s="60"/>
      <c r="E799" s="60"/>
      <c r="F799" s="516"/>
      <c r="G799" s="54"/>
      <c r="H799" s="54"/>
      <c r="I799" s="223"/>
      <c r="J799" s="92"/>
      <c r="K799" s="183"/>
      <c r="L799" s="181"/>
      <c r="M799" s="220"/>
      <c r="N799" s="23">
        <f>+N800</f>
        <v>16000</v>
      </c>
    </row>
    <row r="800" spans="2:14" ht="25.5" x14ac:dyDescent="0.2">
      <c r="B800" s="54" t="s">
        <v>1518</v>
      </c>
      <c r="C800" s="301">
        <v>41609</v>
      </c>
      <c r="D800" s="60" t="s">
        <v>391</v>
      </c>
      <c r="E800" s="60" t="s">
        <v>173</v>
      </c>
      <c r="F800" s="526" t="s">
        <v>1519</v>
      </c>
      <c r="G800" s="54" t="s">
        <v>1359</v>
      </c>
      <c r="H800" s="54" t="s">
        <v>1361</v>
      </c>
      <c r="I800" s="223" t="s">
        <v>1672</v>
      </c>
      <c r="J800" s="92" t="s">
        <v>162</v>
      </c>
      <c r="K800" s="183" t="s">
        <v>84</v>
      </c>
      <c r="L800" s="181" t="s">
        <v>302</v>
      </c>
      <c r="M800" s="220">
        <v>16000</v>
      </c>
      <c r="N800" s="230">
        <v>16000</v>
      </c>
    </row>
    <row r="801" spans="2:14" x14ac:dyDescent="0.2">
      <c r="B801" s="60"/>
      <c r="C801" s="186"/>
      <c r="D801" s="60"/>
      <c r="E801" s="60"/>
      <c r="F801" s="516"/>
      <c r="G801" s="54"/>
      <c r="H801" s="54"/>
      <c r="I801" s="223"/>
      <c r="J801" s="92"/>
      <c r="K801" s="183"/>
      <c r="L801" s="181"/>
      <c r="M801" s="220"/>
      <c r="N801" s="230"/>
    </row>
    <row r="802" spans="2:14" x14ac:dyDescent="0.2">
      <c r="B802" s="146" t="s">
        <v>621</v>
      </c>
      <c r="C802" s="186"/>
      <c r="D802" s="60"/>
      <c r="E802" s="60"/>
      <c r="F802" s="516"/>
      <c r="G802" s="54"/>
      <c r="H802" s="54"/>
      <c r="I802" s="223"/>
      <c r="J802" s="92"/>
      <c r="K802" s="183"/>
      <c r="L802" s="181"/>
      <c r="M802" s="220"/>
      <c r="N802" s="23">
        <f>+N803</f>
        <v>25000</v>
      </c>
    </row>
    <row r="803" spans="2:14" ht="15" customHeight="1" x14ac:dyDescent="0.2">
      <c r="B803" s="54" t="s">
        <v>1520</v>
      </c>
      <c r="C803" s="301">
        <v>41453</v>
      </c>
      <c r="D803" s="60" t="s">
        <v>411</v>
      </c>
      <c r="E803" s="60" t="s">
        <v>173</v>
      </c>
      <c r="F803" s="513" t="s">
        <v>1521</v>
      </c>
      <c r="G803" s="60" t="s">
        <v>621</v>
      </c>
      <c r="H803" s="54" t="s">
        <v>1522</v>
      </c>
      <c r="I803" s="223" t="s">
        <v>1371</v>
      </c>
      <c r="J803" s="47" t="s">
        <v>60</v>
      </c>
      <c r="K803" s="412" t="s">
        <v>90</v>
      </c>
      <c r="L803" s="181" t="s">
        <v>302</v>
      </c>
      <c r="M803" s="220">
        <v>25000</v>
      </c>
      <c r="N803" s="230">
        <v>25000</v>
      </c>
    </row>
    <row r="804" spans="2:14" x14ac:dyDescent="0.2">
      <c r="B804" s="60"/>
      <c r="C804" s="186"/>
      <c r="D804" s="60"/>
      <c r="E804" s="60"/>
      <c r="F804" s="516"/>
      <c r="G804" s="54"/>
      <c r="H804" s="54"/>
      <c r="I804" s="223"/>
      <c r="J804" s="92"/>
      <c r="K804" s="183"/>
      <c r="L804" s="181"/>
      <c r="M804" s="220"/>
      <c r="N804" s="230"/>
    </row>
    <row r="805" spans="2:14" x14ac:dyDescent="0.2">
      <c r="B805" s="146" t="s">
        <v>340</v>
      </c>
      <c r="C805" s="186"/>
      <c r="D805" s="60"/>
      <c r="E805" s="60"/>
      <c r="F805" s="516"/>
      <c r="G805" s="54"/>
      <c r="H805" s="54"/>
      <c r="I805" s="223"/>
      <c r="J805" s="92"/>
      <c r="K805" s="183"/>
      <c r="L805" s="181"/>
      <c r="M805" s="220"/>
      <c r="N805" s="23">
        <f>SUM(N806:N812)</f>
        <v>155836.32447954</v>
      </c>
    </row>
    <row r="806" spans="2:14" ht="15" customHeight="1" x14ac:dyDescent="0.2">
      <c r="B806" s="54" t="s">
        <v>1528</v>
      </c>
      <c r="C806" s="186">
        <v>41368</v>
      </c>
      <c r="D806" s="60" t="s">
        <v>411</v>
      </c>
      <c r="E806" s="60" t="s">
        <v>1529</v>
      </c>
      <c r="F806" s="516" t="s">
        <v>1530</v>
      </c>
      <c r="G806" s="54" t="s">
        <v>340</v>
      </c>
      <c r="H806" s="54" t="s">
        <v>1329</v>
      </c>
      <c r="I806" s="223" t="s">
        <v>1371</v>
      </c>
      <c r="J806" s="163" t="s">
        <v>84</v>
      </c>
      <c r="K806" s="57" t="s">
        <v>1546</v>
      </c>
      <c r="L806" s="46" t="s">
        <v>302</v>
      </c>
      <c r="M806" s="220">
        <v>45000</v>
      </c>
      <c r="N806" s="189">
        <v>45000</v>
      </c>
    </row>
    <row r="807" spans="2:14" ht="15" customHeight="1" x14ac:dyDescent="0.2">
      <c r="B807" s="54" t="s">
        <v>1523</v>
      </c>
      <c r="C807" s="301">
        <v>41613</v>
      </c>
      <c r="D807" s="60" t="s">
        <v>341</v>
      </c>
      <c r="E807" s="471" t="s">
        <v>1529</v>
      </c>
      <c r="F807" s="526" t="s">
        <v>1531</v>
      </c>
      <c r="G807" s="54" t="s">
        <v>340</v>
      </c>
      <c r="H807" s="60" t="s">
        <v>1329</v>
      </c>
      <c r="I807" s="223" t="s">
        <v>1300</v>
      </c>
      <c r="J807" s="92" t="s">
        <v>80</v>
      </c>
      <c r="K807" s="57" t="s">
        <v>1552</v>
      </c>
      <c r="L807" s="46" t="s">
        <v>302</v>
      </c>
      <c r="M807" s="220">
        <v>30000</v>
      </c>
      <c r="N807" s="189">
        <v>30000</v>
      </c>
    </row>
    <row r="808" spans="2:14" ht="15" customHeight="1" x14ac:dyDescent="0.2">
      <c r="B808" s="54" t="s">
        <v>1524</v>
      </c>
      <c r="C808" s="301">
        <v>41613</v>
      </c>
      <c r="D808" s="60" t="s">
        <v>341</v>
      </c>
      <c r="E808" s="471" t="s">
        <v>1529</v>
      </c>
      <c r="F808" s="526" t="s">
        <v>1285</v>
      </c>
      <c r="G808" s="54" t="s">
        <v>340</v>
      </c>
      <c r="H808" s="60" t="s">
        <v>1329</v>
      </c>
      <c r="I808" s="223" t="s">
        <v>1300</v>
      </c>
      <c r="J808" s="92" t="s">
        <v>80</v>
      </c>
      <c r="K808" s="57" t="s">
        <v>1551</v>
      </c>
      <c r="L808" s="46" t="s">
        <v>302</v>
      </c>
      <c r="M808" s="220">
        <v>25000</v>
      </c>
      <c r="N808" s="189">
        <v>25000</v>
      </c>
    </row>
    <row r="809" spans="2:14" ht="15" customHeight="1" x14ac:dyDescent="0.2">
      <c r="B809" s="54" t="s">
        <v>1525</v>
      </c>
      <c r="C809" s="301">
        <v>41613</v>
      </c>
      <c r="D809" s="60" t="s">
        <v>341</v>
      </c>
      <c r="E809" s="471" t="s">
        <v>1529</v>
      </c>
      <c r="F809" s="526" t="s">
        <v>1532</v>
      </c>
      <c r="G809" s="54" t="s">
        <v>340</v>
      </c>
      <c r="H809" s="60" t="s">
        <v>1329</v>
      </c>
      <c r="I809" s="223" t="s">
        <v>1300</v>
      </c>
      <c r="J809" s="92" t="s">
        <v>80</v>
      </c>
      <c r="K809" s="57" t="s">
        <v>1551</v>
      </c>
      <c r="L809" s="46" t="s">
        <v>302</v>
      </c>
      <c r="M809" s="220">
        <v>25000</v>
      </c>
      <c r="N809" s="189">
        <v>25000</v>
      </c>
    </row>
    <row r="810" spans="2:14" ht="15" customHeight="1" x14ac:dyDescent="0.2">
      <c r="B810" s="54" t="s">
        <v>1526</v>
      </c>
      <c r="C810" s="301">
        <v>41620</v>
      </c>
      <c r="D810" s="60" t="s">
        <v>341</v>
      </c>
      <c r="E810" s="471" t="s">
        <v>1529</v>
      </c>
      <c r="F810" s="526" t="s">
        <v>1533</v>
      </c>
      <c r="G810" s="54" t="s">
        <v>340</v>
      </c>
      <c r="H810" s="60" t="s">
        <v>1534</v>
      </c>
      <c r="I810" s="223" t="s">
        <v>1300</v>
      </c>
      <c r="J810" s="92" t="s">
        <v>255</v>
      </c>
      <c r="K810" s="57" t="s">
        <v>1550</v>
      </c>
      <c r="L810" s="46" t="s">
        <v>302</v>
      </c>
      <c r="M810" s="220">
        <v>10000</v>
      </c>
      <c r="N810" s="189">
        <v>10000</v>
      </c>
    </row>
    <row r="811" spans="2:14" ht="15" customHeight="1" x14ac:dyDescent="0.2">
      <c r="B811" s="54" t="s">
        <v>1527</v>
      </c>
      <c r="C811" s="301">
        <v>41635</v>
      </c>
      <c r="D811" s="60" t="s">
        <v>878</v>
      </c>
      <c r="E811" s="60" t="s">
        <v>93</v>
      </c>
      <c r="F811" s="526" t="s">
        <v>1827</v>
      </c>
      <c r="G811" s="54" t="s">
        <v>340</v>
      </c>
      <c r="H811" s="60" t="s">
        <v>1329</v>
      </c>
      <c r="I811" s="46" t="s">
        <v>1543</v>
      </c>
      <c r="J811" s="92" t="s">
        <v>84</v>
      </c>
      <c r="K811" s="163" t="s">
        <v>256</v>
      </c>
      <c r="L811" s="46" t="s">
        <v>1084</v>
      </c>
      <c r="M811" s="220">
        <v>15000</v>
      </c>
      <c r="N811" s="230">
        <f>20836324.47954/1000</f>
        <v>20836.324479540002</v>
      </c>
    </row>
    <row r="812" spans="2:14" x14ac:dyDescent="0.2">
      <c r="B812" s="60"/>
      <c r="C812" s="186"/>
      <c r="D812" s="60"/>
      <c r="E812" s="60"/>
      <c r="F812" s="516"/>
      <c r="G812" s="54"/>
      <c r="H812" s="54"/>
      <c r="I812" s="223"/>
      <c r="J812" s="92"/>
      <c r="K812" s="47"/>
      <c r="L812" s="46"/>
      <c r="M812" s="220"/>
      <c r="N812" s="230"/>
    </row>
    <row r="813" spans="2:14" x14ac:dyDescent="0.2">
      <c r="B813" s="146" t="s">
        <v>381</v>
      </c>
      <c r="C813" s="186"/>
      <c r="D813" s="60"/>
      <c r="E813" s="60"/>
      <c r="F813" s="516"/>
      <c r="G813" s="54"/>
      <c r="H813" s="54"/>
      <c r="I813" s="223"/>
      <c r="J813" s="92"/>
      <c r="K813" s="47"/>
      <c r="L813" s="46"/>
      <c r="M813" s="220"/>
      <c r="N813" s="23">
        <f>+N814</f>
        <v>48660</v>
      </c>
    </row>
    <row r="814" spans="2:14" ht="38.25" x14ac:dyDescent="0.2">
      <c r="B814" s="349" t="s">
        <v>1535</v>
      </c>
      <c r="C814" s="411">
        <v>41635</v>
      </c>
      <c r="D814" s="217" t="s">
        <v>878</v>
      </c>
      <c r="E814" s="217" t="s">
        <v>93</v>
      </c>
      <c r="F814" s="526" t="s">
        <v>1536</v>
      </c>
      <c r="G814" s="413" t="s">
        <v>381</v>
      </c>
      <c r="H814" s="413" t="s">
        <v>382</v>
      </c>
      <c r="I814" s="323" t="s">
        <v>1543</v>
      </c>
      <c r="J814" s="414" t="s">
        <v>84</v>
      </c>
      <c r="K814" s="415" t="s">
        <v>156</v>
      </c>
      <c r="L814" s="323" t="s">
        <v>302</v>
      </c>
      <c r="M814" s="416">
        <v>48660</v>
      </c>
      <c r="N814" s="375">
        <v>48660</v>
      </c>
    </row>
    <row r="815" spans="2:14" x14ac:dyDescent="0.2">
      <c r="B815" s="60"/>
      <c r="C815" s="186"/>
      <c r="D815" s="60"/>
      <c r="E815" s="60"/>
      <c r="F815" s="516"/>
      <c r="G815" s="54"/>
      <c r="H815" s="54"/>
      <c r="I815" s="223"/>
      <c r="J815" s="92"/>
      <c r="K815" s="47"/>
      <c r="L815" s="46"/>
      <c r="M815" s="220"/>
      <c r="N815" s="230"/>
    </row>
    <row r="816" spans="2:14" x14ac:dyDescent="0.2">
      <c r="B816" s="146" t="s">
        <v>960</v>
      </c>
      <c r="C816" s="186"/>
      <c r="D816" s="60"/>
      <c r="E816" s="60"/>
      <c r="F816" s="516"/>
      <c r="G816" s="54"/>
      <c r="H816" s="54"/>
      <c r="I816" s="223"/>
      <c r="J816" s="92"/>
      <c r="K816" s="47"/>
      <c r="L816" s="46"/>
      <c r="M816" s="220"/>
      <c r="N816" s="23">
        <f>+N817</f>
        <v>20000</v>
      </c>
    </row>
    <row r="817" spans="2:14" ht="25.5" x14ac:dyDescent="0.2">
      <c r="B817" s="349" t="s">
        <v>1537</v>
      </c>
      <c r="C817" s="411">
        <v>41577</v>
      </c>
      <c r="D817" s="217" t="s">
        <v>341</v>
      </c>
      <c r="E817" s="471" t="s">
        <v>1529</v>
      </c>
      <c r="F817" s="526" t="s">
        <v>1538</v>
      </c>
      <c r="G817" s="217" t="s">
        <v>129</v>
      </c>
      <c r="H817" s="349" t="s">
        <v>129</v>
      </c>
      <c r="I817" s="323" t="s">
        <v>1300</v>
      </c>
      <c r="J817" s="341" t="s">
        <v>255</v>
      </c>
      <c r="K817" s="374" t="s">
        <v>1554</v>
      </c>
      <c r="L817" s="324" t="s">
        <v>302</v>
      </c>
      <c r="M817" s="329">
        <v>20000</v>
      </c>
      <c r="N817" s="49">
        <v>20000</v>
      </c>
    </row>
    <row r="818" spans="2:14" x14ac:dyDescent="0.2">
      <c r="B818" s="60"/>
      <c r="C818" s="186"/>
      <c r="D818" s="60"/>
      <c r="E818" s="60"/>
      <c r="F818" s="516"/>
      <c r="G818" s="54"/>
      <c r="H818" s="54"/>
      <c r="I818" s="223"/>
      <c r="J818" s="92"/>
      <c r="K818" s="47"/>
      <c r="L818" s="46"/>
      <c r="M818" s="220"/>
      <c r="N818" s="230"/>
    </row>
    <row r="819" spans="2:14" x14ac:dyDescent="0.2">
      <c r="B819" s="146" t="s">
        <v>1539</v>
      </c>
      <c r="C819" s="186"/>
      <c r="D819" s="60"/>
      <c r="E819" s="60"/>
      <c r="F819" s="516"/>
      <c r="G819" s="54"/>
      <c r="H819" s="54"/>
      <c r="I819" s="223"/>
      <c r="J819" s="92"/>
      <c r="K819" s="47"/>
      <c r="L819" s="46"/>
      <c r="M819" s="220"/>
      <c r="N819" s="23">
        <f>+N820</f>
        <v>13890.88298636</v>
      </c>
    </row>
    <row r="820" spans="2:14" ht="15" customHeight="1" x14ac:dyDescent="0.2">
      <c r="B820" s="54" t="s">
        <v>1540</v>
      </c>
      <c r="C820" s="301">
        <v>41635</v>
      </c>
      <c r="D820" s="60" t="s">
        <v>878</v>
      </c>
      <c r="E820" s="60" t="s">
        <v>93</v>
      </c>
      <c r="F820" s="526" t="s">
        <v>1828</v>
      </c>
      <c r="G820" s="54" t="s">
        <v>1539</v>
      </c>
      <c r="H820" s="60" t="s">
        <v>1541</v>
      </c>
      <c r="I820" s="417">
        <v>0.02</v>
      </c>
      <c r="J820" s="92" t="s">
        <v>91</v>
      </c>
      <c r="K820" s="47" t="s">
        <v>1542</v>
      </c>
      <c r="L820" s="46" t="s">
        <v>1084</v>
      </c>
      <c r="M820" s="220">
        <v>10000</v>
      </c>
      <c r="N820" s="230">
        <f>13890882.98636/1000</f>
        <v>13890.88298636</v>
      </c>
    </row>
    <row r="821" spans="2:14" ht="13.5" thickBot="1" x14ac:dyDescent="0.25">
      <c r="B821" s="202"/>
      <c r="C821" s="200"/>
      <c r="D821" s="202"/>
      <c r="E821" s="202"/>
      <c r="F821" s="525"/>
      <c r="G821" s="137"/>
      <c r="H821" s="137"/>
      <c r="I821" s="456"/>
      <c r="J821" s="131"/>
      <c r="K821" s="204"/>
      <c r="L821" s="199"/>
      <c r="M821" s="284"/>
      <c r="N821" s="285"/>
    </row>
    <row r="822" spans="2:14" ht="18.75" thickTop="1" x14ac:dyDescent="0.25">
      <c r="B822" s="28">
        <v>2014</v>
      </c>
      <c r="C822" s="186"/>
      <c r="D822" s="60"/>
      <c r="E822" s="60"/>
      <c r="F822" s="516"/>
      <c r="G822" s="54"/>
      <c r="H822" s="54"/>
      <c r="I822" s="223"/>
      <c r="J822" s="92"/>
      <c r="K822" s="183"/>
      <c r="L822" s="46"/>
      <c r="M822" s="220"/>
      <c r="N822" s="248">
        <f>+N824+N837+N840+N843+N847+N829</f>
        <v>1080412.27763826</v>
      </c>
    </row>
    <row r="823" spans="2:14" ht="18" x14ac:dyDescent="0.25">
      <c r="B823" s="28"/>
      <c r="C823" s="186"/>
      <c r="D823" s="60"/>
      <c r="E823" s="60"/>
      <c r="F823" s="516"/>
      <c r="G823" s="54"/>
      <c r="H823" s="54"/>
      <c r="I823" s="223"/>
      <c r="J823" s="92"/>
      <c r="K823" s="183"/>
      <c r="L823" s="46"/>
      <c r="M823" s="220"/>
      <c r="N823" s="230"/>
    </row>
    <row r="824" spans="2:14" x14ac:dyDescent="0.2">
      <c r="B824" s="146" t="s">
        <v>296</v>
      </c>
      <c r="C824" s="186"/>
      <c r="D824" s="60"/>
      <c r="E824" s="60"/>
      <c r="F824" s="516"/>
      <c r="G824" s="54"/>
      <c r="H824" s="54"/>
      <c r="I824" s="223"/>
      <c r="J824" s="92"/>
      <c r="K824" s="183"/>
      <c r="L824" s="46"/>
      <c r="M824" s="220"/>
      <c r="N824" s="23">
        <f>SUM(N825:N827)</f>
        <v>77868.852458000008</v>
      </c>
    </row>
    <row r="825" spans="2:14" ht="15" customHeight="1" x14ac:dyDescent="0.2">
      <c r="B825" s="54" t="s">
        <v>1558</v>
      </c>
      <c r="C825" s="301">
        <v>41948</v>
      </c>
      <c r="D825" s="54" t="s">
        <v>341</v>
      </c>
      <c r="E825" s="472" t="s">
        <v>1529</v>
      </c>
      <c r="F825" s="526" t="s">
        <v>1576</v>
      </c>
      <c r="G825" s="54" t="s">
        <v>1511</v>
      </c>
      <c r="H825" s="92" t="s">
        <v>1352</v>
      </c>
      <c r="I825" s="302" t="s">
        <v>1592</v>
      </c>
      <c r="J825" s="92" t="s">
        <v>255</v>
      </c>
      <c r="K825" s="178" t="s">
        <v>1342</v>
      </c>
      <c r="L825" s="55" t="s">
        <v>302</v>
      </c>
      <c r="M825" s="142">
        <v>15000</v>
      </c>
      <c r="N825" s="143">
        <v>15000</v>
      </c>
    </row>
    <row r="826" spans="2:14" ht="15" customHeight="1" x14ac:dyDescent="0.2">
      <c r="B826" s="54" t="s">
        <v>1560</v>
      </c>
      <c r="C826" s="301">
        <v>41948</v>
      </c>
      <c r="D826" s="54" t="s">
        <v>215</v>
      </c>
      <c r="E826" s="472" t="s">
        <v>93</v>
      </c>
      <c r="F826" s="526" t="s">
        <v>1577</v>
      </c>
      <c r="G826" s="54" t="s">
        <v>1511</v>
      </c>
      <c r="H826" s="92" t="s">
        <v>1589</v>
      </c>
      <c r="I826" s="418" t="s">
        <v>1598</v>
      </c>
      <c r="J826" s="92" t="s">
        <v>80</v>
      </c>
      <c r="K826" s="117" t="s">
        <v>58</v>
      </c>
      <c r="L826" s="55" t="s">
        <v>366</v>
      </c>
      <c r="M826" s="142">
        <v>2480000</v>
      </c>
      <c r="N826" s="143">
        <f>22868852.458/1000</f>
        <v>22868.852458000001</v>
      </c>
    </row>
    <row r="827" spans="2:14" ht="25.5" x14ac:dyDescent="0.2">
      <c r="B827" s="349" t="s">
        <v>1568</v>
      </c>
      <c r="C827" s="411">
        <v>42000</v>
      </c>
      <c r="D827" s="349" t="s">
        <v>341</v>
      </c>
      <c r="E827" s="473" t="s">
        <v>1529</v>
      </c>
      <c r="F827" s="526" t="s">
        <v>1583</v>
      </c>
      <c r="G827" s="349" t="s">
        <v>1511</v>
      </c>
      <c r="H827" s="341" t="s">
        <v>1591</v>
      </c>
      <c r="I827" s="302" t="s">
        <v>1592</v>
      </c>
      <c r="J827" s="419" t="s">
        <v>1600</v>
      </c>
      <c r="K827" s="420" t="s">
        <v>1601</v>
      </c>
      <c r="L827" s="352" t="s">
        <v>302</v>
      </c>
      <c r="M827" s="345">
        <v>40000</v>
      </c>
      <c r="N827" s="373">
        <v>40000</v>
      </c>
    </row>
    <row r="828" spans="2:14" x14ac:dyDescent="0.2">
      <c r="B828" s="54"/>
      <c r="C828" s="301"/>
      <c r="D828" s="54"/>
      <c r="E828" s="472"/>
      <c r="F828" s="526"/>
      <c r="G828" s="54"/>
      <c r="H828" s="92"/>
      <c r="I828" s="302"/>
      <c r="J828" s="92"/>
      <c r="K828" s="178"/>
      <c r="L828" s="55"/>
      <c r="M828" s="142"/>
      <c r="N828" s="143"/>
    </row>
    <row r="829" spans="2:14" x14ac:dyDescent="0.2">
      <c r="B829" s="146" t="s">
        <v>340</v>
      </c>
      <c r="C829" s="301"/>
      <c r="D829" s="54"/>
      <c r="E829" s="472"/>
      <c r="F829" s="526"/>
      <c r="G829" s="54"/>
      <c r="H829" s="92"/>
      <c r="I829" s="302"/>
      <c r="J829" s="92"/>
      <c r="K829" s="178"/>
      <c r="L829" s="55"/>
      <c r="M829" s="142"/>
      <c r="N829" s="23">
        <f>SUM(N830:N835)</f>
        <v>128510.63829785999</v>
      </c>
    </row>
    <row r="830" spans="2:14" ht="15" customHeight="1" x14ac:dyDescent="0.2">
      <c r="B830" s="54" t="s">
        <v>1570</v>
      </c>
      <c r="C830" s="301">
        <v>41843</v>
      </c>
      <c r="D830" s="54" t="s">
        <v>341</v>
      </c>
      <c r="E830" s="472" t="s">
        <v>1529</v>
      </c>
      <c r="F830" s="526" t="s">
        <v>1573</v>
      </c>
      <c r="G830" s="54" t="s">
        <v>340</v>
      </c>
      <c r="H830" s="92" t="s">
        <v>1585</v>
      </c>
      <c r="I830" s="302" t="s">
        <v>1592</v>
      </c>
      <c r="J830" s="92" t="s">
        <v>80</v>
      </c>
      <c r="K830" s="178" t="s">
        <v>75</v>
      </c>
      <c r="L830" s="55" t="s">
        <v>302</v>
      </c>
      <c r="M830" s="142">
        <v>15000</v>
      </c>
      <c r="N830" s="143">
        <v>15000</v>
      </c>
    </row>
    <row r="831" spans="2:14" ht="15" customHeight="1" x14ac:dyDescent="0.2">
      <c r="B831" s="54" t="s">
        <v>1561</v>
      </c>
      <c r="C831" s="301">
        <v>41971</v>
      </c>
      <c r="D831" s="54" t="s">
        <v>341</v>
      </c>
      <c r="E831" s="472" t="s">
        <v>1529</v>
      </c>
      <c r="F831" s="526" t="s">
        <v>1578</v>
      </c>
      <c r="G831" s="54" t="s">
        <v>340</v>
      </c>
      <c r="H831" s="92" t="s">
        <v>1587</v>
      </c>
      <c r="I831" s="302" t="s">
        <v>1592</v>
      </c>
      <c r="J831" s="92" t="s">
        <v>80</v>
      </c>
      <c r="K831" s="178" t="s">
        <v>75</v>
      </c>
      <c r="L831" s="55" t="s">
        <v>302</v>
      </c>
      <c r="M831" s="142">
        <v>25000</v>
      </c>
      <c r="N831" s="143">
        <v>25000</v>
      </c>
    </row>
    <row r="832" spans="2:14" ht="15" customHeight="1" x14ac:dyDescent="0.2">
      <c r="B832" s="54" t="s">
        <v>1562</v>
      </c>
      <c r="C832" s="301">
        <v>41971</v>
      </c>
      <c r="D832" s="54" t="s">
        <v>341</v>
      </c>
      <c r="E832" s="472" t="s">
        <v>1529</v>
      </c>
      <c r="F832" s="526" t="s">
        <v>1579</v>
      </c>
      <c r="G832" s="54" t="s">
        <v>340</v>
      </c>
      <c r="H832" s="92" t="s">
        <v>1587</v>
      </c>
      <c r="I832" s="302" t="s">
        <v>1592</v>
      </c>
      <c r="J832" s="92" t="s">
        <v>80</v>
      </c>
      <c r="K832" s="178" t="s">
        <v>75</v>
      </c>
      <c r="L832" s="55" t="s">
        <v>302</v>
      </c>
      <c r="M832" s="142">
        <v>25000</v>
      </c>
      <c r="N832" s="143">
        <v>25000</v>
      </c>
    </row>
    <row r="833" spans="2:14" ht="15" customHeight="1" x14ac:dyDescent="0.2">
      <c r="B833" s="54" t="s">
        <v>1563</v>
      </c>
      <c r="C833" s="301">
        <v>41991</v>
      </c>
      <c r="D833" s="54" t="s">
        <v>628</v>
      </c>
      <c r="E833" s="472" t="s">
        <v>93</v>
      </c>
      <c r="F833" s="526" t="s">
        <v>1580</v>
      </c>
      <c r="G833" s="54" t="s">
        <v>340</v>
      </c>
      <c r="H833" s="92" t="s">
        <v>1587</v>
      </c>
      <c r="I833" s="421" t="s">
        <v>241</v>
      </c>
      <c r="J833" s="92" t="s">
        <v>84</v>
      </c>
      <c r="K833" s="178" t="s">
        <v>117</v>
      </c>
      <c r="L833" s="55" t="s">
        <v>1596</v>
      </c>
      <c r="M833" s="142">
        <v>15000</v>
      </c>
      <c r="N833" s="143">
        <f>19255319.14893/1000</f>
        <v>19255.319148929997</v>
      </c>
    </row>
    <row r="834" spans="2:14" ht="15" customHeight="1" x14ac:dyDescent="0.2">
      <c r="B834" s="54" t="s">
        <v>1564</v>
      </c>
      <c r="C834" s="301">
        <v>41991</v>
      </c>
      <c r="D834" s="54" t="s">
        <v>628</v>
      </c>
      <c r="E834" s="472" t="s">
        <v>93</v>
      </c>
      <c r="F834" s="526" t="s">
        <v>1581</v>
      </c>
      <c r="G834" s="54" t="s">
        <v>340</v>
      </c>
      <c r="H834" s="92" t="s">
        <v>1587</v>
      </c>
      <c r="I834" s="421" t="s">
        <v>241</v>
      </c>
      <c r="J834" s="92" t="s">
        <v>84</v>
      </c>
      <c r="K834" s="178" t="s">
        <v>117</v>
      </c>
      <c r="L834" s="55" t="s">
        <v>1596</v>
      </c>
      <c r="M834" s="142">
        <v>15000</v>
      </c>
      <c r="N834" s="143">
        <f>19255319.14893/1000</f>
        <v>19255.319148929997</v>
      </c>
    </row>
    <row r="835" spans="2:14" ht="15" customHeight="1" x14ac:dyDescent="0.2">
      <c r="B835" s="54" t="s">
        <v>1557</v>
      </c>
      <c r="C835" s="301">
        <v>41937</v>
      </c>
      <c r="D835" s="60" t="s">
        <v>341</v>
      </c>
      <c r="E835" s="471" t="s">
        <v>1529</v>
      </c>
      <c r="F835" s="526" t="s">
        <v>1575</v>
      </c>
      <c r="G835" s="54" t="s">
        <v>340</v>
      </c>
      <c r="H835" s="92" t="s">
        <v>1587</v>
      </c>
      <c r="I835" s="223" t="s">
        <v>1592</v>
      </c>
      <c r="J835" s="92" t="s">
        <v>80</v>
      </c>
      <c r="K835" s="183" t="s">
        <v>75</v>
      </c>
      <c r="L835" s="46" t="s">
        <v>302</v>
      </c>
      <c r="M835" s="220">
        <v>25000</v>
      </c>
      <c r="N835" s="230">
        <v>25000</v>
      </c>
    </row>
    <row r="836" spans="2:14" x14ac:dyDescent="0.2">
      <c r="B836" s="54"/>
      <c r="C836" s="301"/>
      <c r="D836" s="54"/>
      <c r="E836" s="472"/>
      <c r="F836" s="526"/>
      <c r="G836" s="54"/>
      <c r="H836" s="92"/>
      <c r="I836" s="302"/>
      <c r="J836" s="92"/>
      <c r="K836" s="178"/>
      <c r="L836" s="55"/>
      <c r="M836" s="142"/>
      <c r="N836" s="143"/>
    </row>
    <row r="837" spans="2:14" x14ac:dyDescent="0.2">
      <c r="B837" s="102" t="s">
        <v>353</v>
      </c>
      <c r="C837" s="301"/>
      <c r="D837" s="54"/>
      <c r="E837" s="472"/>
      <c r="F837" s="526"/>
      <c r="G837" s="54"/>
      <c r="H837" s="92"/>
      <c r="I837" s="302"/>
      <c r="J837" s="92"/>
      <c r="K837" s="178"/>
      <c r="L837" s="55"/>
      <c r="M837" s="142"/>
      <c r="N837" s="23">
        <f>+N838</f>
        <v>64032.786882399996</v>
      </c>
    </row>
    <row r="838" spans="2:14" ht="15" customHeight="1" x14ac:dyDescent="0.2">
      <c r="B838" s="54" t="s">
        <v>1559</v>
      </c>
      <c r="C838" s="301">
        <v>41948</v>
      </c>
      <c r="D838" s="60" t="s">
        <v>215</v>
      </c>
      <c r="E838" s="471" t="s">
        <v>93</v>
      </c>
      <c r="F838" s="526" t="s">
        <v>1829</v>
      </c>
      <c r="G838" s="54" t="s">
        <v>353</v>
      </c>
      <c r="H838" s="92" t="s">
        <v>1588</v>
      </c>
      <c r="I838" s="418" t="s">
        <v>1598</v>
      </c>
      <c r="J838" s="92" t="s">
        <v>80</v>
      </c>
      <c r="K838" s="117" t="s">
        <v>58</v>
      </c>
      <c r="L838" s="46" t="s">
        <v>366</v>
      </c>
      <c r="M838" s="220">
        <v>6944000</v>
      </c>
      <c r="N838" s="230">
        <f>64032786.8824/1000</f>
        <v>64032.786882399996</v>
      </c>
    </row>
    <row r="839" spans="2:14" x14ac:dyDescent="0.2">
      <c r="B839" s="54"/>
      <c r="C839" s="301"/>
      <c r="D839" s="60"/>
      <c r="E839" s="471"/>
      <c r="F839" s="526"/>
      <c r="G839" s="54"/>
      <c r="H839" s="92"/>
      <c r="I839" s="303"/>
      <c r="J839" s="92"/>
      <c r="K839" s="117"/>
      <c r="L839" s="46"/>
      <c r="M839" s="220"/>
      <c r="N839" s="230"/>
    </row>
    <row r="840" spans="2:14" x14ac:dyDescent="0.2">
      <c r="B840" s="146" t="s">
        <v>381</v>
      </c>
      <c r="C840" s="301"/>
      <c r="D840" s="60"/>
      <c r="E840" s="471"/>
      <c r="F840" s="526"/>
      <c r="G840" s="54"/>
      <c r="H840" s="92"/>
      <c r="I840" s="303"/>
      <c r="J840" s="92"/>
      <c r="K840" s="117"/>
      <c r="L840" s="46"/>
      <c r="M840" s="220"/>
      <c r="N840" s="23">
        <f>+N841</f>
        <v>55000</v>
      </c>
    </row>
    <row r="841" spans="2:14" ht="45" customHeight="1" x14ac:dyDescent="0.2">
      <c r="B841" s="349" t="s">
        <v>1567</v>
      </c>
      <c r="C841" s="411">
        <v>42000</v>
      </c>
      <c r="D841" s="217" t="s">
        <v>411</v>
      </c>
      <c r="E841" s="413" t="s">
        <v>1529</v>
      </c>
      <c r="F841" s="527" t="s">
        <v>1582</v>
      </c>
      <c r="G841" s="349" t="s">
        <v>381</v>
      </c>
      <c r="H841" s="341" t="s">
        <v>382</v>
      </c>
      <c r="I841" s="422" t="s">
        <v>1594</v>
      </c>
      <c r="J841" s="341" t="s">
        <v>84</v>
      </c>
      <c r="K841" s="357" t="s">
        <v>200</v>
      </c>
      <c r="L841" s="324" t="s">
        <v>302</v>
      </c>
      <c r="M841" s="329">
        <v>55000</v>
      </c>
      <c r="N841" s="49">
        <v>55000</v>
      </c>
    </row>
    <row r="842" spans="2:14" x14ac:dyDescent="0.2">
      <c r="B842" s="54"/>
      <c r="C842" s="301"/>
      <c r="D842" s="60"/>
      <c r="E842" s="471"/>
      <c r="F842" s="526"/>
      <c r="G842" s="54"/>
      <c r="H842" s="92"/>
      <c r="I842" s="303"/>
      <c r="J842" s="92"/>
      <c r="K842" s="117"/>
      <c r="L842" s="46"/>
      <c r="M842" s="220"/>
      <c r="N842" s="230"/>
    </row>
    <row r="843" spans="2:14" x14ac:dyDescent="0.2">
      <c r="B843" s="146" t="s">
        <v>305</v>
      </c>
      <c r="C843" s="301"/>
      <c r="D843" s="60"/>
      <c r="E843" s="471"/>
      <c r="F843" s="526"/>
      <c r="G843" s="54"/>
      <c r="H843" s="92"/>
      <c r="I843" s="303"/>
      <c r="J843" s="92"/>
      <c r="K843" s="117"/>
      <c r="L843" s="46"/>
      <c r="M843" s="220"/>
      <c r="N843" s="23">
        <f>SUM(N844:N845)</f>
        <v>450000</v>
      </c>
    </row>
    <row r="844" spans="2:14" ht="30" customHeight="1" x14ac:dyDescent="0.2">
      <c r="B844" s="349" t="s">
        <v>1565</v>
      </c>
      <c r="C844" s="411">
        <v>42000</v>
      </c>
      <c r="D844" s="217" t="s">
        <v>341</v>
      </c>
      <c r="E844" s="413" t="s">
        <v>1529</v>
      </c>
      <c r="F844" s="527" t="s">
        <v>1830</v>
      </c>
      <c r="G844" s="54" t="s">
        <v>305</v>
      </c>
      <c r="H844" s="92" t="s">
        <v>1590</v>
      </c>
      <c r="I844" s="302" t="s">
        <v>1592</v>
      </c>
      <c r="J844" s="423" t="s">
        <v>1604</v>
      </c>
      <c r="K844" s="225" t="s">
        <v>1605</v>
      </c>
      <c r="L844" s="46" t="s">
        <v>302</v>
      </c>
      <c r="M844" s="220">
        <v>300000</v>
      </c>
      <c r="N844" s="230">
        <v>300000</v>
      </c>
    </row>
    <row r="845" spans="2:14" ht="30" customHeight="1" x14ac:dyDescent="0.2">
      <c r="B845" s="349" t="s">
        <v>1566</v>
      </c>
      <c r="C845" s="411">
        <v>42000</v>
      </c>
      <c r="D845" s="217" t="s">
        <v>391</v>
      </c>
      <c r="E845" s="413" t="s">
        <v>1529</v>
      </c>
      <c r="F845" s="527" t="s">
        <v>1830</v>
      </c>
      <c r="G845" s="54" t="s">
        <v>305</v>
      </c>
      <c r="H845" s="92" t="s">
        <v>1590</v>
      </c>
      <c r="I845" s="302" t="s">
        <v>1673</v>
      </c>
      <c r="J845" s="92" t="s">
        <v>60</v>
      </c>
      <c r="K845" s="178" t="s">
        <v>230</v>
      </c>
      <c r="L845" s="46" t="s">
        <v>302</v>
      </c>
      <c r="M845" s="220">
        <v>150000</v>
      </c>
      <c r="N845" s="230">
        <v>150000</v>
      </c>
    </row>
    <row r="846" spans="2:14" ht="18.75" customHeight="1" x14ac:dyDescent="0.2">
      <c r="B846" s="54"/>
      <c r="C846" s="301"/>
      <c r="D846" s="60"/>
      <c r="E846" s="471"/>
      <c r="F846" s="526"/>
      <c r="G846" s="54"/>
      <c r="H846" s="92"/>
      <c r="I846" s="302"/>
      <c r="J846" s="92"/>
      <c r="K846" s="178"/>
      <c r="L846" s="46"/>
      <c r="M846" s="220"/>
      <c r="N846" s="230"/>
    </row>
    <row r="847" spans="2:14" ht="23.25" customHeight="1" x14ac:dyDescent="0.2">
      <c r="B847" s="146" t="s">
        <v>1539</v>
      </c>
      <c r="C847" s="301"/>
      <c r="D847" s="60"/>
      <c r="E847" s="471"/>
      <c r="F847" s="526"/>
      <c r="G847" s="54"/>
      <c r="H847" s="92"/>
      <c r="I847" s="302"/>
      <c r="J847" s="92"/>
      <c r="K847" s="178"/>
      <c r="L847" s="46"/>
      <c r="M847" s="220"/>
      <c r="N847" s="23">
        <f>SUM(N848:N850)</f>
        <v>305000</v>
      </c>
    </row>
    <row r="848" spans="2:14" ht="15" customHeight="1" x14ac:dyDescent="0.2">
      <c r="B848" s="54" t="s">
        <v>1569</v>
      </c>
      <c r="C848" s="301">
        <v>41742</v>
      </c>
      <c r="D848" s="60" t="s">
        <v>391</v>
      </c>
      <c r="E848" s="472" t="s">
        <v>1571</v>
      </c>
      <c r="F848" s="526" t="s">
        <v>1572</v>
      </c>
      <c r="G848" s="54" t="s">
        <v>1595</v>
      </c>
      <c r="H848" s="92" t="s">
        <v>1584</v>
      </c>
      <c r="I848" s="223" t="s">
        <v>1674</v>
      </c>
      <c r="J848" s="92" t="s">
        <v>162</v>
      </c>
      <c r="K848" s="183" t="s">
        <v>177</v>
      </c>
      <c r="L848" s="46" t="s">
        <v>302</v>
      </c>
      <c r="M848" s="220">
        <v>150000</v>
      </c>
      <c r="N848" s="230">
        <v>150000</v>
      </c>
    </row>
    <row r="849" spans="2:14" ht="25.5" x14ac:dyDescent="0.2">
      <c r="B849" s="54" t="s">
        <v>1555</v>
      </c>
      <c r="C849" s="301">
        <v>41843</v>
      </c>
      <c r="D849" s="60" t="s">
        <v>411</v>
      </c>
      <c r="E849" s="472" t="s">
        <v>1571</v>
      </c>
      <c r="F849" s="527" t="s">
        <v>1574</v>
      </c>
      <c r="G849" s="54" t="s">
        <v>1595</v>
      </c>
      <c r="H849" s="92" t="s">
        <v>1586</v>
      </c>
      <c r="I849" s="223" t="s">
        <v>1593</v>
      </c>
      <c r="J849" s="92" t="s">
        <v>79</v>
      </c>
      <c r="K849" s="178" t="s">
        <v>58</v>
      </c>
      <c r="L849" s="46" t="s">
        <v>302</v>
      </c>
      <c r="M849" s="220">
        <v>120000</v>
      </c>
      <c r="N849" s="230">
        <v>120000</v>
      </c>
    </row>
    <row r="850" spans="2:14" ht="37.5" customHeight="1" x14ac:dyDescent="0.2">
      <c r="B850" s="349" t="s">
        <v>1556</v>
      </c>
      <c r="C850" s="411">
        <v>41843</v>
      </c>
      <c r="D850" s="217" t="s">
        <v>411</v>
      </c>
      <c r="E850" s="413" t="s">
        <v>1529</v>
      </c>
      <c r="F850" s="526" t="s">
        <v>1939</v>
      </c>
      <c r="G850" s="54" t="s">
        <v>1595</v>
      </c>
      <c r="H850" s="92" t="s">
        <v>1586</v>
      </c>
      <c r="I850" s="223" t="s">
        <v>1593</v>
      </c>
      <c r="J850" s="92" t="s">
        <v>86</v>
      </c>
      <c r="K850" s="178" t="s">
        <v>75</v>
      </c>
      <c r="L850" s="46" t="s">
        <v>302</v>
      </c>
      <c r="M850" s="220">
        <v>35000</v>
      </c>
      <c r="N850" s="230">
        <v>35000</v>
      </c>
    </row>
    <row r="851" spans="2:14" ht="13.5" thickBot="1" x14ac:dyDescent="0.25">
      <c r="B851" s="457"/>
      <c r="C851" s="458"/>
      <c r="D851" s="315"/>
      <c r="E851" s="474"/>
      <c r="F851" s="528"/>
      <c r="G851" s="137"/>
      <c r="H851" s="459"/>
      <c r="I851" s="460"/>
      <c r="J851" s="459"/>
      <c r="K851" s="461"/>
      <c r="L851" s="199"/>
      <c r="M851" s="284"/>
      <c r="N851" s="285"/>
    </row>
    <row r="852" spans="2:14" ht="18" customHeight="1" thickTop="1" x14ac:dyDescent="0.25">
      <c r="B852" s="28">
        <v>2015</v>
      </c>
      <c r="C852" s="288"/>
      <c r="D852" s="289"/>
      <c r="E852" s="475"/>
      <c r="F852" s="529"/>
      <c r="G852" s="54"/>
      <c r="H852" s="286"/>
      <c r="I852" s="293"/>
      <c r="J852" s="286"/>
      <c r="K852" s="290"/>
      <c r="L852" s="46"/>
      <c r="M852" s="220"/>
      <c r="N852" s="248">
        <f>N854+N859+N862</f>
        <v>1068800.4729530001</v>
      </c>
    </row>
    <row r="853" spans="2:14" x14ac:dyDescent="0.2">
      <c r="B853" s="287"/>
      <c r="C853" s="288"/>
      <c r="D853" s="289"/>
      <c r="E853" s="475"/>
      <c r="F853" s="529"/>
      <c r="G853" s="54"/>
      <c r="H853" s="286"/>
      <c r="I853" s="293"/>
      <c r="J853" s="286"/>
      <c r="K853" s="290"/>
      <c r="L853" s="46"/>
      <c r="M853" s="220"/>
      <c r="N853" s="230"/>
    </row>
    <row r="854" spans="2:14" x14ac:dyDescent="0.2">
      <c r="B854" s="146" t="s">
        <v>340</v>
      </c>
      <c r="C854" s="301"/>
      <c r="D854" s="60"/>
      <c r="E854" s="471"/>
      <c r="F854" s="526"/>
      <c r="G854" s="54"/>
      <c r="H854" s="92"/>
      <c r="I854" s="223"/>
      <c r="J854" s="92"/>
      <c r="K854" s="178"/>
      <c r="L854" s="46"/>
      <c r="M854" s="220"/>
      <c r="N854" s="23">
        <f>SUM(N855:N857)</f>
        <v>644800.47295299999</v>
      </c>
    </row>
    <row r="855" spans="2:14" ht="15" customHeight="1" x14ac:dyDescent="0.2">
      <c r="B855" s="54" t="s">
        <v>1609</v>
      </c>
      <c r="C855" s="304">
        <v>42360</v>
      </c>
      <c r="D855" s="46" t="s">
        <v>628</v>
      </c>
      <c r="E855" s="471" t="s">
        <v>93</v>
      </c>
      <c r="F855" s="511" t="s">
        <v>1610</v>
      </c>
      <c r="G855" s="54" t="s">
        <v>340</v>
      </c>
      <c r="H855" s="92" t="s">
        <v>359</v>
      </c>
      <c r="I855" s="224" t="s">
        <v>1298</v>
      </c>
      <c r="J855" s="92" t="s">
        <v>162</v>
      </c>
      <c r="K855" s="47" t="s">
        <v>177</v>
      </c>
      <c r="L855" s="46" t="s">
        <v>302</v>
      </c>
      <c r="M855" s="220">
        <f>44800472.953/1000</f>
        <v>44800.472953000004</v>
      </c>
      <c r="N855" s="230">
        <f>44800472.953/1000</f>
        <v>44800.472953000004</v>
      </c>
    </row>
    <row r="856" spans="2:14" ht="15" customHeight="1" x14ac:dyDescent="0.2">
      <c r="B856" s="54" t="s">
        <v>1935</v>
      </c>
      <c r="C856" s="304"/>
      <c r="D856" s="55" t="s">
        <v>341</v>
      </c>
      <c r="E856" s="473" t="s">
        <v>1571</v>
      </c>
      <c r="F856" s="511" t="s">
        <v>1937</v>
      </c>
      <c r="G856" s="54" t="s">
        <v>340</v>
      </c>
      <c r="H856" s="92" t="s">
        <v>298</v>
      </c>
      <c r="I856" s="421"/>
      <c r="J856" s="92"/>
      <c r="K856" s="163"/>
      <c r="L856" s="55" t="s">
        <v>302</v>
      </c>
      <c r="M856" s="142">
        <v>300000</v>
      </c>
      <c r="N856" s="143">
        <v>300000</v>
      </c>
    </row>
    <row r="857" spans="2:14" ht="15" customHeight="1" x14ac:dyDescent="0.2">
      <c r="B857" s="54" t="s">
        <v>1936</v>
      </c>
      <c r="C857" s="304"/>
      <c r="D857" s="55" t="s">
        <v>341</v>
      </c>
      <c r="E857" s="473" t="s">
        <v>1571</v>
      </c>
      <c r="F857" s="511" t="s">
        <v>1938</v>
      </c>
      <c r="G857" s="54" t="s">
        <v>340</v>
      </c>
      <c r="H857" s="92" t="s">
        <v>298</v>
      </c>
      <c r="I857" s="421"/>
      <c r="J857" s="92"/>
      <c r="K857" s="163"/>
      <c r="L857" s="55" t="s">
        <v>302</v>
      </c>
      <c r="M857" s="142">
        <v>300000</v>
      </c>
      <c r="N857" s="143">
        <v>300000</v>
      </c>
    </row>
    <row r="858" spans="2:14" x14ac:dyDescent="0.2">
      <c r="B858" s="54"/>
      <c r="C858" s="301"/>
      <c r="D858" s="60"/>
      <c r="E858" s="471"/>
      <c r="F858" s="526"/>
      <c r="G858" s="54"/>
      <c r="H858" s="92"/>
      <c r="I858" s="223"/>
      <c r="J858" s="92"/>
      <c r="K858" s="178"/>
      <c r="L858" s="46"/>
      <c r="M858" s="220"/>
      <c r="N858" s="230"/>
    </row>
    <row r="859" spans="2:14" x14ac:dyDescent="0.2">
      <c r="B859" s="146" t="s">
        <v>381</v>
      </c>
      <c r="C859" s="301"/>
      <c r="D859" s="60"/>
      <c r="E859" s="471"/>
      <c r="F859" s="526"/>
      <c r="G859" s="54"/>
      <c r="H859" s="92"/>
      <c r="I859" s="223"/>
      <c r="J859" s="92"/>
      <c r="K859" s="178"/>
      <c r="L859" s="46"/>
      <c r="M859" s="220"/>
      <c r="N859" s="23">
        <f>+N860</f>
        <v>24000</v>
      </c>
    </row>
    <row r="860" spans="2:14" ht="52.5" customHeight="1" x14ac:dyDescent="0.2">
      <c r="B860" s="349" t="s">
        <v>1611</v>
      </c>
      <c r="C860" s="424">
        <v>42368</v>
      </c>
      <c r="D860" s="324" t="s">
        <v>628</v>
      </c>
      <c r="E860" s="413" t="s">
        <v>93</v>
      </c>
      <c r="F860" s="444" t="s">
        <v>1612</v>
      </c>
      <c r="G860" s="349" t="s">
        <v>381</v>
      </c>
      <c r="H860" s="341" t="s">
        <v>382</v>
      </c>
      <c r="I860" s="330" t="s">
        <v>1298</v>
      </c>
      <c r="J860" s="341" t="s">
        <v>1613</v>
      </c>
      <c r="K860" s="196" t="s">
        <v>91</v>
      </c>
      <c r="L860" s="324" t="s">
        <v>302</v>
      </c>
      <c r="M860" s="329">
        <f>24000000/1000</f>
        <v>24000</v>
      </c>
      <c r="N860" s="49">
        <f>24000000/1000</f>
        <v>24000</v>
      </c>
    </row>
    <row r="861" spans="2:14" x14ac:dyDescent="0.2">
      <c r="B861" s="54"/>
      <c r="C861" s="301"/>
      <c r="D861" s="60"/>
      <c r="E861" s="471"/>
      <c r="F861" s="526"/>
      <c r="G861" s="54"/>
      <c r="H861" s="92"/>
      <c r="I861" s="223"/>
      <c r="J861" s="92"/>
      <c r="K861" s="178"/>
      <c r="L861" s="46"/>
      <c r="M861" s="220"/>
      <c r="N861" s="230"/>
    </row>
    <row r="862" spans="2:14" x14ac:dyDescent="0.2">
      <c r="B862" s="146" t="s">
        <v>305</v>
      </c>
      <c r="C862" s="301"/>
      <c r="D862" s="60"/>
      <c r="E862" s="471"/>
      <c r="F862" s="526"/>
      <c r="G862" s="54"/>
      <c r="H862" s="92"/>
      <c r="I862" s="223"/>
      <c r="J862" s="92"/>
      <c r="K862" s="178"/>
      <c r="L862" s="46"/>
      <c r="M862" s="220"/>
      <c r="N862" s="23">
        <f>SUM(N863:N865)</f>
        <v>400000</v>
      </c>
    </row>
    <row r="863" spans="2:14" ht="38.25" x14ac:dyDescent="0.2">
      <c r="B863" s="349" t="s">
        <v>1614</v>
      </c>
      <c r="C863" s="424">
        <v>42356</v>
      </c>
      <c r="D863" s="324" t="s">
        <v>411</v>
      </c>
      <c r="E863" s="473" t="s">
        <v>1571</v>
      </c>
      <c r="F863" s="511" t="s">
        <v>1616</v>
      </c>
      <c r="G863" s="349" t="s">
        <v>305</v>
      </c>
      <c r="H863" s="371" t="s">
        <v>1618</v>
      </c>
      <c r="I863" s="228" t="s">
        <v>1620</v>
      </c>
      <c r="J863" s="341" t="s">
        <v>84</v>
      </c>
      <c r="K863" s="196" t="s">
        <v>248</v>
      </c>
      <c r="L863" s="324" t="s">
        <v>302</v>
      </c>
      <c r="M863" s="367">
        <f>300000000/1000</f>
        <v>300000</v>
      </c>
      <c r="N863" s="49">
        <v>300000</v>
      </c>
    </row>
    <row r="864" spans="2:14" ht="15" customHeight="1" x14ac:dyDescent="0.2">
      <c r="B864" s="54" t="s">
        <v>1615</v>
      </c>
      <c r="C864" s="304">
        <v>42368</v>
      </c>
      <c r="D864" s="46" t="s">
        <v>341</v>
      </c>
      <c r="E864" s="472" t="s">
        <v>1571</v>
      </c>
      <c r="F864" s="511" t="s">
        <v>1617</v>
      </c>
      <c r="G864" s="54" t="s">
        <v>305</v>
      </c>
      <c r="H864" s="104" t="s">
        <v>1619</v>
      </c>
      <c r="I864" s="228" t="s">
        <v>1621</v>
      </c>
      <c r="J864" s="92" t="s">
        <v>1307</v>
      </c>
      <c r="K864" s="47" t="s">
        <v>1623</v>
      </c>
      <c r="L864" s="46" t="s">
        <v>302</v>
      </c>
      <c r="M864" s="182">
        <f>50000000/1000</f>
        <v>50000</v>
      </c>
      <c r="N864" s="230">
        <v>50000</v>
      </c>
    </row>
    <row r="865" spans="2:14" ht="15" customHeight="1" x14ac:dyDescent="0.2">
      <c r="B865" s="54" t="s">
        <v>1615</v>
      </c>
      <c r="C865" s="304">
        <v>42368</v>
      </c>
      <c r="D865" s="46" t="s">
        <v>411</v>
      </c>
      <c r="E865" s="472" t="s">
        <v>1571</v>
      </c>
      <c r="F865" s="511" t="s">
        <v>1617</v>
      </c>
      <c r="G865" s="54" t="s">
        <v>305</v>
      </c>
      <c r="H865" s="104" t="s">
        <v>1619</v>
      </c>
      <c r="I865" s="228" t="s">
        <v>1622</v>
      </c>
      <c r="J865" s="92" t="s">
        <v>1307</v>
      </c>
      <c r="K865" s="47" t="s">
        <v>1623</v>
      </c>
      <c r="L865" s="46" t="s">
        <v>302</v>
      </c>
      <c r="M865" s="182">
        <f>50000000/1000</f>
        <v>50000</v>
      </c>
      <c r="N865" s="230">
        <v>50000</v>
      </c>
    </row>
    <row r="866" spans="2:14" ht="21" customHeight="1" thickBot="1" x14ac:dyDescent="0.25">
      <c r="B866" s="31"/>
      <c r="C866" s="127"/>
      <c r="D866" s="126"/>
      <c r="E866" s="137"/>
      <c r="F866" s="500"/>
      <c r="G866" s="137"/>
      <c r="H866" s="137"/>
      <c r="I866" s="152"/>
      <c r="J866" s="131"/>
      <c r="K866" s="132"/>
      <c r="L866" s="130"/>
      <c r="M866" s="157"/>
      <c r="N866" s="135"/>
    </row>
    <row r="867" spans="2:14" ht="13.5" thickTop="1" x14ac:dyDescent="0.2">
      <c r="B867" s="287"/>
      <c r="C867" s="288"/>
      <c r="D867" s="289"/>
      <c r="E867" s="475"/>
      <c r="F867" s="529"/>
      <c r="G867" s="54"/>
      <c r="H867" s="286"/>
      <c r="I867" s="293"/>
      <c r="J867" s="286"/>
      <c r="K867" s="290"/>
      <c r="L867" s="46"/>
      <c r="M867" s="220"/>
      <c r="N867" s="230"/>
    </row>
    <row r="868" spans="2:14" ht="18" customHeight="1" x14ac:dyDescent="0.25">
      <c r="B868" s="28">
        <v>2016</v>
      </c>
      <c r="C868" s="288"/>
      <c r="D868" s="289"/>
      <c r="E868" s="475"/>
      <c r="F868" s="529"/>
      <c r="G868" s="54"/>
      <c r="H868" s="286"/>
      <c r="I868" s="293"/>
      <c r="J868" s="286"/>
      <c r="K868" s="290"/>
      <c r="L868" s="46"/>
      <c r="M868" s="220"/>
      <c r="N868" s="248">
        <f>+N873+N876+N879+N883+N886+N889+N892+N896+N870</f>
        <v>2090194.1010401659</v>
      </c>
    </row>
    <row r="869" spans="2:14" ht="21" customHeight="1" x14ac:dyDescent="0.2">
      <c r="B869" s="287"/>
      <c r="C869" s="294"/>
      <c r="D869" s="289"/>
      <c r="E869" s="475"/>
      <c r="F869" s="529"/>
      <c r="G869" s="54"/>
      <c r="H869" s="286"/>
      <c r="I869" s="293"/>
      <c r="J869" s="286"/>
      <c r="K869" s="295"/>
      <c r="L869" s="46"/>
      <c r="M869" s="220"/>
      <c r="N869" s="230"/>
    </row>
    <row r="870" spans="2:14" ht="21" customHeight="1" x14ac:dyDescent="0.2">
      <c r="B870" s="146" t="s">
        <v>1359</v>
      </c>
      <c r="C870" s="304"/>
      <c r="D870" s="60"/>
      <c r="E870" s="471"/>
      <c r="F870" s="526"/>
      <c r="G870" s="54"/>
      <c r="H870" s="92"/>
      <c r="I870" s="223"/>
      <c r="J870" s="92"/>
      <c r="K870" s="163"/>
      <c r="L870" s="46"/>
      <c r="M870" s="220"/>
      <c r="N870" s="23">
        <f>+N871</f>
        <v>40000</v>
      </c>
    </row>
    <row r="871" spans="2:14" ht="28.5" customHeight="1" x14ac:dyDescent="0.2">
      <c r="B871" s="54" t="s">
        <v>1655</v>
      </c>
      <c r="C871" s="304">
        <v>42735</v>
      </c>
      <c r="D871" s="46" t="s">
        <v>411</v>
      </c>
      <c r="E871" s="472" t="s">
        <v>1571</v>
      </c>
      <c r="F871" s="526" t="s">
        <v>1656</v>
      </c>
      <c r="G871" s="54" t="s">
        <v>1359</v>
      </c>
      <c r="H871" s="54" t="s">
        <v>1361</v>
      </c>
      <c r="I871" s="228" t="s">
        <v>1657</v>
      </c>
      <c r="J871" s="92" t="s">
        <v>84</v>
      </c>
      <c r="K871" s="92" t="s">
        <v>1342</v>
      </c>
      <c r="L871" s="46" t="s">
        <v>302</v>
      </c>
      <c r="M871" s="220">
        <v>40000</v>
      </c>
      <c r="N871" s="230">
        <v>40000</v>
      </c>
    </row>
    <row r="872" spans="2:14" ht="21" customHeight="1" x14ac:dyDescent="0.2">
      <c r="B872" s="54"/>
      <c r="C872" s="304"/>
      <c r="D872" s="60"/>
      <c r="E872" s="471"/>
      <c r="F872" s="526"/>
      <c r="G872" s="54"/>
      <c r="H872" s="92"/>
      <c r="I872" s="223"/>
      <c r="J872" s="92"/>
      <c r="K872" s="163"/>
      <c r="L872" s="46"/>
      <c r="M872" s="220"/>
      <c r="N872" s="230"/>
    </row>
    <row r="873" spans="2:14" ht="21" customHeight="1" x14ac:dyDescent="0.2">
      <c r="B873" s="146" t="s">
        <v>296</v>
      </c>
      <c r="C873" s="304"/>
      <c r="D873" s="60"/>
      <c r="E873" s="471"/>
      <c r="F873" s="526"/>
      <c r="G873" s="54"/>
      <c r="H873" s="92"/>
      <c r="I873" s="223"/>
      <c r="J873" s="92"/>
      <c r="K873" s="163"/>
      <c r="L873" s="46"/>
      <c r="M873" s="220"/>
      <c r="N873" s="23">
        <f>+N874</f>
        <v>28980.21</v>
      </c>
    </row>
    <row r="874" spans="2:14" ht="42.75" customHeight="1" x14ac:dyDescent="0.2">
      <c r="B874" s="349" t="s">
        <v>1624</v>
      </c>
      <c r="C874" s="425">
        <v>42621</v>
      </c>
      <c r="D874" s="217" t="s">
        <v>583</v>
      </c>
      <c r="E874" s="473" t="s">
        <v>1571</v>
      </c>
      <c r="F874" s="526" t="s">
        <v>1831</v>
      </c>
      <c r="G874" s="349" t="s">
        <v>296</v>
      </c>
      <c r="H874" s="341" t="s">
        <v>1352</v>
      </c>
      <c r="I874" s="323" t="s">
        <v>1625</v>
      </c>
      <c r="J874" s="341" t="s">
        <v>80</v>
      </c>
      <c r="K874" s="341" t="s">
        <v>1307</v>
      </c>
      <c r="L874" s="324" t="s">
        <v>430</v>
      </c>
      <c r="M874" s="329">
        <f>20650000/1000</f>
        <v>20650</v>
      </c>
      <c r="N874" s="49">
        <f>28980210/1000</f>
        <v>28980.21</v>
      </c>
    </row>
    <row r="875" spans="2:14" ht="15" customHeight="1" x14ac:dyDescent="0.2">
      <c r="B875" s="54"/>
      <c r="C875" s="305"/>
      <c r="D875" s="60"/>
      <c r="E875" s="471"/>
      <c r="F875" s="526"/>
      <c r="G875" s="54"/>
      <c r="H875" s="92"/>
      <c r="I875" s="223"/>
      <c r="J875" s="92"/>
      <c r="K875" s="163"/>
      <c r="L875" s="46"/>
      <c r="M875" s="220"/>
      <c r="N875" s="230"/>
    </row>
    <row r="876" spans="2:14" ht="21" customHeight="1" x14ac:dyDescent="0.2">
      <c r="B876" s="146" t="s">
        <v>340</v>
      </c>
      <c r="C876" s="305"/>
      <c r="D876" s="60"/>
      <c r="E876" s="471"/>
      <c r="F876" s="526"/>
      <c r="G876" s="54"/>
      <c r="H876" s="92"/>
      <c r="I876" s="223"/>
      <c r="J876" s="92"/>
      <c r="K876" s="163"/>
      <c r="L876" s="46"/>
      <c r="M876" s="220"/>
      <c r="N876" s="23">
        <f>+N877</f>
        <v>1285000</v>
      </c>
    </row>
    <row r="877" spans="2:14" ht="15" customHeight="1" x14ac:dyDescent="0.2">
      <c r="B877" s="177" t="s">
        <v>1658</v>
      </c>
      <c r="C877" s="304">
        <v>42344</v>
      </c>
      <c r="D877" s="46" t="s">
        <v>1374</v>
      </c>
      <c r="E877" s="471" t="s">
        <v>1374</v>
      </c>
      <c r="F877" s="526" t="s">
        <v>1626</v>
      </c>
      <c r="G877" s="54" t="s">
        <v>340</v>
      </c>
      <c r="H877" s="92" t="s">
        <v>340</v>
      </c>
      <c r="I877" s="426" t="s">
        <v>1660</v>
      </c>
      <c r="J877" s="369" t="s">
        <v>1135</v>
      </c>
      <c r="K877" s="427" t="s">
        <v>1661</v>
      </c>
      <c r="L877" s="46" t="s">
        <v>302</v>
      </c>
      <c r="M877" s="220">
        <v>1285000</v>
      </c>
      <c r="N877" s="230">
        <v>1285000</v>
      </c>
    </row>
    <row r="878" spans="2:14" ht="14.25" customHeight="1" x14ac:dyDescent="0.2">
      <c r="B878" s="54"/>
      <c r="C878" s="305"/>
      <c r="D878" s="60"/>
      <c r="E878" s="471"/>
      <c r="F878" s="526"/>
      <c r="G878" s="54"/>
      <c r="H878" s="92"/>
      <c r="I878" s="223"/>
      <c r="J878" s="92"/>
      <c r="K878" s="163"/>
      <c r="L878" s="46"/>
      <c r="M878" s="220"/>
      <c r="N878" s="230"/>
    </row>
    <row r="879" spans="2:14" ht="21" customHeight="1" x14ac:dyDescent="0.2">
      <c r="B879" s="146" t="s">
        <v>305</v>
      </c>
      <c r="C879" s="305"/>
      <c r="D879" s="60"/>
      <c r="E879" s="471"/>
      <c r="F879" s="526"/>
      <c r="G879" s="54"/>
      <c r="H879" s="92"/>
      <c r="I879" s="223"/>
      <c r="J879" s="92"/>
      <c r="K879" s="163"/>
      <c r="L879" s="46"/>
      <c r="M879" s="220"/>
      <c r="N879" s="23">
        <f>SUM(N880:N881)</f>
        <v>326596.52908016602</v>
      </c>
    </row>
    <row r="880" spans="2:14" ht="32.25" customHeight="1" x14ac:dyDescent="0.2">
      <c r="B880" s="358" t="s">
        <v>1627</v>
      </c>
      <c r="C880" s="424">
        <v>42621</v>
      </c>
      <c r="D880" s="324" t="s">
        <v>628</v>
      </c>
      <c r="E880" s="413" t="s">
        <v>93</v>
      </c>
      <c r="F880" s="526" t="s">
        <v>1630</v>
      </c>
      <c r="G880" s="54" t="s">
        <v>305</v>
      </c>
      <c r="H880" s="371" t="s">
        <v>1618</v>
      </c>
      <c r="I880" s="372">
        <v>1.47E-2</v>
      </c>
      <c r="J880" s="341" t="s">
        <v>162</v>
      </c>
      <c r="K880" s="341" t="s">
        <v>1307</v>
      </c>
      <c r="L880" s="324" t="s">
        <v>1084</v>
      </c>
      <c r="M880" s="329">
        <f>192270000/1000</f>
        <v>192270</v>
      </c>
      <c r="N880" s="49">
        <f>200000000/1000</f>
        <v>200000</v>
      </c>
    </row>
    <row r="881" spans="2:14" ht="30.75" customHeight="1" x14ac:dyDescent="0.2">
      <c r="B881" s="358" t="s">
        <v>1628</v>
      </c>
      <c r="C881" s="424">
        <v>42732</v>
      </c>
      <c r="D881" s="324" t="s">
        <v>1629</v>
      </c>
      <c r="E881" s="413" t="s">
        <v>93</v>
      </c>
      <c r="F881" s="526" t="s">
        <v>1630</v>
      </c>
      <c r="G881" s="54" t="s">
        <v>305</v>
      </c>
      <c r="H881" s="371" t="s">
        <v>1618</v>
      </c>
      <c r="I881" s="323" t="s">
        <v>1675</v>
      </c>
      <c r="J881" s="341" t="s">
        <v>86</v>
      </c>
      <c r="K881" s="341" t="s">
        <v>177</v>
      </c>
      <c r="L881" s="324" t="s">
        <v>1084</v>
      </c>
      <c r="M881" s="329">
        <f>120483000/1000</f>
        <v>120483</v>
      </c>
      <c r="N881" s="49">
        <f>126596529.080166/1000</f>
        <v>126596.529080166</v>
      </c>
    </row>
    <row r="882" spans="2:14" ht="17.25" customHeight="1" x14ac:dyDescent="0.2">
      <c r="B882" s="177"/>
      <c r="C882" s="304"/>
      <c r="D882" s="46"/>
      <c r="E882" s="471"/>
      <c r="F882" s="526"/>
      <c r="G882" s="54"/>
      <c r="H882" s="104"/>
      <c r="I882" s="223"/>
      <c r="J882" s="92"/>
      <c r="K882" s="92"/>
      <c r="L882" s="46"/>
      <c r="M882" s="220"/>
      <c r="N882" s="230"/>
    </row>
    <row r="883" spans="2:14" ht="24.75" customHeight="1" x14ac:dyDescent="0.2">
      <c r="B883" s="146" t="s">
        <v>125</v>
      </c>
      <c r="C883" s="304"/>
      <c r="D883" s="46"/>
      <c r="E883" s="471"/>
      <c r="F883" s="526"/>
      <c r="G883" s="54"/>
      <c r="H883" s="104"/>
      <c r="I883" s="223"/>
      <c r="J883" s="92"/>
      <c r="K883" s="92"/>
      <c r="L883" s="46"/>
      <c r="M883" s="220"/>
      <c r="N883" s="23">
        <f>+N884</f>
        <v>20000</v>
      </c>
    </row>
    <row r="884" spans="2:14" ht="30" customHeight="1" x14ac:dyDescent="0.2">
      <c r="B884" s="358" t="s">
        <v>1631</v>
      </c>
      <c r="C884" s="424">
        <v>42488</v>
      </c>
      <c r="D884" s="324" t="s">
        <v>341</v>
      </c>
      <c r="E884" s="473" t="s">
        <v>1571</v>
      </c>
      <c r="F884" s="527" t="s">
        <v>1632</v>
      </c>
      <c r="G884" s="349" t="s">
        <v>1633</v>
      </c>
      <c r="H884" s="371" t="s">
        <v>1117</v>
      </c>
      <c r="I884" s="323" t="s">
        <v>1621</v>
      </c>
      <c r="J884" s="341" t="s">
        <v>1634</v>
      </c>
      <c r="K884" s="374" t="s">
        <v>1665</v>
      </c>
      <c r="L884" s="324" t="s">
        <v>302</v>
      </c>
      <c r="M884" s="329">
        <v>20000</v>
      </c>
      <c r="N884" s="49">
        <v>20000</v>
      </c>
    </row>
    <row r="885" spans="2:14" ht="13.5" customHeight="1" x14ac:dyDescent="0.2">
      <c r="B885" s="177"/>
      <c r="C885" s="304"/>
      <c r="D885" s="46"/>
      <c r="E885" s="471"/>
      <c r="F885" s="526"/>
      <c r="G885" s="54"/>
      <c r="H885" s="104"/>
      <c r="I885" s="223"/>
      <c r="J885" s="92"/>
      <c r="K885" s="92"/>
      <c r="L885" s="46"/>
      <c r="M885" s="182"/>
      <c r="N885" s="230"/>
    </row>
    <row r="886" spans="2:14" ht="24.75" customHeight="1" x14ac:dyDescent="0.2">
      <c r="B886" s="146" t="s">
        <v>607</v>
      </c>
      <c r="C886" s="304"/>
      <c r="D886" s="46"/>
      <c r="E886" s="471"/>
      <c r="F886" s="526"/>
      <c r="G886" s="54"/>
      <c r="H886" s="104"/>
      <c r="I886" s="223"/>
      <c r="J886" s="92"/>
      <c r="K886" s="92"/>
      <c r="L886" s="46"/>
      <c r="M886" s="182"/>
      <c r="N886" s="23">
        <f>+N887</f>
        <v>30000</v>
      </c>
    </row>
    <row r="887" spans="2:14" ht="45" customHeight="1" x14ac:dyDescent="0.2">
      <c r="B887" s="358" t="s">
        <v>1635</v>
      </c>
      <c r="C887" s="424">
        <v>42549</v>
      </c>
      <c r="D887" s="324" t="s">
        <v>341</v>
      </c>
      <c r="E887" s="473" t="s">
        <v>1571</v>
      </c>
      <c r="F887" s="527" t="s">
        <v>1636</v>
      </c>
      <c r="G887" s="217" t="s">
        <v>1637</v>
      </c>
      <c r="H887" s="349" t="s">
        <v>1638</v>
      </c>
      <c r="I887" s="323" t="s">
        <v>1621</v>
      </c>
      <c r="J887" s="341" t="s">
        <v>177</v>
      </c>
      <c r="K887" s="374" t="s">
        <v>1667</v>
      </c>
      <c r="L887" s="324" t="s">
        <v>302</v>
      </c>
      <c r="M887" s="329">
        <v>30000</v>
      </c>
      <c r="N887" s="49">
        <v>30000</v>
      </c>
    </row>
    <row r="888" spans="2:14" ht="13.5" customHeight="1" x14ac:dyDescent="0.2">
      <c r="B888" s="177"/>
      <c r="C888" s="304"/>
      <c r="D888" s="46"/>
      <c r="E888" s="471"/>
      <c r="F888" s="526"/>
      <c r="G888" s="54"/>
      <c r="H888" s="104"/>
      <c r="I888" s="223"/>
      <c r="J888" s="92"/>
      <c r="K888" s="92"/>
      <c r="L888" s="46"/>
      <c r="M888" s="220"/>
      <c r="N888" s="230"/>
    </row>
    <row r="889" spans="2:14" ht="24.75" customHeight="1" x14ac:dyDescent="0.2">
      <c r="B889" s="146" t="s">
        <v>20</v>
      </c>
      <c r="C889" s="304"/>
      <c r="D889" s="46"/>
      <c r="E889" s="471"/>
      <c r="F889" s="526"/>
      <c r="G889" s="54"/>
      <c r="H889" s="104"/>
      <c r="I889" s="223"/>
      <c r="J889" s="92"/>
      <c r="K889" s="92"/>
      <c r="L889" s="46"/>
      <c r="M889" s="220"/>
      <c r="N889" s="23">
        <f>+N890</f>
        <v>45000</v>
      </c>
    </row>
    <row r="890" spans="2:14" ht="24.75" customHeight="1" x14ac:dyDescent="0.2">
      <c r="B890" s="358" t="s">
        <v>1639</v>
      </c>
      <c r="C890" s="424">
        <v>42735</v>
      </c>
      <c r="D890" s="324" t="s">
        <v>411</v>
      </c>
      <c r="E890" s="473" t="s">
        <v>1571</v>
      </c>
      <c r="F890" s="526" t="s">
        <v>1640</v>
      </c>
      <c r="G890" s="54" t="s">
        <v>20</v>
      </c>
      <c r="H890" s="371" t="s">
        <v>20</v>
      </c>
      <c r="I890" s="306" t="s">
        <v>1641</v>
      </c>
      <c r="J890" s="341" t="s">
        <v>84</v>
      </c>
      <c r="K890" s="341" t="s">
        <v>1342</v>
      </c>
      <c r="L890" s="324" t="s">
        <v>302</v>
      </c>
      <c r="M890" s="345">
        <v>45000</v>
      </c>
      <c r="N890" s="428">
        <v>45000</v>
      </c>
    </row>
    <row r="891" spans="2:14" ht="24.75" customHeight="1" x14ac:dyDescent="0.2">
      <c r="B891" s="177"/>
      <c r="C891" s="304"/>
      <c r="D891" s="46"/>
      <c r="E891" s="471"/>
      <c r="F891" s="526"/>
      <c r="G891" s="54"/>
      <c r="H891" s="104"/>
      <c r="I891" s="223"/>
      <c r="J891" s="92"/>
      <c r="K891" s="92"/>
      <c r="L891" s="46"/>
      <c r="M891" s="220"/>
      <c r="N891" s="230"/>
    </row>
    <row r="892" spans="2:14" ht="24.75" customHeight="1" x14ac:dyDescent="0.2">
      <c r="B892" s="146" t="s">
        <v>135</v>
      </c>
      <c r="C892" s="304"/>
      <c r="D892" s="46"/>
      <c r="E892" s="471"/>
      <c r="F892" s="526"/>
      <c r="G892" s="54"/>
      <c r="H892" s="104"/>
      <c r="I892" s="223"/>
      <c r="J892" s="92"/>
      <c r="K892" s="92"/>
      <c r="L892" s="46"/>
      <c r="M892" s="220"/>
      <c r="N892" s="23">
        <f>SUM(N893:N894)</f>
        <v>80000</v>
      </c>
    </row>
    <row r="893" spans="2:14" ht="15" customHeight="1" x14ac:dyDescent="0.2">
      <c r="B893" s="177" t="s">
        <v>1642</v>
      </c>
      <c r="C893" s="304">
        <v>42600</v>
      </c>
      <c r="D893" s="46" t="s">
        <v>341</v>
      </c>
      <c r="E893" s="471" t="s">
        <v>1529</v>
      </c>
      <c r="F893" s="526" t="s">
        <v>1644</v>
      </c>
      <c r="G893" s="54" t="s">
        <v>1646</v>
      </c>
      <c r="H893" s="92" t="s">
        <v>1647</v>
      </c>
      <c r="I893" s="223" t="s">
        <v>1621</v>
      </c>
      <c r="J893" s="92" t="s">
        <v>177</v>
      </c>
      <c r="K893" s="57" t="s">
        <v>1670</v>
      </c>
      <c r="L893" s="46" t="s">
        <v>302</v>
      </c>
      <c r="M893" s="220">
        <v>40000</v>
      </c>
      <c r="N893" s="189">
        <v>40000</v>
      </c>
    </row>
    <row r="894" spans="2:14" ht="15" customHeight="1" x14ac:dyDescent="0.2">
      <c r="B894" s="177" t="s">
        <v>1643</v>
      </c>
      <c r="C894" s="304">
        <v>42735</v>
      </c>
      <c r="D894" s="46" t="s">
        <v>411</v>
      </c>
      <c r="E894" s="471" t="s">
        <v>1529</v>
      </c>
      <c r="F894" s="526" t="s">
        <v>1645</v>
      </c>
      <c r="G894" s="54" t="s">
        <v>1646</v>
      </c>
      <c r="H894" s="92" t="s">
        <v>1647</v>
      </c>
      <c r="I894" s="306" t="s">
        <v>1641</v>
      </c>
      <c r="J894" s="92" t="s">
        <v>183</v>
      </c>
      <c r="K894" s="92" t="s">
        <v>86</v>
      </c>
      <c r="L894" s="46" t="s">
        <v>302</v>
      </c>
      <c r="M894" s="220">
        <v>40000</v>
      </c>
      <c r="N894" s="189">
        <v>40000</v>
      </c>
    </row>
    <row r="895" spans="2:14" ht="15" customHeight="1" x14ac:dyDescent="0.2">
      <c r="B895" s="177"/>
      <c r="C895" s="304"/>
      <c r="D895" s="46"/>
      <c r="E895" s="471"/>
      <c r="F895" s="526"/>
      <c r="G895" s="54"/>
      <c r="H895" s="92"/>
      <c r="I895" s="306"/>
      <c r="J895" s="92"/>
      <c r="K895" s="92"/>
      <c r="L895" s="46"/>
      <c r="M895" s="220"/>
      <c r="N895" s="189"/>
    </row>
    <row r="896" spans="2:14" ht="24.75" customHeight="1" x14ac:dyDescent="0.2">
      <c r="B896" s="146" t="s">
        <v>1539</v>
      </c>
      <c r="C896" s="304"/>
      <c r="D896" s="46"/>
      <c r="E896" s="471"/>
      <c r="F896" s="526"/>
      <c r="G896" s="54"/>
      <c r="H896" s="92"/>
      <c r="I896" s="306"/>
      <c r="J896" s="92"/>
      <c r="K896" s="92"/>
      <c r="L896" s="46"/>
      <c r="M896" s="220"/>
      <c r="N896" s="23">
        <f>SUM(N897:N898)</f>
        <v>234617.36195999998</v>
      </c>
    </row>
    <row r="897" spans="2:14" ht="15" customHeight="1" x14ac:dyDescent="0.2">
      <c r="B897" s="177" t="s">
        <v>1648</v>
      </c>
      <c r="C897" s="304">
        <v>42560</v>
      </c>
      <c r="D897" s="46" t="s">
        <v>391</v>
      </c>
      <c r="E897" s="471" t="s">
        <v>1529</v>
      </c>
      <c r="F897" s="526" t="s">
        <v>1650</v>
      </c>
      <c r="G897" s="54" t="s">
        <v>1595</v>
      </c>
      <c r="H897" s="92" t="s">
        <v>1652</v>
      </c>
      <c r="I897" s="306" t="s">
        <v>1676</v>
      </c>
      <c r="J897" s="92" t="s">
        <v>162</v>
      </c>
      <c r="K897" s="92" t="s">
        <v>177</v>
      </c>
      <c r="L897" s="46" t="s">
        <v>302</v>
      </c>
      <c r="M897" s="220">
        <f>153813112/1000</f>
        <v>153813.11199999999</v>
      </c>
      <c r="N897" s="189">
        <f>153813112/1000</f>
        <v>153813.11199999999</v>
      </c>
    </row>
    <row r="898" spans="2:14" ht="45" customHeight="1" x14ac:dyDescent="0.2">
      <c r="B898" s="358" t="s">
        <v>1649</v>
      </c>
      <c r="C898" s="424">
        <v>42719</v>
      </c>
      <c r="D898" s="324" t="s">
        <v>391</v>
      </c>
      <c r="E898" s="413" t="s">
        <v>1529</v>
      </c>
      <c r="F898" s="527" t="s">
        <v>1651</v>
      </c>
      <c r="G898" s="349" t="s">
        <v>1595</v>
      </c>
      <c r="H898" s="341" t="s">
        <v>1653</v>
      </c>
      <c r="I898" s="429" t="s">
        <v>1654</v>
      </c>
      <c r="J898" s="341" t="s">
        <v>84</v>
      </c>
      <c r="K898" s="341" t="s">
        <v>248</v>
      </c>
      <c r="L898" s="324" t="s">
        <v>302</v>
      </c>
      <c r="M898" s="329">
        <f>80804249.96/1000</f>
        <v>80804.249959999986</v>
      </c>
      <c r="N898" s="49">
        <f>80804249.96/1000</f>
        <v>80804.249959999986</v>
      </c>
    </row>
    <row r="899" spans="2:14" ht="12" customHeight="1" thickBot="1" x14ac:dyDescent="0.25">
      <c r="B899" s="179"/>
      <c r="C899" s="307"/>
      <c r="D899" s="199"/>
      <c r="E899" s="476"/>
      <c r="F899" s="530"/>
      <c r="G899" s="137"/>
      <c r="H899" s="131"/>
      <c r="I899" s="308"/>
      <c r="J899" s="131"/>
      <c r="K899" s="131"/>
      <c r="L899" s="199"/>
      <c r="M899" s="284"/>
      <c r="N899" s="285"/>
    </row>
    <row r="900" spans="2:14" ht="13.5" thickTop="1" x14ac:dyDescent="0.2">
      <c r="B900" s="287"/>
      <c r="C900" s="288"/>
      <c r="D900" s="289"/>
      <c r="E900" s="475"/>
      <c r="F900" s="529"/>
      <c r="G900" s="54"/>
      <c r="H900" s="286"/>
      <c r="I900" s="293"/>
      <c r="J900" s="286"/>
      <c r="K900" s="290"/>
      <c r="L900" s="46"/>
      <c r="M900" s="220"/>
      <c r="N900" s="230"/>
    </row>
    <row r="901" spans="2:14" ht="18" customHeight="1" x14ac:dyDescent="0.25">
      <c r="B901" s="28">
        <v>2017</v>
      </c>
      <c r="C901" s="288"/>
      <c r="D901" s="289"/>
      <c r="E901" s="475"/>
      <c r="F901" s="529"/>
      <c r="G901" s="54"/>
      <c r="H901" s="286"/>
      <c r="I901" s="293"/>
      <c r="J901" s="286"/>
      <c r="K901" s="290"/>
      <c r="L901" s="46"/>
      <c r="M901" s="220"/>
      <c r="N901" s="248">
        <f>+N903+N906</f>
        <v>120000</v>
      </c>
    </row>
    <row r="902" spans="2:14" ht="19.5" customHeight="1" x14ac:dyDescent="0.2">
      <c r="B902" s="177"/>
      <c r="C902" s="304"/>
      <c r="D902" s="46"/>
      <c r="E902" s="471"/>
      <c r="F902" s="526"/>
      <c r="G902" s="54"/>
      <c r="H902" s="92"/>
      <c r="I902" s="306"/>
      <c r="J902" s="92"/>
      <c r="K902" s="92"/>
      <c r="L902" s="46"/>
      <c r="M902" s="220"/>
      <c r="N902" s="230"/>
    </row>
    <row r="903" spans="2:14" ht="24" customHeight="1" x14ac:dyDescent="0.2">
      <c r="B903" s="146" t="s">
        <v>296</v>
      </c>
      <c r="C903" s="304"/>
      <c r="D903" s="46"/>
      <c r="E903" s="471"/>
      <c r="F903" s="526"/>
      <c r="G903" s="54"/>
      <c r="H903" s="92"/>
      <c r="I903" s="306"/>
      <c r="J903" s="92"/>
      <c r="K903" s="92"/>
      <c r="L903" s="46"/>
      <c r="M903" s="220"/>
      <c r="N903" s="23">
        <f>SUM(N904:N905)</f>
        <v>40000</v>
      </c>
    </row>
    <row r="904" spans="2:14" ht="15" customHeight="1" x14ac:dyDescent="0.2">
      <c r="B904" s="430" t="s">
        <v>1680</v>
      </c>
      <c r="C904" s="288">
        <v>42962</v>
      </c>
      <c r="D904" s="289" t="s">
        <v>411</v>
      </c>
      <c r="E904" s="471" t="s">
        <v>1529</v>
      </c>
      <c r="F904" s="526" t="s">
        <v>1682</v>
      </c>
      <c r="G904" s="289" t="s">
        <v>296</v>
      </c>
      <c r="H904" s="287" t="s">
        <v>1684</v>
      </c>
      <c r="I904" s="311" t="s">
        <v>1686</v>
      </c>
      <c r="J904" s="312" t="s">
        <v>84</v>
      </c>
      <c r="K904" s="431" t="s">
        <v>1687</v>
      </c>
      <c r="L904" s="46" t="s">
        <v>302</v>
      </c>
      <c r="M904" s="220">
        <v>40000</v>
      </c>
      <c r="N904" s="230">
        <v>40000</v>
      </c>
    </row>
    <row r="905" spans="2:14" ht="21.75" customHeight="1" x14ac:dyDescent="0.2">
      <c r="B905" s="430"/>
      <c r="C905" s="288"/>
      <c r="D905" s="289"/>
      <c r="E905" s="471"/>
      <c r="F905" s="529"/>
      <c r="G905" s="289"/>
      <c r="H905" s="287"/>
      <c r="I905" s="311"/>
      <c r="J905" s="312"/>
      <c r="K905" s="431"/>
      <c r="L905" s="46"/>
      <c r="M905" s="220"/>
      <c r="N905" s="230"/>
    </row>
    <row r="906" spans="2:14" ht="21.75" customHeight="1" x14ac:dyDescent="0.2">
      <c r="B906" s="309" t="s">
        <v>305</v>
      </c>
      <c r="C906" s="288"/>
      <c r="D906" s="289"/>
      <c r="E906" s="471"/>
      <c r="F906" s="529"/>
      <c r="G906" s="289"/>
      <c r="H906" s="287"/>
      <c r="I906" s="311"/>
      <c r="J906" s="312"/>
      <c r="K906" s="431"/>
      <c r="L906" s="46"/>
      <c r="M906" s="220"/>
      <c r="N906" s="23">
        <f>SUM(N907)</f>
        <v>80000</v>
      </c>
    </row>
    <row r="907" spans="2:14" ht="28.5" customHeight="1" x14ac:dyDescent="0.2">
      <c r="B907" s="322" t="s">
        <v>1681</v>
      </c>
      <c r="C907" s="432">
        <v>42963</v>
      </c>
      <c r="D907" s="366" t="s">
        <v>341</v>
      </c>
      <c r="E907" s="413" t="s">
        <v>1529</v>
      </c>
      <c r="F907" s="527" t="s">
        <v>1683</v>
      </c>
      <c r="G907" s="366" t="s">
        <v>305</v>
      </c>
      <c r="H907" s="370" t="s">
        <v>1685</v>
      </c>
      <c r="I907" s="382" t="s">
        <v>1300</v>
      </c>
      <c r="J907" s="383" t="s">
        <v>91</v>
      </c>
      <c r="K907" s="384" t="s">
        <v>1688</v>
      </c>
      <c r="L907" s="324" t="s">
        <v>302</v>
      </c>
      <c r="M907" s="329">
        <v>80000</v>
      </c>
      <c r="N907" s="49">
        <v>80000</v>
      </c>
    </row>
    <row r="908" spans="2:14" ht="17.25" customHeight="1" thickBot="1" x14ac:dyDescent="0.25">
      <c r="B908" s="320"/>
      <c r="C908" s="314"/>
      <c r="D908" s="315"/>
      <c r="E908" s="476"/>
      <c r="F908" s="528"/>
      <c r="G908" s="315"/>
      <c r="H908" s="316"/>
      <c r="I908" s="317"/>
      <c r="J908" s="318"/>
      <c r="K908" s="319"/>
      <c r="L908" s="199"/>
      <c r="M908" s="284"/>
      <c r="N908" s="285"/>
    </row>
    <row r="909" spans="2:14" ht="13.5" thickTop="1" x14ac:dyDescent="0.2">
      <c r="B909" s="287"/>
      <c r="C909" s="288"/>
      <c r="D909" s="289"/>
      <c r="E909" s="475"/>
      <c r="F909" s="529"/>
      <c r="G909" s="54"/>
      <c r="H909" s="286"/>
      <c r="I909" s="293"/>
      <c r="J909" s="286"/>
      <c r="K909" s="290"/>
      <c r="L909" s="46"/>
      <c r="M909" s="220"/>
      <c r="N909" s="230"/>
    </row>
    <row r="910" spans="2:14" ht="18" customHeight="1" x14ac:dyDescent="0.25">
      <c r="B910" s="28">
        <v>2018</v>
      </c>
      <c r="C910" s="288"/>
      <c r="D910" s="289"/>
      <c r="E910" s="475"/>
      <c r="F910" s="529"/>
      <c r="G910" s="54"/>
      <c r="H910" s="286"/>
      <c r="I910" s="293"/>
      <c r="J910" s="286"/>
      <c r="K910" s="290"/>
      <c r="L910" s="46"/>
      <c r="M910" s="220"/>
      <c r="N910" s="248">
        <f>+N912+N919+N925+N928+N931+N935+N940+N916</f>
        <v>1339294.50222882</v>
      </c>
    </row>
    <row r="911" spans="2:14" ht="19.5" customHeight="1" x14ac:dyDescent="0.2">
      <c r="B911" s="321"/>
      <c r="C911" s="288"/>
      <c r="D911" s="289"/>
      <c r="E911" s="471"/>
      <c r="F911" s="531"/>
      <c r="G911" s="289"/>
      <c r="H911" s="310"/>
      <c r="I911" s="311"/>
      <c r="J911" s="312"/>
      <c r="K911" s="313"/>
      <c r="L911" s="46"/>
      <c r="M911" s="220"/>
      <c r="N911" s="230"/>
    </row>
    <row r="912" spans="2:14" ht="28.5" customHeight="1" x14ac:dyDescent="0.2">
      <c r="B912" s="146" t="s">
        <v>1359</v>
      </c>
      <c r="C912" s="288"/>
      <c r="D912" s="289"/>
      <c r="E912" s="471"/>
      <c r="F912" s="531"/>
      <c r="G912" s="289"/>
      <c r="H912" s="310"/>
      <c r="I912" s="311"/>
      <c r="J912" s="312"/>
      <c r="K912" s="313"/>
      <c r="L912" s="46"/>
      <c r="M912" s="220"/>
      <c r="N912" s="23">
        <f>SUM(N913:N914)</f>
        <v>36400</v>
      </c>
    </row>
    <row r="913" spans="2:14" ht="28.5" customHeight="1" x14ac:dyDescent="0.2">
      <c r="B913" s="322" t="s">
        <v>1697</v>
      </c>
      <c r="C913" s="380">
        <v>43372</v>
      </c>
      <c r="D913" s="289" t="s">
        <v>341</v>
      </c>
      <c r="E913" s="471" t="s">
        <v>1529</v>
      </c>
      <c r="F913" s="511" t="s">
        <v>1699</v>
      </c>
      <c r="G913" s="289" t="s">
        <v>1359</v>
      </c>
      <c r="H913" s="366" t="s">
        <v>1361</v>
      </c>
      <c r="I913" s="382" t="s">
        <v>1300</v>
      </c>
      <c r="J913" s="433" t="s">
        <v>1694</v>
      </c>
      <c r="K913" s="384" t="s">
        <v>1703</v>
      </c>
      <c r="L913" s="324" t="s">
        <v>302</v>
      </c>
      <c r="M913" s="329">
        <v>30000</v>
      </c>
      <c r="N913" s="49">
        <v>30000</v>
      </c>
    </row>
    <row r="914" spans="2:14" ht="45" customHeight="1" x14ac:dyDescent="0.2">
      <c r="B914" s="322" t="s">
        <v>1698</v>
      </c>
      <c r="C914" s="380">
        <v>43464</v>
      </c>
      <c r="D914" s="366" t="s">
        <v>411</v>
      </c>
      <c r="E914" s="413" t="s">
        <v>1529</v>
      </c>
      <c r="F914" s="444" t="s">
        <v>1700</v>
      </c>
      <c r="G914" s="289" t="s">
        <v>1359</v>
      </c>
      <c r="H914" s="434" t="s">
        <v>1361</v>
      </c>
      <c r="I914" s="435" t="s">
        <v>1135</v>
      </c>
      <c r="J914" s="436" t="s">
        <v>91</v>
      </c>
      <c r="K914" s="384" t="s">
        <v>1704</v>
      </c>
      <c r="L914" s="324" t="s">
        <v>302</v>
      </c>
      <c r="M914" s="329">
        <v>6400</v>
      </c>
      <c r="N914" s="49">
        <v>6400</v>
      </c>
    </row>
    <row r="915" spans="2:14" ht="22.5" customHeight="1" x14ac:dyDescent="0.2">
      <c r="B915" s="322"/>
      <c r="C915" s="288"/>
      <c r="D915" s="289"/>
      <c r="E915" s="471"/>
      <c r="F915" s="531"/>
      <c r="G915" s="289"/>
      <c r="H915" s="310"/>
      <c r="I915" s="311"/>
      <c r="J915" s="312"/>
      <c r="K915" s="313"/>
      <c r="L915" s="46"/>
      <c r="M915" s="220"/>
      <c r="N915" s="230"/>
    </row>
    <row r="916" spans="2:14" ht="28.5" customHeight="1" x14ac:dyDescent="0.2">
      <c r="B916" s="146" t="s">
        <v>296</v>
      </c>
      <c r="C916" s="288"/>
      <c r="D916" s="289"/>
      <c r="E916" s="471"/>
      <c r="F916" s="531"/>
      <c r="G916" s="289"/>
      <c r="H916" s="310"/>
      <c r="I916" s="311"/>
      <c r="J916" s="312"/>
      <c r="K916" s="313"/>
      <c r="L916" s="46"/>
      <c r="M916" s="220"/>
      <c r="N916" s="23">
        <f>SUM(N917)</f>
        <v>100000</v>
      </c>
    </row>
    <row r="917" spans="2:14" ht="15" customHeight="1" x14ac:dyDescent="0.2">
      <c r="B917" s="322" t="s">
        <v>1691</v>
      </c>
      <c r="C917" s="380">
        <v>43355</v>
      </c>
      <c r="D917" s="289" t="s">
        <v>341</v>
      </c>
      <c r="E917" s="471" t="s">
        <v>1529</v>
      </c>
      <c r="F917" s="511" t="s">
        <v>1692</v>
      </c>
      <c r="G917" s="289" t="s">
        <v>296</v>
      </c>
      <c r="H917" s="366" t="s">
        <v>1693</v>
      </c>
      <c r="I917" s="382" t="s">
        <v>1300</v>
      </c>
      <c r="J917" s="433" t="s">
        <v>1694</v>
      </c>
      <c r="K917" s="384" t="s">
        <v>1696</v>
      </c>
      <c r="L917" s="46" t="s">
        <v>302</v>
      </c>
      <c r="M917" s="220">
        <v>100000</v>
      </c>
      <c r="N917" s="230">
        <v>100000</v>
      </c>
    </row>
    <row r="918" spans="2:14" ht="21.75" customHeight="1" x14ac:dyDescent="0.2">
      <c r="B918" s="321"/>
      <c r="C918" s="288"/>
      <c r="D918" s="289"/>
      <c r="E918" s="471"/>
      <c r="F918" s="531"/>
      <c r="G918" s="289"/>
      <c r="H918" s="310"/>
      <c r="I918" s="311"/>
      <c r="J918" s="312"/>
      <c r="K918" s="313"/>
      <c r="L918" s="46"/>
      <c r="M918" s="220"/>
      <c r="N918" s="230"/>
    </row>
    <row r="919" spans="2:14" ht="28.5" customHeight="1" x14ac:dyDescent="0.2">
      <c r="B919" s="146" t="s">
        <v>340</v>
      </c>
      <c r="C919" s="288"/>
      <c r="D919" s="289"/>
      <c r="E919" s="471"/>
      <c r="F919" s="531"/>
      <c r="G919" s="289"/>
      <c r="H919" s="310"/>
      <c r="I919" s="311"/>
      <c r="J919" s="312"/>
      <c r="K919" s="313"/>
      <c r="L919" s="46"/>
      <c r="M919" s="220"/>
      <c r="N919" s="23">
        <f>SUM(N920:N923)</f>
        <v>437000</v>
      </c>
    </row>
    <row r="920" spans="2:14" ht="38.25" x14ac:dyDescent="0.2">
      <c r="B920" s="322" t="s">
        <v>1705</v>
      </c>
      <c r="C920" s="380">
        <v>43202</v>
      </c>
      <c r="D920" s="366" t="s">
        <v>341</v>
      </c>
      <c r="E920" s="434" t="s">
        <v>1709</v>
      </c>
      <c r="F920" s="511" t="s">
        <v>1710</v>
      </c>
      <c r="G920" s="366" t="s">
        <v>340</v>
      </c>
      <c r="H920" s="370" t="s">
        <v>1711</v>
      </c>
      <c r="I920" s="382" t="s">
        <v>1300</v>
      </c>
      <c r="J920" s="437" t="s">
        <v>248</v>
      </c>
      <c r="K920" s="384" t="s">
        <v>1718</v>
      </c>
      <c r="L920" s="324" t="s">
        <v>302</v>
      </c>
      <c r="M920" s="329">
        <v>65000</v>
      </c>
      <c r="N920" s="49">
        <v>65000</v>
      </c>
    </row>
    <row r="921" spans="2:14" ht="30" customHeight="1" x14ac:dyDescent="0.2">
      <c r="B921" s="322" t="s">
        <v>1706</v>
      </c>
      <c r="C921" s="380">
        <v>43413</v>
      </c>
      <c r="D921" s="366" t="s">
        <v>628</v>
      </c>
      <c r="E921" s="434" t="s">
        <v>93</v>
      </c>
      <c r="F921" s="511" t="s">
        <v>1832</v>
      </c>
      <c r="G921" s="366" t="s">
        <v>340</v>
      </c>
      <c r="H921" s="434" t="s">
        <v>1712</v>
      </c>
      <c r="I921" s="438">
        <v>1.2E-2</v>
      </c>
      <c r="J921" s="382" t="s">
        <v>1342</v>
      </c>
      <c r="K921" s="439" t="s">
        <v>84</v>
      </c>
      <c r="L921" s="324" t="s">
        <v>1084</v>
      </c>
      <c r="M921" s="329">
        <v>19335.560000000001</v>
      </c>
      <c r="N921" s="49">
        <v>22000</v>
      </c>
    </row>
    <row r="922" spans="2:14" ht="30" customHeight="1" x14ac:dyDescent="0.2">
      <c r="B922" s="322" t="s">
        <v>1707</v>
      </c>
      <c r="C922" s="380">
        <v>43458</v>
      </c>
      <c r="D922" s="366" t="s">
        <v>341</v>
      </c>
      <c r="E922" s="434" t="s">
        <v>1709</v>
      </c>
      <c r="F922" s="511" t="s">
        <v>1833</v>
      </c>
      <c r="G922" s="366" t="s">
        <v>340</v>
      </c>
      <c r="H922" s="434" t="s">
        <v>1712</v>
      </c>
      <c r="I922" s="382" t="s">
        <v>1300</v>
      </c>
      <c r="J922" s="433" t="s">
        <v>1713</v>
      </c>
      <c r="K922" s="384" t="s">
        <v>1719</v>
      </c>
      <c r="L922" s="324" t="s">
        <v>302</v>
      </c>
      <c r="M922" s="329">
        <v>100000</v>
      </c>
      <c r="N922" s="49">
        <v>100000</v>
      </c>
    </row>
    <row r="923" spans="2:14" ht="28.5" customHeight="1" x14ac:dyDescent="0.2">
      <c r="B923" s="322" t="s">
        <v>1708</v>
      </c>
      <c r="C923" s="322">
        <v>43465</v>
      </c>
      <c r="D923" s="366" t="s">
        <v>391</v>
      </c>
      <c r="E923" s="434" t="s">
        <v>1709</v>
      </c>
      <c r="F923" s="511" t="s">
        <v>1834</v>
      </c>
      <c r="G923" s="366" t="s">
        <v>340</v>
      </c>
      <c r="H923" s="434" t="s">
        <v>1712</v>
      </c>
      <c r="I923" s="382" t="s">
        <v>1841</v>
      </c>
      <c r="J923" s="382" t="s">
        <v>1714</v>
      </c>
      <c r="K923" s="382" t="s">
        <v>1715</v>
      </c>
      <c r="L923" s="324" t="s">
        <v>302</v>
      </c>
      <c r="M923" s="329">
        <v>250000</v>
      </c>
      <c r="N923" s="49">
        <v>250000</v>
      </c>
    </row>
    <row r="924" spans="2:14" ht="22.5" customHeight="1" x14ac:dyDescent="0.2">
      <c r="B924" s="321"/>
      <c r="C924" s="288"/>
      <c r="D924" s="289"/>
      <c r="E924" s="471"/>
      <c r="F924" s="531"/>
      <c r="G924" s="289"/>
      <c r="H924" s="310"/>
      <c r="I924" s="311"/>
      <c r="J924" s="312"/>
      <c r="K924" s="313"/>
      <c r="L924" s="324"/>
      <c r="M924" s="220"/>
      <c r="N924" s="230"/>
    </row>
    <row r="925" spans="2:14" ht="28.5" customHeight="1" x14ac:dyDescent="0.2">
      <c r="B925" s="146" t="s">
        <v>621</v>
      </c>
      <c r="C925" s="288"/>
      <c r="D925" s="289"/>
      <c r="E925" s="471"/>
      <c r="F925" s="531"/>
      <c r="G925" s="289"/>
      <c r="H925" s="310"/>
      <c r="I925" s="311"/>
      <c r="J925" s="312"/>
      <c r="K925" s="313"/>
      <c r="L925" s="324"/>
      <c r="M925" s="220"/>
      <c r="N925" s="23">
        <f>SUM(N926)</f>
        <v>75000</v>
      </c>
    </row>
    <row r="926" spans="2:14" ht="28.5" customHeight="1" x14ac:dyDescent="0.2">
      <c r="B926" s="322" t="s">
        <v>1720</v>
      </c>
      <c r="C926" s="380">
        <v>43348</v>
      </c>
      <c r="D926" s="366" t="s">
        <v>341</v>
      </c>
      <c r="E926" s="434" t="s">
        <v>1709</v>
      </c>
      <c r="F926" s="511" t="s">
        <v>1835</v>
      </c>
      <c r="G926" s="289" t="s">
        <v>621</v>
      </c>
      <c r="H926" s="366" t="s">
        <v>1365</v>
      </c>
      <c r="I926" s="382" t="s">
        <v>1300</v>
      </c>
      <c r="J926" s="433" t="s">
        <v>1721</v>
      </c>
      <c r="K926" s="384" t="s">
        <v>1723</v>
      </c>
      <c r="L926" s="324" t="s">
        <v>302</v>
      </c>
      <c r="M926" s="220">
        <v>75000</v>
      </c>
      <c r="N926" s="230">
        <v>75000</v>
      </c>
    </row>
    <row r="927" spans="2:14" ht="15" customHeight="1" x14ac:dyDescent="0.2">
      <c r="B927" s="321"/>
      <c r="C927" s="288"/>
      <c r="D927" s="289"/>
      <c r="E927" s="471"/>
      <c r="F927" s="531"/>
      <c r="G927" s="289"/>
      <c r="H927" s="310"/>
      <c r="I927" s="311"/>
      <c r="J927" s="312"/>
      <c r="K927" s="313"/>
      <c r="L927" s="46"/>
      <c r="M927" s="182"/>
      <c r="N927" s="230"/>
    </row>
    <row r="928" spans="2:14" ht="15" customHeight="1" x14ac:dyDescent="0.2">
      <c r="B928" s="146" t="s">
        <v>20</v>
      </c>
      <c r="C928" s="288"/>
      <c r="D928" s="289"/>
      <c r="E928" s="471"/>
      <c r="F928" s="531"/>
      <c r="G928" s="289"/>
      <c r="H928" s="310"/>
      <c r="I928" s="311"/>
      <c r="J928" s="312"/>
      <c r="K928" s="313"/>
      <c r="L928" s="46"/>
      <c r="M928" s="182"/>
      <c r="N928" s="23">
        <f>SUM(N929)</f>
        <v>50000</v>
      </c>
    </row>
    <row r="929" spans="2:14" ht="30" customHeight="1" x14ac:dyDescent="0.2">
      <c r="B929" s="322" t="s">
        <v>1724</v>
      </c>
      <c r="C929" s="380">
        <v>43329</v>
      </c>
      <c r="D929" s="366" t="s">
        <v>341</v>
      </c>
      <c r="E929" s="434" t="s">
        <v>1709</v>
      </c>
      <c r="F929" s="444" t="s">
        <v>1725</v>
      </c>
      <c r="G929" s="366" t="s">
        <v>20</v>
      </c>
      <c r="H929" s="370" t="s">
        <v>20</v>
      </c>
      <c r="I929" s="386" t="s">
        <v>1300</v>
      </c>
      <c r="J929" s="440" t="s">
        <v>248</v>
      </c>
      <c r="K929" s="384" t="s">
        <v>1727</v>
      </c>
      <c r="L929" s="46" t="s">
        <v>302</v>
      </c>
      <c r="M929" s="182">
        <v>50000</v>
      </c>
      <c r="N929" s="230">
        <v>50000</v>
      </c>
    </row>
    <row r="930" spans="2:14" ht="15" customHeight="1" x14ac:dyDescent="0.2">
      <c r="B930" s="321"/>
      <c r="C930" s="288"/>
      <c r="D930" s="289"/>
      <c r="E930" s="471"/>
      <c r="F930" s="531"/>
      <c r="G930" s="289"/>
      <c r="H930" s="310"/>
      <c r="I930" s="368"/>
      <c r="J930" s="369"/>
      <c r="K930" s="313"/>
      <c r="L930" s="46"/>
      <c r="M930" s="182"/>
      <c r="N930" s="230"/>
    </row>
    <row r="931" spans="2:14" ht="15" customHeight="1" x14ac:dyDescent="0.2">
      <c r="B931" s="146" t="s">
        <v>438</v>
      </c>
      <c r="C931" s="288"/>
      <c r="D931" s="289"/>
      <c r="E931" s="471"/>
      <c r="F931" s="531"/>
      <c r="G931" s="289"/>
      <c r="H931" s="310"/>
      <c r="I931" s="368"/>
      <c r="J931" s="369"/>
      <c r="K931" s="313"/>
      <c r="L931" s="46"/>
      <c r="M931" s="182"/>
      <c r="N931" s="23">
        <f>SUM(N932:N933)</f>
        <v>250000</v>
      </c>
    </row>
    <row r="932" spans="2:14" ht="15" customHeight="1" x14ac:dyDescent="0.2">
      <c r="B932" s="322" t="s">
        <v>1728</v>
      </c>
      <c r="C932" s="380">
        <v>43462</v>
      </c>
      <c r="D932" s="289" t="s">
        <v>341</v>
      </c>
      <c r="E932" s="434" t="s">
        <v>1709</v>
      </c>
      <c r="F932" s="511" t="s">
        <v>1729</v>
      </c>
      <c r="G932" s="289" t="s">
        <v>438</v>
      </c>
      <c r="H932" s="310" t="s">
        <v>1213</v>
      </c>
      <c r="I932" s="386" t="s">
        <v>1300</v>
      </c>
      <c r="J932" s="387" t="s">
        <v>1721</v>
      </c>
      <c r="K932" s="384" t="s">
        <v>1733</v>
      </c>
      <c r="L932" s="46" t="s">
        <v>302</v>
      </c>
      <c r="M932" s="182">
        <v>125000</v>
      </c>
      <c r="N932" s="230">
        <v>125000</v>
      </c>
    </row>
    <row r="933" spans="2:14" ht="30" customHeight="1" x14ac:dyDescent="0.2">
      <c r="B933" s="322" t="s">
        <v>1728</v>
      </c>
      <c r="C933" s="380">
        <v>43462</v>
      </c>
      <c r="D933" s="289" t="s">
        <v>411</v>
      </c>
      <c r="E933" s="434" t="s">
        <v>1709</v>
      </c>
      <c r="F933" s="511" t="s">
        <v>1729</v>
      </c>
      <c r="G933" s="366" t="s">
        <v>438</v>
      </c>
      <c r="H933" s="370" t="s">
        <v>1213</v>
      </c>
      <c r="I933" s="386" t="s">
        <v>1730</v>
      </c>
      <c r="J933" s="441" t="s">
        <v>1731</v>
      </c>
      <c r="K933" s="384" t="s">
        <v>1734</v>
      </c>
      <c r="L933" s="324" t="s">
        <v>302</v>
      </c>
      <c r="M933" s="367">
        <v>125000</v>
      </c>
      <c r="N933" s="49">
        <v>125000</v>
      </c>
    </row>
    <row r="934" spans="2:14" ht="15" customHeight="1" x14ac:dyDescent="0.2">
      <c r="B934" s="321"/>
      <c r="C934" s="288"/>
      <c r="D934" s="289"/>
      <c r="E934" s="471"/>
      <c r="F934" s="531"/>
      <c r="G934" s="289"/>
      <c r="H934" s="310"/>
      <c r="I934" s="311"/>
      <c r="J934" s="312"/>
      <c r="K934" s="313"/>
      <c r="L934" s="46"/>
      <c r="M934" s="182"/>
      <c r="N934" s="230"/>
    </row>
    <row r="935" spans="2:14" ht="15" customHeight="1" x14ac:dyDescent="0.2">
      <c r="B935" s="146" t="s">
        <v>381</v>
      </c>
      <c r="C935" s="288"/>
      <c r="D935" s="289"/>
      <c r="E935" s="471"/>
      <c r="F935" s="531"/>
      <c r="G935" s="289"/>
      <c r="H935" s="310"/>
      <c r="I935" s="311"/>
      <c r="J935" s="312"/>
      <c r="K935" s="313"/>
      <c r="L935" s="46"/>
      <c r="M935" s="182"/>
      <c r="N935" s="23">
        <f>SUM(N936:N938)</f>
        <v>240894.50222882</v>
      </c>
    </row>
    <row r="936" spans="2:14" ht="15" customHeight="1" x14ac:dyDescent="0.2">
      <c r="B936" s="322" t="s">
        <v>1736</v>
      </c>
      <c r="C936" s="380">
        <v>43340</v>
      </c>
      <c r="D936" s="366" t="s">
        <v>341</v>
      </c>
      <c r="E936" s="434" t="s">
        <v>1709</v>
      </c>
      <c r="F936" s="511" t="s">
        <v>1836</v>
      </c>
      <c r="G936" s="366" t="s">
        <v>381</v>
      </c>
      <c r="H936" s="366" t="s">
        <v>1741</v>
      </c>
      <c r="I936" s="386" t="s">
        <v>1300</v>
      </c>
      <c r="J936" s="341" t="s">
        <v>79</v>
      </c>
      <c r="K936" s="374" t="s">
        <v>1754</v>
      </c>
      <c r="L936" s="46" t="s">
        <v>302</v>
      </c>
      <c r="M936" s="329">
        <v>100000</v>
      </c>
      <c r="N936" s="49">
        <v>100000</v>
      </c>
    </row>
    <row r="937" spans="2:14" ht="30" customHeight="1" x14ac:dyDescent="0.2">
      <c r="B937" s="322" t="s">
        <v>1737</v>
      </c>
      <c r="C937" s="380">
        <v>43448</v>
      </c>
      <c r="D937" s="366" t="s">
        <v>628</v>
      </c>
      <c r="E937" s="434" t="s">
        <v>93</v>
      </c>
      <c r="F937" s="444" t="s">
        <v>1739</v>
      </c>
      <c r="G937" s="366" t="s">
        <v>381</v>
      </c>
      <c r="H937" s="366" t="s">
        <v>1742</v>
      </c>
      <c r="I937" s="442">
        <v>5.0000000000000001E-3</v>
      </c>
      <c r="J937" s="386" t="s">
        <v>84</v>
      </c>
      <c r="K937" s="196" t="s">
        <v>91</v>
      </c>
      <c r="L937" s="324" t="s">
        <v>1084</v>
      </c>
      <c r="M937" s="329">
        <v>60000</v>
      </c>
      <c r="N937" s="49">
        <v>70894.502228819998</v>
      </c>
    </row>
    <row r="938" spans="2:14" ht="45" customHeight="1" x14ac:dyDescent="0.2">
      <c r="B938" s="322" t="s">
        <v>1738</v>
      </c>
      <c r="C938" s="380">
        <v>43458</v>
      </c>
      <c r="D938" s="366" t="s">
        <v>411</v>
      </c>
      <c r="E938" s="434" t="s">
        <v>1709</v>
      </c>
      <c r="F938" s="444" t="s">
        <v>1740</v>
      </c>
      <c r="G938" s="366" t="s">
        <v>381</v>
      </c>
      <c r="H938" s="434" t="s">
        <v>1743</v>
      </c>
      <c r="I938" s="386" t="s">
        <v>1730</v>
      </c>
      <c r="J938" s="441" t="s">
        <v>1752</v>
      </c>
      <c r="K938" s="374" t="s">
        <v>1756</v>
      </c>
      <c r="L938" s="324" t="s">
        <v>302</v>
      </c>
      <c r="M938" s="329">
        <v>70000</v>
      </c>
      <c r="N938" s="49">
        <v>70000</v>
      </c>
    </row>
    <row r="939" spans="2:14" ht="15" customHeight="1" x14ac:dyDescent="0.2">
      <c r="B939" s="321"/>
      <c r="C939" s="288"/>
      <c r="D939" s="289"/>
      <c r="E939" s="471"/>
      <c r="F939" s="531"/>
      <c r="G939" s="289"/>
      <c r="H939" s="310"/>
      <c r="I939" s="311"/>
      <c r="J939" s="312"/>
      <c r="K939" s="313"/>
      <c r="L939" s="46"/>
      <c r="M939" s="329"/>
      <c r="N939" s="49"/>
    </row>
    <row r="940" spans="2:14" ht="15" customHeight="1" x14ac:dyDescent="0.2">
      <c r="B940" s="146" t="s">
        <v>960</v>
      </c>
      <c r="C940" s="288"/>
      <c r="D940" s="289"/>
      <c r="E940" s="471"/>
      <c r="F940" s="531"/>
      <c r="G940" s="289"/>
      <c r="H940" s="310"/>
      <c r="I940" s="311"/>
      <c r="J940" s="312"/>
      <c r="K940" s="313"/>
      <c r="L940" s="46"/>
      <c r="M940" s="329"/>
      <c r="N940" s="23">
        <f>SUM(N941:N943)</f>
        <v>150000</v>
      </c>
    </row>
    <row r="941" spans="2:14" ht="30" customHeight="1" x14ac:dyDescent="0.2">
      <c r="B941" s="322" t="s">
        <v>1744</v>
      </c>
      <c r="C941" s="380">
        <v>43458</v>
      </c>
      <c r="D941" s="366" t="s">
        <v>341</v>
      </c>
      <c r="E941" s="434" t="s">
        <v>1709</v>
      </c>
      <c r="F941" s="444" t="s">
        <v>1747</v>
      </c>
      <c r="G941" s="366" t="s">
        <v>960</v>
      </c>
      <c r="H941" s="366" t="s">
        <v>129</v>
      </c>
      <c r="I941" s="382" t="s">
        <v>1300</v>
      </c>
      <c r="J941" s="433" t="s">
        <v>1750</v>
      </c>
      <c r="K941" s="384" t="s">
        <v>1758</v>
      </c>
      <c r="L941" s="324" t="s">
        <v>302</v>
      </c>
      <c r="M941" s="329">
        <v>50000</v>
      </c>
      <c r="N941" s="49">
        <v>50000</v>
      </c>
    </row>
    <row r="942" spans="2:14" ht="30" customHeight="1" x14ac:dyDescent="0.2">
      <c r="B942" s="322" t="s">
        <v>1745</v>
      </c>
      <c r="C942" s="380">
        <v>43462</v>
      </c>
      <c r="D942" s="366" t="s">
        <v>341</v>
      </c>
      <c r="E942" s="434" t="s">
        <v>1709</v>
      </c>
      <c r="F942" s="444" t="s">
        <v>1837</v>
      </c>
      <c r="G942" s="366" t="s">
        <v>960</v>
      </c>
      <c r="H942" s="434" t="s">
        <v>1749</v>
      </c>
      <c r="I942" s="382" t="s">
        <v>1300</v>
      </c>
      <c r="J942" s="433" t="s">
        <v>1751</v>
      </c>
      <c r="K942" s="384" t="s">
        <v>1760</v>
      </c>
      <c r="L942" s="324" t="s">
        <v>302</v>
      </c>
      <c r="M942" s="329">
        <v>50000</v>
      </c>
      <c r="N942" s="49">
        <v>50000</v>
      </c>
    </row>
    <row r="943" spans="2:14" ht="30" customHeight="1" x14ac:dyDescent="0.2">
      <c r="B943" s="322" t="s">
        <v>1746</v>
      </c>
      <c r="C943" s="322">
        <v>43465</v>
      </c>
      <c r="D943" s="366" t="s">
        <v>341</v>
      </c>
      <c r="E943" s="434" t="s">
        <v>1709</v>
      </c>
      <c r="F943" s="444" t="s">
        <v>1748</v>
      </c>
      <c r="G943" s="366" t="s">
        <v>960</v>
      </c>
      <c r="H943" s="434" t="s">
        <v>697</v>
      </c>
      <c r="I943" s="382" t="s">
        <v>1300</v>
      </c>
      <c r="J943" s="433" t="s">
        <v>1750</v>
      </c>
      <c r="K943" s="384" t="s">
        <v>1761</v>
      </c>
      <c r="L943" s="324" t="s">
        <v>302</v>
      </c>
      <c r="M943" s="329">
        <v>50000</v>
      </c>
      <c r="N943" s="49">
        <v>50000</v>
      </c>
    </row>
    <row r="944" spans="2:14" ht="15" customHeight="1" thickBot="1" x14ac:dyDescent="0.25">
      <c r="B944" s="31"/>
      <c r="C944" s="127"/>
      <c r="D944" s="126"/>
      <c r="E944" s="137"/>
      <c r="F944" s="500"/>
      <c r="G944" s="137"/>
      <c r="H944" s="137"/>
      <c r="I944" s="152"/>
      <c r="J944" s="131"/>
      <c r="K944" s="131"/>
      <c r="L944" s="130"/>
      <c r="M944" s="157"/>
      <c r="N944" s="135"/>
    </row>
    <row r="945" spans="2:14" ht="13.5" thickTop="1" x14ac:dyDescent="0.2">
      <c r="B945" s="322"/>
      <c r="C945" s="443"/>
      <c r="D945" s="352"/>
      <c r="E945" s="434"/>
      <c r="F945" s="381"/>
      <c r="G945" s="349"/>
      <c r="H945" s="370"/>
      <c r="I945" s="382"/>
      <c r="J945" s="383"/>
      <c r="K945" s="384"/>
      <c r="L945" s="352"/>
      <c r="M945" s="345"/>
      <c r="N945" s="373"/>
    </row>
    <row r="946" spans="2:14" ht="18" x14ac:dyDescent="0.2">
      <c r="B946" s="379">
        <v>2019</v>
      </c>
      <c r="C946" s="380"/>
      <c r="D946" s="349"/>
      <c r="E946" s="92"/>
      <c r="F946" s="381"/>
      <c r="G946" s="349"/>
      <c r="H946" s="370"/>
      <c r="I946" s="382"/>
      <c r="J946" s="383"/>
      <c r="K946" s="384"/>
      <c r="L946" s="352"/>
      <c r="M946" s="345"/>
      <c r="N946" s="385">
        <f>N947+N949+N952+N954+N957+N959+N961+N963</f>
        <v>619221619.76497996</v>
      </c>
    </row>
    <row r="947" spans="2:14" x14ac:dyDescent="0.2">
      <c r="B947" s="146" t="s">
        <v>296</v>
      </c>
      <c r="C947" s="380"/>
      <c r="D947" s="349"/>
      <c r="E947" s="92"/>
      <c r="F947" s="381"/>
      <c r="G947" s="349"/>
      <c r="H947" s="370"/>
      <c r="I947" s="382"/>
      <c r="J947" s="383"/>
      <c r="K947" s="384"/>
      <c r="L947" s="352"/>
      <c r="M947" s="345"/>
      <c r="N947" s="23">
        <f>SUM(N948)</f>
        <v>24000000</v>
      </c>
    </row>
    <row r="948" spans="2:14" ht="38.25" x14ac:dyDescent="0.2">
      <c r="B948" s="358" t="s">
        <v>1864</v>
      </c>
      <c r="C948" s="358">
        <v>43979</v>
      </c>
      <c r="D948" s="217" t="s">
        <v>583</v>
      </c>
      <c r="E948" s="434" t="s">
        <v>1709</v>
      </c>
      <c r="F948" s="444" t="s">
        <v>1865</v>
      </c>
      <c r="G948" s="217" t="s">
        <v>296</v>
      </c>
      <c r="H948" s="413" t="s">
        <v>1866</v>
      </c>
      <c r="I948" s="386" t="s">
        <v>1135</v>
      </c>
      <c r="J948" s="387" t="s">
        <v>84</v>
      </c>
      <c r="K948" s="374" t="s">
        <v>1891</v>
      </c>
      <c r="L948" s="352" t="s">
        <v>823</v>
      </c>
      <c r="M948" s="329">
        <v>24000000</v>
      </c>
      <c r="N948" s="373">
        <f>+M948</f>
        <v>24000000</v>
      </c>
    </row>
    <row r="949" spans="2:14" x14ac:dyDescent="0.2">
      <c r="B949" s="146" t="s">
        <v>684</v>
      </c>
      <c r="C949" s="358"/>
      <c r="D949" s="217"/>
      <c r="E949" s="434"/>
      <c r="F949" s="444"/>
      <c r="G949" s="217"/>
      <c r="H949" s="413"/>
      <c r="I949" s="386"/>
      <c r="J949" s="387"/>
      <c r="K949" s="374"/>
      <c r="L949" s="352"/>
      <c r="M949" s="329"/>
      <c r="N949" s="23">
        <f>SUM(N950:N951)</f>
        <v>185000000</v>
      </c>
    </row>
    <row r="950" spans="2:14" ht="25.5" x14ac:dyDescent="0.2">
      <c r="B950" s="358" t="s">
        <v>1851</v>
      </c>
      <c r="C950" s="411">
        <v>43783</v>
      </c>
      <c r="D950" s="349" t="s">
        <v>411</v>
      </c>
      <c r="E950" s="434" t="s">
        <v>1709</v>
      </c>
      <c r="F950" s="444" t="s">
        <v>1852</v>
      </c>
      <c r="G950" s="217" t="s">
        <v>684</v>
      </c>
      <c r="H950" s="413" t="s">
        <v>1853</v>
      </c>
      <c r="I950" s="442" t="s">
        <v>1854</v>
      </c>
      <c r="J950" s="386" t="s">
        <v>80</v>
      </c>
      <c r="K950" s="445" t="s">
        <v>1892</v>
      </c>
      <c r="L950" s="352" t="s">
        <v>823</v>
      </c>
      <c r="M950" s="345">
        <v>85000000</v>
      </c>
      <c r="N950" s="373">
        <f>+M950</f>
        <v>85000000</v>
      </c>
    </row>
    <row r="951" spans="2:14" ht="38.25" x14ac:dyDescent="0.2">
      <c r="B951" s="358" t="s">
        <v>1876</v>
      </c>
      <c r="C951" s="358">
        <v>44013</v>
      </c>
      <c r="D951" s="217" t="s">
        <v>341</v>
      </c>
      <c r="E951" s="434" t="s">
        <v>1709</v>
      </c>
      <c r="F951" s="444" t="s">
        <v>1877</v>
      </c>
      <c r="G951" s="217" t="s">
        <v>684</v>
      </c>
      <c r="H951" s="413" t="s">
        <v>1878</v>
      </c>
      <c r="I951" s="386" t="s">
        <v>1135</v>
      </c>
      <c r="J951" s="387" t="s">
        <v>91</v>
      </c>
      <c r="K951" s="374" t="s">
        <v>1893</v>
      </c>
      <c r="L951" s="352" t="s">
        <v>823</v>
      </c>
      <c r="M951" s="329">
        <v>100000000</v>
      </c>
      <c r="N951" s="373">
        <v>100000000</v>
      </c>
    </row>
    <row r="952" spans="2:14" x14ac:dyDescent="0.2">
      <c r="B952" s="146" t="s">
        <v>1886</v>
      </c>
      <c r="C952" s="358"/>
      <c r="D952" s="217"/>
      <c r="E952" s="434"/>
      <c r="F952" s="444"/>
      <c r="G952" s="217"/>
      <c r="H952" s="413"/>
      <c r="I952" s="386"/>
      <c r="J952" s="387"/>
      <c r="K952" s="374"/>
      <c r="L952" s="352"/>
      <c r="M952" s="329"/>
      <c r="N952" s="23">
        <f>SUM(N953)</f>
        <v>40000000</v>
      </c>
    </row>
    <row r="953" spans="2:14" ht="25.5" x14ac:dyDescent="0.2">
      <c r="B953" s="358" t="s">
        <v>1883</v>
      </c>
      <c r="C953" s="411">
        <v>43808</v>
      </c>
      <c r="D953" s="349" t="s">
        <v>341</v>
      </c>
      <c r="E953" s="434" t="s">
        <v>1709</v>
      </c>
      <c r="F953" s="444" t="s">
        <v>1884</v>
      </c>
      <c r="G953" s="217" t="s">
        <v>1886</v>
      </c>
      <c r="H953" s="413" t="s">
        <v>12</v>
      </c>
      <c r="I953" s="442" t="s">
        <v>1300</v>
      </c>
      <c r="J953" s="386" t="s">
        <v>183</v>
      </c>
      <c r="K953" s="445" t="s">
        <v>1845</v>
      </c>
      <c r="L953" s="352" t="s">
        <v>823</v>
      </c>
      <c r="M953" s="345">
        <v>40000000</v>
      </c>
      <c r="N953" s="373">
        <v>40000000</v>
      </c>
    </row>
    <row r="954" spans="2:14" x14ac:dyDescent="0.2">
      <c r="B954" s="146" t="s">
        <v>1023</v>
      </c>
      <c r="C954" s="411"/>
      <c r="D954" s="349"/>
      <c r="E954" s="434"/>
      <c r="F954" s="444"/>
      <c r="G954" s="217"/>
      <c r="H954" s="413"/>
      <c r="I954" s="442"/>
      <c r="J954" s="386"/>
      <c r="K954" s="445"/>
      <c r="L954" s="352"/>
      <c r="M954" s="345"/>
      <c r="N954" s="23">
        <f>SUM(N955:N956)</f>
        <v>53124000</v>
      </c>
    </row>
    <row r="955" spans="2:14" ht="102" x14ac:dyDescent="0.2">
      <c r="B955" s="358" t="s">
        <v>1846</v>
      </c>
      <c r="C955" s="411" t="s">
        <v>1847</v>
      </c>
      <c r="D955" s="349" t="s">
        <v>341</v>
      </c>
      <c r="E955" s="434" t="s">
        <v>1709</v>
      </c>
      <c r="F955" s="444" t="s">
        <v>1848</v>
      </c>
      <c r="G955" s="217" t="s">
        <v>305</v>
      </c>
      <c r="H955" s="413" t="s">
        <v>1361</v>
      </c>
      <c r="I955" s="442" t="s">
        <v>1300</v>
      </c>
      <c r="J955" s="386" t="s">
        <v>1849</v>
      </c>
      <c r="K955" s="445" t="s">
        <v>1850</v>
      </c>
      <c r="L955" s="352" t="s">
        <v>823</v>
      </c>
      <c r="M955" s="345">
        <v>16800000</v>
      </c>
      <c r="N955" s="373">
        <f>M955</f>
        <v>16800000</v>
      </c>
    </row>
    <row r="956" spans="2:14" ht="38.25" x14ac:dyDescent="0.2">
      <c r="B956" s="358" t="s">
        <v>1868</v>
      </c>
      <c r="C956" s="358">
        <v>44009</v>
      </c>
      <c r="D956" s="217" t="s">
        <v>411</v>
      </c>
      <c r="E956" s="434" t="s">
        <v>1709</v>
      </c>
      <c r="F956" s="444" t="s">
        <v>1869</v>
      </c>
      <c r="G956" s="217" t="s">
        <v>305</v>
      </c>
      <c r="H956" s="413" t="s">
        <v>1870</v>
      </c>
      <c r="I956" s="386" t="s">
        <v>1135</v>
      </c>
      <c r="J956" s="387" t="s">
        <v>79</v>
      </c>
      <c r="K956" s="374" t="s">
        <v>1855</v>
      </c>
      <c r="L956" s="352" t="s">
        <v>823</v>
      </c>
      <c r="M956" s="329">
        <v>36324000</v>
      </c>
      <c r="N956" s="373">
        <v>36324000</v>
      </c>
    </row>
    <row r="957" spans="2:14" x14ac:dyDescent="0.2">
      <c r="B957" s="146" t="s">
        <v>11</v>
      </c>
      <c r="C957" s="358"/>
      <c r="D957" s="217"/>
      <c r="E957" s="434"/>
      <c r="F957" s="444"/>
      <c r="G957" s="217"/>
      <c r="H957" s="413"/>
      <c r="I957" s="386"/>
      <c r="J957" s="387"/>
      <c r="K957" s="374"/>
      <c r="L957" s="352"/>
      <c r="M957" s="329"/>
      <c r="N957" s="23">
        <f>SUM(N958)</f>
        <v>50000000</v>
      </c>
    </row>
    <row r="958" spans="2:14" ht="51" x14ac:dyDescent="0.2">
      <c r="B958" s="358" t="s">
        <v>1856</v>
      </c>
      <c r="C958" s="358">
        <v>43902</v>
      </c>
      <c r="D958" s="217" t="s">
        <v>411</v>
      </c>
      <c r="E958" s="434" t="s">
        <v>1709</v>
      </c>
      <c r="F958" s="444" t="s">
        <v>1857</v>
      </c>
      <c r="G958" s="217" t="s">
        <v>11</v>
      </c>
      <c r="H958" s="413" t="s">
        <v>1858</v>
      </c>
      <c r="I958" s="386" t="s">
        <v>1135</v>
      </c>
      <c r="J958" s="387" t="s">
        <v>177</v>
      </c>
      <c r="K958" s="374" t="s">
        <v>1859</v>
      </c>
      <c r="L958" s="352" t="s">
        <v>823</v>
      </c>
      <c r="M958" s="329">
        <v>50000000</v>
      </c>
      <c r="N958" s="373">
        <f>+M958</f>
        <v>50000000</v>
      </c>
    </row>
    <row r="959" spans="2:14" x14ac:dyDescent="0.2">
      <c r="B959" s="146" t="s">
        <v>381</v>
      </c>
      <c r="C959" s="358"/>
      <c r="D959" s="217"/>
      <c r="E959" s="434"/>
      <c r="F959" s="444"/>
      <c r="G959" s="217"/>
      <c r="H959" s="413"/>
      <c r="I959" s="386"/>
      <c r="J959" s="387"/>
      <c r="K959" s="374"/>
      <c r="L959" s="352"/>
      <c r="M959" s="329"/>
      <c r="N959" s="23">
        <f>SUM(N960)</f>
        <v>100000000</v>
      </c>
    </row>
    <row r="960" spans="2:14" ht="63.75" x14ac:dyDescent="0.2">
      <c r="B960" s="358" t="s">
        <v>1872</v>
      </c>
      <c r="C960" s="358">
        <v>44009</v>
      </c>
      <c r="D960" s="217" t="s">
        <v>341</v>
      </c>
      <c r="E960" s="434" t="s">
        <v>1709</v>
      </c>
      <c r="F960" s="444" t="s">
        <v>1873</v>
      </c>
      <c r="G960" s="217" t="s">
        <v>381</v>
      </c>
      <c r="H960" s="413" t="s">
        <v>1874</v>
      </c>
      <c r="I960" s="386" t="s">
        <v>1135</v>
      </c>
      <c r="J960" s="387" t="s">
        <v>1307</v>
      </c>
      <c r="K960" s="374" t="s">
        <v>1863</v>
      </c>
      <c r="L960" s="352" t="s">
        <v>823</v>
      </c>
      <c r="M960" s="329">
        <v>100000000</v>
      </c>
      <c r="N960" s="373">
        <v>100000000</v>
      </c>
    </row>
    <row r="961" spans="2:14" x14ac:dyDescent="0.2">
      <c r="B961" s="146" t="s">
        <v>1888</v>
      </c>
      <c r="C961" s="358"/>
      <c r="D961" s="217"/>
      <c r="E961" s="434"/>
      <c r="F961" s="444"/>
      <c r="G961" s="217"/>
      <c r="H961" s="413"/>
      <c r="I961" s="386"/>
      <c r="J961" s="387"/>
      <c r="K961" s="374"/>
      <c r="L961" s="352"/>
      <c r="M961" s="329"/>
      <c r="N961" s="23">
        <f>SUM(N962)</f>
        <v>93000000</v>
      </c>
    </row>
    <row r="962" spans="2:14" ht="38.25" x14ac:dyDescent="0.2">
      <c r="B962" s="358" t="s">
        <v>1860</v>
      </c>
      <c r="C962" s="358">
        <v>43972</v>
      </c>
      <c r="D962" s="217" t="s">
        <v>411</v>
      </c>
      <c r="E962" s="434" t="s">
        <v>1709</v>
      </c>
      <c r="F962" s="444" t="s">
        <v>1861</v>
      </c>
      <c r="G962" s="217" t="s">
        <v>1887</v>
      </c>
      <c r="H962" s="413" t="s">
        <v>1862</v>
      </c>
      <c r="I962" s="386" t="s">
        <v>1135</v>
      </c>
      <c r="J962" s="387" t="s">
        <v>248</v>
      </c>
      <c r="K962" s="374" t="s">
        <v>1867</v>
      </c>
      <c r="L962" s="352" t="s">
        <v>823</v>
      </c>
      <c r="M962" s="329">
        <v>93000000</v>
      </c>
      <c r="N962" s="373">
        <f>+M962</f>
        <v>93000000</v>
      </c>
    </row>
    <row r="963" spans="2:14" x14ac:dyDescent="0.2">
      <c r="B963" s="146" t="s">
        <v>960</v>
      </c>
      <c r="C963" s="358"/>
      <c r="D963" s="217"/>
      <c r="E963" s="434"/>
      <c r="F963" s="444"/>
      <c r="G963" s="217"/>
      <c r="H963" s="413"/>
      <c r="I963" s="386"/>
      <c r="J963" s="387"/>
      <c r="K963" s="374"/>
      <c r="L963" s="352"/>
      <c r="M963" s="329"/>
      <c r="N963" s="23">
        <f>SUM(N964:N965)</f>
        <v>74097619.764980003</v>
      </c>
    </row>
    <row r="964" spans="2:14" ht="23.25" customHeight="1" x14ac:dyDescent="0.2">
      <c r="B964" s="358" t="s">
        <v>1879</v>
      </c>
      <c r="C964" s="358">
        <v>43902</v>
      </c>
      <c r="D964" s="217" t="s">
        <v>341</v>
      </c>
      <c r="E964" s="434" t="s">
        <v>1709</v>
      </c>
      <c r="F964" s="444" t="s">
        <v>1880</v>
      </c>
      <c r="G964" s="217" t="s">
        <v>960</v>
      </c>
      <c r="H964" s="413" t="s">
        <v>1881</v>
      </c>
      <c r="I964" s="386" t="s">
        <v>1135</v>
      </c>
      <c r="J964" s="387" t="s">
        <v>255</v>
      </c>
      <c r="K964" s="374" t="s">
        <v>1871</v>
      </c>
      <c r="L964" s="352" t="s">
        <v>823</v>
      </c>
      <c r="M964" s="329">
        <v>50000000</v>
      </c>
      <c r="N964" s="373">
        <v>50000000</v>
      </c>
    </row>
    <row r="965" spans="2:14" x14ac:dyDescent="0.2">
      <c r="B965" s="358" t="s">
        <v>1842</v>
      </c>
      <c r="C965" s="411">
        <v>43829</v>
      </c>
      <c r="D965" s="349" t="s">
        <v>628</v>
      </c>
      <c r="E965" s="434" t="s">
        <v>93</v>
      </c>
      <c r="F965" s="444" t="s">
        <v>1843</v>
      </c>
      <c r="G965" s="217" t="s">
        <v>960</v>
      </c>
      <c r="H965" s="413" t="s">
        <v>1844</v>
      </c>
      <c r="I965" s="446" t="s">
        <v>1875</v>
      </c>
      <c r="J965" s="386" t="s">
        <v>90</v>
      </c>
      <c r="K965" s="196" t="s">
        <v>60</v>
      </c>
      <c r="L965" s="352" t="s">
        <v>1084</v>
      </c>
      <c r="M965" s="345">
        <v>20000000</v>
      </c>
      <c r="N965" s="373">
        <f>M965*1.204880988249</f>
        <v>24097619.76498</v>
      </c>
    </row>
    <row r="966" spans="2:14" ht="13.5" thickBot="1" x14ac:dyDescent="0.25">
      <c r="B966" s="447"/>
      <c r="C966" s="448"/>
      <c r="D966" s="447"/>
      <c r="E966" s="477"/>
      <c r="F966" s="449"/>
      <c r="G966" s="538"/>
      <c r="H966" s="447"/>
      <c r="I966" s="450"/>
      <c r="J966" s="451"/>
      <c r="K966" s="452"/>
      <c r="L966" s="453"/>
      <c r="M966" s="454"/>
      <c r="N966" s="455"/>
    </row>
    <row r="967" spans="2:14" ht="13.5" thickTop="1" x14ac:dyDescent="0.2">
      <c r="B967" s="322"/>
      <c r="C967" s="443"/>
      <c r="D967" s="352"/>
      <c r="E967" s="478"/>
      <c r="F967" s="381"/>
      <c r="G967" s="349"/>
      <c r="H967" s="370"/>
      <c r="I967" s="382"/>
      <c r="J967" s="383"/>
      <c r="K967" s="384"/>
      <c r="L967" s="352"/>
      <c r="M967" s="345"/>
      <c r="N967" s="373"/>
    </row>
    <row r="968" spans="2:14" ht="18" x14ac:dyDescent="0.2">
      <c r="B968" s="379">
        <v>2020</v>
      </c>
      <c r="C968" s="380"/>
      <c r="D968" s="349"/>
      <c r="E968" s="92"/>
      <c r="F968" s="381"/>
      <c r="G968" s="349"/>
      <c r="H968" s="370"/>
      <c r="I968" s="382"/>
      <c r="J968" s="383"/>
      <c r="K968" s="384"/>
      <c r="L968" s="352"/>
      <c r="M968" s="345"/>
      <c r="N968" s="385">
        <f>N969+N971+N974+N979</f>
        <v>523271016.68000001</v>
      </c>
    </row>
    <row r="969" spans="2:14" x14ac:dyDescent="0.2">
      <c r="B969" s="146" t="s">
        <v>296</v>
      </c>
      <c r="C969" s="380"/>
      <c r="D969" s="349"/>
      <c r="E969" s="92"/>
      <c r="F969" s="381"/>
      <c r="G969" s="349"/>
      <c r="H969" s="370"/>
      <c r="I969" s="382"/>
      <c r="J969" s="383"/>
      <c r="K969" s="384"/>
      <c r="L969" s="352"/>
      <c r="M969" s="345"/>
      <c r="N969" s="23">
        <f>SUM(N970)</f>
        <v>65655190.68</v>
      </c>
    </row>
    <row r="970" spans="2:14" ht="25.5" x14ac:dyDescent="0.2">
      <c r="B970" s="358" t="s">
        <v>1927</v>
      </c>
      <c r="C970" s="411">
        <v>44310</v>
      </c>
      <c r="D970" s="349" t="s">
        <v>628</v>
      </c>
      <c r="E970" s="434" t="s">
        <v>93</v>
      </c>
      <c r="F970" s="444" t="s">
        <v>1903</v>
      </c>
      <c r="G970" s="217" t="s">
        <v>296</v>
      </c>
      <c r="H970" s="413" t="s">
        <v>1904</v>
      </c>
      <c r="I970" s="446" t="s">
        <v>1882</v>
      </c>
      <c r="J970" s="386" t="s">
        <v>1906</v>
      </c>
      <c r="K970" s="196" t="s">
        <v>117</v>
      </c>
      <c r="L970" s="352" t="s">
        <v>1907</v>
      </c>
      <c r="M970" s="345">
        <v>54000000</v>
      </c>
      <c r="N970" s="373">
        <f>ROUND(+M970*1.215836864407,2)</f>
        <v>65655190.68</v>
      </c>
    </row>
    <row r="971" spans="2:14" x14ac:dyDescent="0.2">
      <c r="B971" s="146" t="s">
        <v>1910</v>
      </c>
      <c r="C971" s="411"/>
      <c r="D971" s="349"/>
      <c r="E971" s="434"/>
      <c r="F971" s="444"/>
      <c r="G971" s="217"/>
      <c r="H971" s="413"/>
      <c r="I971" s="446"/>
      <c r="J971" s="386"/>
      <c r="K971" s="196"/>
      <c r="L971" s="352"/>
      <c r="M971" s="345"/>
      <c r="N971" s="23">
        <f>SUM(N972:N973)</f>
        <v>40000000</v>
      </c>
    </row>
    <row r="972" spans="2:14" ht="63.75" x14ac:dyDescent="0.2">
      <c r="B972" s="358" t="s">
        <v>1908</v>
      </c>
      <c r="C972" s="411">
        <v>44238</v>
      </c>
      <c r="D972" s="349" t="s">
        <v>341</v>
      </c>
      <c r="E972" s="434" t="s">
        <v>1709</v>
      </c>
      <c r="F972" s="444" t="s">
        <v>1909</v>
      </c>
      <c r="G972" s="217" t="s">
        <v>1910</v>
      </c>
      <c r="H972" s="413" t="s">
        <v>1911</v>
      </c>
      <c r="I972" s="442" t="s">
        <v>1300</v>
      </c>
      <c r="J972" s="386" t="s">
        <v>907</v>
      </c>
      <c r="K972" s="445" t="s">
        <v>1885</v>
      </c>
      <c r="L972" s="352" t="s">
        <v>302</v>
      </c>
      <c r="M972" s="345">
        <v>30000000</v>
      </c>
      <c r="N972" s="373">
        <f>+M972</f>
        <v>30000000</v>
      </c>
    </row>
    <row r="973" spans="2:14" ht="63.75" x14ac:dyDescent="0.2">
      <c r="B973" s="358" t="s">
        <v>1908</v>
      </c>
      <c r="C973" s="411">
        <v>44238</v>
      </c>
      <c r="D973" s="349" t="s">
        <v>572</v>
      </c>
      <c r="E973" s="434" t="s">
        <v>1709</v>
      </c>
      <c r="F973" s="444" t="s">
        <v>1909</v>
      </c>
      <c r="G973" s="217" t="s">
        <v>1910</v>
      </c>
      <c r="H973" s="413" t="s">
        <v>1913</v>
      </c>
      <c r="I973" s="442" t="s">
        <v>1914</v>
      </c>
      <c r="J973" s="386" t="s">
        <v>1906</v>
      </c>
      <c r="K973" s="445" t="s">
        <v>91</v>
      </c>
      <c r="L973" s="352" t="s">
        <v>302</v>
      </c>
      <c r="M973" s="345">
        <v>10000000</v>
      </c>
      <c r="N973" s="373">
        <f>+M973</f>
        <v>10000000</v>
      </c>
    </row>
    <row r="974" spans="2:14" x14ac:dyDescent="0.2">
      <c r="B974" s="146" t="s">
        <v>1023</v>
      </c>
      <c r="C974" s="411"/>
      <c r="D974" s="349"/>
      <c r="E974" s="434"/>
      <c r="F974" s="444"/>
      <c r="G974" s="217"/>
      <c r="H974" s="413"/>
      <c r="I974" s="442"/>
      <c r="J974" s="386"/>
      <c r="K974" s="445"/>
      <c r="L974" s="352"/>
      <c r="M974" s="345"/>
      <c r="N974" s="23">
        <f>SUM(N975:N978)</f>
        <v>367615826</v>
      </c>
    </row>
    <row r="975" spans="2:14" ht="25.5" x14ac:dyDescent="0.2">
      <c r="B975" s="358" t="s">
        <v>1915</v>
      </c>
      <c r="C975" s="411">
        <v>44322</v>
      </c>
      <c r="D975" s="349" t="s">
        <v>341</v>
      </c>
      <c r="E975" s="434" t="s">
        <v>1709</v>
      </c>
      <c r="F975" s="444" t="s">
        <v>1916</v>
      </c>
      <c r="G975" s="217" t="s">
        <v>1023</v>
      </c>
      <c r="H975" s="413" t="s">
        <v>1917</v>
      </c>
      <c r="I975" s="442" t="s">
        <v>1300</v>
      </c>
      <c r="J975" s="386" t="s">
        <v>907</v>
      </c>
      <c r="K975" s="445" t="s">
        <v>1928</v>
      </c>
      <c r="L975" s="352" t="s">
        <v>302</v>
      </c>
      <c r="M975" s="345">
        <v>114300000</v>
      </c>
      <c r="N975" s="373">
        <f t="shared" ref="N975:N978" si="3">+M975</f>
        <v>114300000</v>
      </c>
    </row>
    <row r="976" spans="2:14" ht="25.5" x14ac:dyDescent="0.2">
      <c r="B976" s="358" t="s">
        <v>1915</v>
      </c>
      <c r="C976" s="411">
        <v>44322</v>
      </c>
      <c r="D976" s="349" t="s">
        <v>391</v>
      </c>
      <c r="E976" s="434" t="s">
        <v>1709</v>
      </c>
      <c r="F976" s="444" t="s">
        <v>1916</v>
      </c>
      <c r="G976" s="217" t="s">
        <v>1023</v>
      </c>
      <c r="H976" s="413" t="s">
        <v>1917</v>
      </c>
      <c r="I976" s="442" t="s">
        <v>1918</v>
      </c>
      <c r="J976" s="386" t="s">
        <v>80</v>
      </c>
      <c r="K976" s="445" t="s">
        <v>156</v>
      </c>
      <c r="L976" s="352" t="s">
        <v>302</v>
      </c>
      <c r="M976" s="345">
        <v>233315826</v>
      </c>
      <c r="N976" s="373">
        <f t="shared" si="3"/>
        <v>233315826</v>
      </c>
    </row>
    <row r="977" spans="2:14" ht="51" x14ac:dyDescent="0.2">
      <c r="B977" s="358" t="s">
        <v>1919</v>
      </c>
      <c r="C977" s="411">
        <v>44343</v>
      </c>
      <c r="D977" s="349" t="s">
        <v>341</v>
      </c>
      <c r="E977" s="434" t="s">
        <v>1709</v>
      </c>
      <c r="F977" s="444" t="s">
        <v>1920</v>
      </c>
      <c r="G977" s="217" t="s">
        <v>1023</v>
      </c>
      <c r="H977" s="413" t="s">
        <v>1921</v>
      </c>
      <c r="I977" s="442">
        <v>7.4999999999999997E-3</v>
      </c>
      <c r="J977" s="386" t="s">
        <v>907</v>
      </c>
      <c r="K977" s="445" t="s">
        <v>91</v>
      </c>
      <c r="L977" s="352" t="s">
        <v>302</v>
      </c>
      <c r="M977" s="345">
        <v>9500000</v>
      </c>
      <c r="N977" s="373">
        <f t="shared" si="3"/>
        <v>9500000</v>
      </c>
    </row>
    <row r="978" spans="2:14" ht="38.25" x14ac:dyDescent="0.2">
      <c r="B978" s="358" t="s">
        <v>1919</v>
      </c>
      <c r="C978" s="411">
        <v>44343</v>
      </c>
      <c r="D978" s="349" t="s">
        <v>341</v>
      </c>
      <c r="E978" s="434" t="s">
        <v>1709</v>
      </c>
      <c r="F978" s="444" t="s">
        <v>1922</v>
      </c>
      <c r="G978" s="217" t="s">
        <v>1023</v>
      </c>
      <c r="H978" s="413" t="s">
        <v>1921</v>
      </c>
      <c r="I978" s="442" t="s">
        <v>1300</v>
      </c>
      <c r="J978" s="386" t="s">
        <v>907</v>
      </c>
      <c r="K978" s="445" t="s">
        <v>1905</v>
      </c>
      <c r="L978" s="352" t="s">
        <v>302</v>
      </c>
      <c r="M978" s="345">
        <v>10500000</v>
      </c>
      <c r="N978" s="373">
        <f t="shared" si="3"/>
        <v>10500000</v>
      </c>
    </row>
    <row r="979" spans="2:14" x14ac:dyDescent="0.2">
      <c r="B979" s="146" t="s">
        <v>960</v>
      </c>
      <c r="C979" s="411"/>
      <c r="D979" s="349"/>
      <c r="E979" s="434"/>
      <c r="F979" s="444"/>
      <c r="G979" s="217"/>
      <c r="H979" s="413"/>
      <c r="I979" s="442"/>
      <c r="J979" s="386"/>
      <c r="K979" s="445"/>
      <c r="L979" s="352"/>
      <c r="M979" s="345"/>
      <c r="N979" s="23">
        <f>SUM(N980)</f>
        <v>50000000</v>
      </c>
    </row>
    <row r="980" spans="2:14" ht="25.5" x14ac:dyDescent="0.2">
      <c r="B980" s="358" t="s">
        <v>1923</v>
      </c>
      <c r="C980" s="358">
        <v>44162</v>
      </c>
      <c r="D980" s="217" t="s">
        <v>411</v>
      </c>
      <c r="E980" s="434" t="s">
        <v>1709</v>
      </c>
      <c r="F980" s="444" t="s">
        <v>1924</v>
      </c>
      <c r="G980" s="217" t="s">
        <v>960</v>
      </c>
      <c r="H980" s="413" t="s">
        <v>1925</v>
      </c>
      <c r="I980" s="386" t="s">
        <v>1135</v>
      </c>
      <c r="J980" s="387" t="s">
        <v>248</v>
      </c>
      <c r="K980" s="462" t="s">
        <v>1912</v>
      </c>
      <c r="L980" s="352" t="s">
        <v>823</v>
      </c>
      <c r="M980" s="329">
        <v>50000000</v>
      </c>
      <c r="N980" s="373">
        <v>50000000</v>
      </c>
    </row>
    <row r="981" spans="2:14" x14ac:dyDescent="0.2">
      <c r="B981" s="358"/>
      <c r="C981" s="411"/>
      <c r="D981" s="349"/>
      <c r="E981" s="92"/>
      <c r="F981" s="444"/>
      <c r="G981" s="217"/>
      <c r="H981" s="413"/>
      <c r="I981" s="442"/>
      <c r="J981" s="386"/>
      <c r="K981" s="445"/>
      <c r="L981" s="352"/>
      <c r="M981" s="345"/>
      <c r="N981" s="373"/>
    </row>
    <row r="982" spans="2:14" ht="13.5" thickBot="1" x14ac:dyDescent="0.25">
      <c r="B982" s="447"/>
      <c r="C982" s="448"/>
      <c r="D982" s="447"/>
      <c r="E982" s="477"/>
      <c r="F982" s="449"/>
      <c r="G982" s="538"/>
      <c r="H982" s="447"/>
      <c r="I982" s="450"/>
      <c r="J982" s="451"/>
      <c r="K982" s="452"/>
      <c r="L982" s="453"/>
      <c r="M982" s="454"/>
      <c r="N982" s="455"/>
    </row>
    <row r="983" spans="2:14" ht="31.5" customHeight="1" thickTop="1" x14ac:dyDescent="0.2">
      <c r="B983" s="622">
        <v>2021</v>
      </c>
      <c r="C983" s="546"/>
      <c r="D983" s="556"/>
      <c r="E983" s="556"/>
      <c r="F983" s="626"/>
      <c r="G983" s="478"/>
      <c r="H983" s="624"/>
      <c r="I983" s="623"/>
      <c r="J983" s="624"/>
      <c r="K983" s="624"/>
      <c r="L983" s="625"/>
      <c r="M983" s="627"/>
      <c r="N983" s="628"/>
    </row>
    <row r="984" spans="2:14" ht="31.5" customHeight="1" x14ac:dyDescent="0.2">
      <c r="B984" s="633" t="s">
        <v>2045</v>
      </c>
      <c r="C984" s="411"/>
      <c r="D984" s="349"/>
      <c r="E984" s="557"/>
      <c r="F984" s="502"/>
      <c r="G984" s="54"/>
      <c r="H984" s="92"/>
      <c r="I984" s="147"/>
      <c r="J984" s="92"/>
      <c r="K984" s="92"/>
      <c r="L984" s="55"/>
      <c r="M984" s="155"/>
      <c r="N984" s="23">
        <f>SUM(N985)</f>
        <v>100000000</v>
      </c>
    </row>
    <row r="985" spans="2:14" ht="25.5" x14ac:dyDescent="0.2">
      <c r="B985" s="540" t="s">
        <v>1940</v>
      </c>
      <c r="C985" s="547">
        <v>44398</v>
      </c>
      <c r="D985" s="557" t="s">
        <v>341</v>
      </c>
      <c r="E985" s="635" t="s">
        <v>1709</v>
      </c>
      <c r="F985" s="560" t="s">
        <v>1967</v>
      </c>
      <c r="G985" s="567" t="s">
        <v>135</v>
      </c>
      <c r="H985" s="575" t="s">
        <v>1996</v>
      </c>
      <c r="I985" s="584" t="s">
        <v>1300</v>
      </c>
      <c r="J985" s="585" t="s">
        <v>80</v>
      </c>
      <c r="K985" s="600" t="s">
        <v>2046</v>
      </c>
      <c r="L985" s="634" t="s">
        <v>302</v>
      </c>
      <c r="M985" s="618">
        <v>100000000</v>
      </c>
      <c r="N985" s="629">
        <v>100000000</v>
      </c>
    </row>
    <row r="986" spans="2:14" ht="27" customHeight="1" x14ac:dyDescent="0.2">
      <c r="B986" s="633" t="s">
        <v>438</v>
      </c>
      <c r="D986" s="115"/>
      <c r="E986" s="636"/>
      <c r="F986" s="499"/>
      <c r="G986" s="54"/>
      <c r="I986" s="55"/>
      <c r="L986" s="55"/>
      <c r="N986" s="23">
        <f>SUM(N987)</f>
        <v>68000000</v>
      </c>
    </row>
    <row r="987" spans="2:14" ht="38.25" x14ac:dyDescent="0.2">
      <c r="B987" s="541" t="s">
        <v>1942</v>
      </c>
      <c r="C987" s="548">
        <v>44531</v>
      </c>
      <c r="D987" s="558" t="s">
        <v>411</v>
      </c>
      <c r="E987" s="635" t="s">
        <v>1709</v>
      </c>
      <c r="F987" s="561" t="s">
        <v>1969</v>
      </c>
      <c r="G987" s="568" t="s">
        <v>438</v>
      </c>
      <c r="H987" s="577" t="s">
        <v>1998</v>
      </c>
      <c r="I987" s="588" t="s">
        <v>1371</v>
      </c>
      <c r="J987" s="589" t="s">
        <v>907</v>
      </c>
      <c r="K987" s="600" t="s">
        <v>2047</v>
      </c>
      <c r="L987" s="634" t="s">
        <v>302</v>
      </c>
      <c r="M987" s="618">
        <v>68000000</v>
      </c>
      <c r="N987" s="629">
        <v>68000000</v>
      </c>
    </row>
    <row r="988" spans="2:14" ht="24.75" customHeight="1" x14ac:dyDescent="0.2">
      <c r="B988" s="633" t="s">
        <v>1994</v>
      </c>
      <c r="C988" s="548"/>
      <c r="D988" s="558"/>
      <c r="E988" s="635"/>
      <c r="F988" s="561"/>
      <c r="G988" s="568"/>
      <c r="H988" s="577"/>
      <c r="I988" s="588"/>
      <c r="J988" s="589"/>
      <c r="K988" s="586"/>
      <c r="L988" s="617"/>
      <c r="M988" s="618"/>
      <c r="N988" s="23">
        <f>SUM(N989)</f>
        <v>70000000</v>
      </c>
    </row>
    <row r="989" spans="2:14" ht="38.25" x14ac:dyDescent="0.2">
      <c r="B989" s="541" t="s">
        <v>1943</v>
      </c>
      <c r="C989" s="548">
        <v>44553</v>
      </c>
      <c r="D989" s="558" t="s">
        <v>411</v>
      </c>
      <c r="E989" s="635" t="s">
        <v>1709</v>
      </c>
      <c r="F989" s="561" t="s">
        <v>1970</v>
      </c>
      <c r="G989" s="568" t="s">
        <v>1994</v>
      </c>
      <c r="H989" s="577" t="s">
        <v>1999</v>
      </c>
      <c r="I989" s="588" t="s">
        <v>1371</v>
      </c>
      <c r="J989" s="589" t="s">
        <v>907</v>
      </c>
      <c r="K989" s="586" t="s">
        <v>2007</v>
      </c>
      <c r="L989" s="617" t="s">
        <v>302</v>
      </c>
      <c r="M989" s="618">
        <v>70000000</v>
      </c>
      <c r="N989" s="629">
        <v>70000000</v>
      </c>
    </row>
    <row r="990" spans="2:14" ht="23.25" customHeight="1" x14ac:dyDescent="0.2">
      <c r="B990" s="633" t="s">
        <v>1359</v>
      </c>
      <c r="C990" s="548"/>
      <c r="D990" s="558"/>
      <c r="E990" s="635"/>
      <c r="F990" s="561"/>
      <c r="G990" s="568"/>
      <c r="H990" s="577"/>
      <c r="I990" s="588"/>
      <c r="J990" s="589"/>
      <c r="K990" s="586"/>
      <c r="L990" s="617"/>
      <c r="M990" s="618"/>
      <c r="N990" s="23">
        <f>SUM(N991)</f>
        <v>20000000</v>
      </c>
    </row>
    <row r="991" spans="2:14" ht="38.25" x14ac:dyDescent="0.2">
      <c r="B991" s="541" t="s">
        <v>1944</v>
      </c>
      <c r="C991" s="548">
        <v>44553</v>
      </c>
      <c r="D991" s="558" t="s">
        <v>341</v>
      </c>
      <c r="E991" s="635" t="s">
        <v>1709</v>
      </c>
      <c r="F991" s="562" t="s">
        <v>1971</v>
      </c>
      <c r="G991" s="569" t="s">
        <v>1359</v>
      </c>
      <c r="H991" s="578" t="s">
        <v>2000</v>
      </c>
      <c r="I991" s="588" t="s">
        <v>1300</v>
      </c>
      <c r="J991" s="590" t="s">
        <v>2015</v>
      </c>
      <c r="K991" s="586" t="s">
        <v>2008</v>
      </c>
      <c r="L991" s="617" t="s">
        <v>302</v>
      </c>
      <c r="M991" s="618">
        <v>20000000</v>
      </c>
      <c r="N991" s="629">
        <v>20000000</v>
      </c>
    </row>
    <row r="992" spans="2:14" ht="22.5" customHeight="1" x14ac:dyDescent="0.2">
      <c r="B992" s="633" t="s">
        <v>179</v>
      </c>
      <c r="C992" s="548"/>
      <c r="D992" s="558"/>
      <c r="E992" s="635"/>
      <c r="F992" s="562"/>
      <c r="G992" s="569"/>
      <c r="H992" s="578"/>
      <c r="I992" s="588"/>
      <c r="J992" s="590"/>
      <c r="K992" s="586"/>
      <c r="L992" s="617"/>
      <c r="M992" s="618"/>
      <c r="N992" s="23">
        <f>SUM(N993:N1001)</f>
        <v>3469007006.0900002</v>
      </c>
    </row>
    <row r="993" spans="2:14" ht="38.25" x14ac:dyDescent="0.2">
      <c r="B993" s="540" t="s">
        <v>1941</v>
      </c>
      <c r="C993" s="547">
        <v>44398</v>
      </c>
      <c r="D993" s="557" t="s">
        <v>341</v>
      </c>
      <c r="E993" s="635" t="s">
        <v>1709</v>
      </c>
      <c r="F993" s="560" t="s">
        <v>1968</v>
      </c>
      <c r="G993" s="567" t="s">
        <v>179</v>
      </c>
      <c r="H993" s="575" t="s">
        <v>1997</v>
      </c>
      <c r="I993" s="584" t="s">
        <v>1300</v>
      </c>
      <c r="J993" s="585" t="s">
        <v>232</v>
      </c>
      <c r="K993" s="586" t="s">
        <v>2048</v>
      </c>
      <c r="L993" s="617" t="s">
        <v>302</v>
      </c>
      <c r="M993" s="618">
        <v>74000000</v>
      </c>
      <c r="N993" s="629">
        <v>74000000</v>
      </c>
    </row>
    <row r="994" spans="2:14" ht="25.5" x14ac:dyDescent="0.2">
      <c r="B994" s="540" t="s">
        <v>1945</v>
      </c>
      <c r="C994" s="549">
        <v>44484</v>
      </c>
      <c r="D994" s="557" t="s">
        <v>628</v>
      </c>
      <c r="E994" s="635" t="s">
        <v>93</v>
      </c>
      <c r="F994" s="560" t="s">
        <v>1972</v>
      </c>
      <c r="G994" s="567" t="s">
        <v>179</v>
      </c>
      <c r="H994" s="579" t="s">
        <v>2001</v>
      </c>
      <c r="I994" s="584" t="s">
        <v>2017</v>
      </c>
      <c r="J994" s="585" t="s">
        <v>1007</v>
      </c>
      <c r="K994" s="586" t="s">
        <v>2009</v>
      </c>
      <c r="L994" s="617" t="s">
        <v>1907</v>
      </c>
      <c r="M994" s="618">
        <v>40000000</v>
      </c>
      <c r="N994" s="629">
        <v>50452006.090000004</v>
      </c>
    </row>
    <row r="995" spans="2:14" ht="38.25" x14ac:dyDescent="0.2">
      <c r="B995" s="539" t="s">
        <v>1946</v>
      </c>
      <c r="C995" s="549">
        <v>44286</v>
      </c>
      <c r="D995" s="539" t="s">
        <v>341</v>
      </c>
      <c r="E995" s="635" t="s">
        <v>1709</v>
      </c>
      <c r="F995" s="563" t="s">
        <v>1973</v>
      </c>
      <c r="G995" s="570" t="s">
        <v>340</v>
      </c>
      <c r="H995" s="579" t="s">
        <v>2001</v>
      </c>
      <c r="I995" s="591" t="s">
        <v>1300</v>
      </c>
      <c r="J995" s="592" t="s">
        <v>907</v>
      </c>
      <c r="K995" s="593" t="s">
        <v>2010</v>
      </c>
      <c r="L995" s="617" t="s">
        <v>302</v>
      </c>
      <c r="M995" s="618">
        <v>400000000</v>
      </c>
      <c r="N995" s="629">
        <v>400000000</v>
      </c>
    </row>
    <row r="996" spans="2:14" ht="25.5" x14ac:dyDescent="0.2">
      <c r="B996" s="539" t="s">
        <v>1947</v>
      </c>
      <c r="C996" s="549">
        <v>44335</v>
      </c>
      <c r="D996" s="539" t="s">
        <v>391</v>
      </c>
      <c r="E996" s="635" t="s">
        <v>1709</v>
      </c>
      <c r="F996" s="563" t="s">
        <v>1974</v>
      </c>
      <c r="G996" s="570" t="s">
        <v>340</v>
      </c>
      <c r="H996" s="579" t="s">
        <v>2001</v>
      </c>
      <c r="I996" s="594" t="s">
        <v>2020</v>
      </c>
      <c r="J996" s="592" t="s">
        <v>2021</v>
      </c>
      <c r="K996" s="595" t="s">
        <v>80</v>
      </c>
      <c r="L996" s="617" t="s">
        <v>302</v>
      </c>
      <c r="M996" s="618">
        <v>350000000</v>
      </c>
      <c r="N996" s="629">
        <v>350000000</v>
      </c>
    </row>
    <row r="997" spans="2:14" ht="38.25" x14ac:dyDescent="0.2">
      <c r="B997" s="539" t="s">
        <v>1948</v>
      </c>
      <c r="C997" s="549">
        <v>44342</v>
      </c>
      <c r="D997" s="539" t="s">
        <v>411</v>
      </c>
      <c r="E997" s="635" t="s">
        <v>1709</v>
      </c>
      <c r="F997" s="563" t="s">
        <v>1975</v>
      </c>
      <c r="G997" s="570" t="s">
        <v>340</v>
      </c>
      <c r="H997" s="579" t="s">
        <v>2001</v>
      </c>
      <c r="I997" s="594" t="s">
        <v>1371</v>
      </c>
      <c r="J997" s="596" t="s">
        <v>2011</v>
      </c>
      <c r="K997" s="597" t="s">
        <v>907</v>
      </c>
      <c r="L997" s="617" t="s">
        <v>302</v>
      </c>
      <c r="M997" s="618">
        <v>750000000</v>
      </c>
      <c r="N997" s="629">
        <v>750000000</v>
      </c>
    </row>
    <row r="998" spans="2:14" ht="38.25" x14ac:dyDescent="0.2">
      <c r="B998" s="542" t="s">
        <v>1949</v>
      </c>
      <c r="C998" s="550">
        <v>44356</v>
      </c>
      <c r="D998" s="542" t="s">
        <v>341</v>
      </c>
      <c r="E998" s="635" t="s">
        <v>1709</v>
      </c>
      <c r="F998" s="561" t="s">
        <v>1976</v>
      </c>
      <c r="G998" s="571" t="s">
        <v>340</v>
      </c>
      <c r="H998" s="580" t="s">
        <v>2001</v>
      </c>
      <c r="I998" s="598" t="s">
        <v>1300</v>
      </c>
      <c r="J998" s="599" t="s">
        <v>907</v>
      </c>
      <c r="K998" s="593" t="s">
        <v>2010</v>
      </c>
      <c r="L998" s="617" t="s">
        <v>302</v>
      </c>
      <c r="M998" s="618">
        <v>600000000</v>
      </c>
      <c r="N998" s="629">
        <v>600000000</v>
      </c>
    </row>
    <row r="999" spans="2:14" ht="25.5" x14ac:dyDescent="0.2">
      <c r="B999" s="542" t="s">
        <v>1950</v>
      </c>
      <c r="C999" s="547">
        <v>44377</v>
      </c>
      <c r="D999" s="540" t="s">
        <v>411</v>
      </c>
      <c r="E999" s="635" t="s">
        <v>1709</v>
      </c>
      <c r="F999" s="563" t="s">
        <v>1977</v>
      </c>
      <c r="G999" s="572" t="s">
        <v>340</v>
      </c>
      <c r="H999" s="581" t="s">
        <v>2001</v>
      </c>
      <c r="I999" s="584" t="s">
        <v>1371</v>
      </c>
      <c r="J999" s="600" t="s">
        <v>2012</v>
      </c>
      <c r="K999" s="587" t="s">
        <v>907</v>
      </c>
      <c r="L999" s="617" t="s">
        <v>302</v>
      </c>
      <c r="M999" s="618">
        <v>350000000</v>
      </c>
      <c r="N999" s="629">
        <v>350000000</v>
      </c>
    </row>
    <row r="1000" spans="2:14" ht="25.5" x14ac:dyDescent="0.2">
      <c r="B1000" s="540" t="s">
        <v>1951</v>
      </c>
      <c r="C1000" s="547">
        <v>44530</v>
      </c>
      <c r="D1000" s="540" t="s">
        <v>628</v>
      </c>
      <c r="E1000" s="635" t="s">
        <v>93</v>
      </c>
      <c r="F1000" s="563" t="s">
        <v>1978</v>
      </c>
      <c r="G1000" s="572" t="s">
        <v>340</v>
      </c>
      <c r="H1000" s="581" t="s">
        <v>2001</v>
      </c>
      <c r="I1000" s="584" t="s">
        <v>2024</v>
      </c>
      <c r="J1000" s="601" t="s">
        <v>84</v>
      </c>
      <c r="K1000" s="587" t="s">
        <v>156</v>
      </c>
      <c r="L1000" s="617" t="s">
        <v>1907</v>
      </c>
      <c r="M1000" s="618">
        <v>350000000</v>
      </c>
      <c r="N1000" s="629">
        <v>394555000</v>
      </c>
    </row>
    <row r="1001" spans="2:14" ht="39" thickBot="1" x14ac:dyDescent="0.25">
      <c r="B1001" s="543" t="s">
        <v>1952</v>
      </c>
      <c r="C1001" s="551">
        <v>44530</v>
      </c>
      <c r="D1001" s="543" t="s">
        <v>341</v>
      </c>
      <c r="E1001" s="543" t="s">
        <v>1709</v>
      </c>
      <c r="F1001" s="564" t="s">
        <v>1979</v>
      </c>
      <c r="G1001" s="573" t="s">
        <v>340</v>
      </c>
      <c r="H1001" s="582" t="s">
        <v>2001</v>
      </c>
      <c r="I1001" s="602" t="s">
        <v>1300</v>
      </c>
      <c r="J1001" s="603" t="s">
        <v>907</v>
      </c>
      <c r="K1001" s="604" t="s">
        <v>94</v>
      </c>
      <c r="L1001" s="630" t="s">
        <v>302</v>
      </c>
      <c r="M1001" s="631">
        <v>500000000</v>
      </c>
      <c r="N1001" s="632">
        <v>500000000</v>
      </c>
    </row>
    <row r="1002" spans="2:14" ht="15" thickTop="1" x14ac:dyDescent="0.2">
      <c r="B1002" s="559"/>
      <c r="C1002" s="552"/>
      <c r="D1002" s="559"/>
      <c r="E1002" s="434"/>
      <c r="F1002" s="565"/>
      <c r="G1002" s="574"/>
      <c r="H1002" s="583"/>
      <c r="I1002" s="605"/>
      <c r="J1002" s="606"/>
      <c r="K1002" s="607"/>
      <c r="L1002" s="617"/>
      <c r="M1002" s="618"/>
      <c r="N1002" s="629"/>
    </row>
    <row r="1003" spans="2:14" ht="15" x14ac:dyDescent="0.2">
      <c r="B1003" s="544">
        <v>2022</v>
      </c>
      <c r="C1003" s="552"/>
      <c r="D1003" s="559"/>
      <c r="E1003" s="434"/>
      <c r="F1003" s="565"/>
      <c r="G1003" s="574"/>
      <c r="H1003" s="583"/>
      <c r="I1003" s="605"/>
      <c r="J1003" s="606"/>
      <c r="K1003" s="607"/>
      <c r="L1003" s="617"/>
      <c r="M1003" s="618"/>
      <c r="N1003" s="629"/>
    </row>
    <row r="1004" spans="2:14" ht="27.75" customHeight="1" x14ac:dyDescent="0.2">
      <c r="B1004" s="633" t="s">
        <v>1359</v>
      </c>
      <c r="C1004" s="552"/>
      <c r="D1004" s="559"/>
      <c r="E1004" s="434"/>
      <c r="F1004" s="565"/>
      <c r="G1004" s="574"/>
      <c r="H1004" s="583"/>
      <c r="I1004" s="605"/>
      <c r="J1004" s="606"/>
      <c r="K1004" s="607"/>
      <c r="L1004" s="617"/>
      <c r="M1004" s="618"/>
      <c r="N1004" s="23">
        <f>SUM(N1005:N1006)</f>
        <v>101798818.5</v>
      </c>
    </row>
    <row r="1005" spans="2:14" ht="38.25" x14ac:dyDescent="0.2">
      <c r="B1005" s="540" t="s">
        <v>1953</v>
      </c>
      <c r="C1005" s="553">
        <v>44611</v>
      </c>
      <c r="D1005" s="539" t="s">
        <v>628</v>
      </c>
      <c r="E1005" s="635" t="s">
        <v>93</v>
      </c>
      <c r="F1005" s="560" t="s">
        <v>1980</v>
      </c>
      <c r="G1005" s="567" t="s">
        <v>1359</v>
      </c>
      <c r="H1005" s="575" t="s">
        <v>1361</v>
      </c>
      <c r="I1005" s="608" t="s">
        <v>2025</v>
      </c>
      <c r="J1005" s="585" t="s">
        <v>84</v>
      </c>
      <c r="K1005" s="609" t="s">
        <v>2013</v>
      </c>
      <c r="L1005" s="617" t="s">
        <v>1907</v>
      </c>
      <c r="M1005" s="618">
        <v>50000000</v>
      </c>
      <c r="N1005" s="629">
        <v>56798818.5</v>
      </c>
    </row>
    <row r="1006" spans="2:14" ht="25.5" x14ac:dyDescent="0.2">
      <c r="B1006" s="540" t="s">
        <v>1957</v>
      </c>
      <c r="C1006" s="553">
        <v>44715</v>
      </c>
      <c r="D1006" s="540" t="s">
        <v>215</v>
      </c>
      <c r="E1006" s="635" t="s">
        <v>93</v>
      </c>
      <c r="F1006" s="560" t="s">
        <v>1984</v>
      </c>
      <c r="G1006" s="567" t="s">
        <v>1359</v>
      </c>
      <c r="H1006" s="575" t="s">
        <v>2004</v>
      </c>
      <c r="I1006" s="608" t="s">
        <v>2034</v>
      </c>
      <c r="J1006" s="585" t="s">
        <v>255</v>
      </c>
      <c r="K1006" s="610" t="s">
        <v>2022</v>
      </c>
      <c r="L1006" s="617" t="s">
        <v>302</v>
      </c>
      <c r="M1006" s="618">
        <v>45000000</v>
      </c>
      <c r="N1006" s="629">
        <v>45000000</v>
      </c>
    </row>
    <row r="1007" spans="2:14" ht="30" customHeight="1" x14ac:dyDescent="0.2">
      <c r="B1007" s="633" t="s">
        <v>20</v>
      </c>
      <c r="C1007" s="553"/>
      <c r="D1007" s="540"/>
      <c r="E1007" s="635"/>
      <c r="F1007" s="560"/>
      <c r="G1007" s="567"/>
      <c r="H1007" s="575"/>
      <c r="I1007" s="608"/>
      <c r="J1007" s="585"/>
      <c r="K1007" s="610"/>
      <c r="L1007" s="617"/>
      <c r="M1007" s="618"/>
      <c r="N1007" s="23">
        <f>SUM(N1008)</f>
        <v>100000000</v>
      </c>
    </row>
    <row r="1008" spans="2:14" ht="38.25" x14ac:dyDescent="0.2">
      <c r="B1008" s="540" t="s">
        <v>1956</v>
      </c>
      <c r="C1008" s="553">
        <v>44650</v>
      </c>
      <c r="D1008" s="539" t="s">
        <v>411</v>
      </c>
      <c r="E1008" s="635" t="s">
        <v>1709</v>
      </c>
      <c r="F1008" s="560" t="s">
        <v>1983</v>
      </c>
      <c r="G1008" s="567" t="s">
        <v>1995</v>
      </c>
      <c r="H1008" s="575" t="s">
        <v>2003</v>
      </c>
      <c r="I1008" s="608" t="s">
        <v>2032</v>
      </c>
      <c r="J1008" s="585" t="s">
        <v>1007</v>
      </c>
      <c r="K1008" s="610" t="s">
        <v>2018</v>
      </c>
      <c r="L1008" s="617" t="s">
        <v>302</v>
      </c>
      <c r="M1008" s="618">
        <v>100000000</v>
      </c>
      <c r="N1008" s="629">
        <v>100000000</v>
      </c>
    </row>
    <row r="1009" spans="2:14" ht="26.25" customHeight="1" x14ac:dyDescent="0.2">
      <c r="B1009" s="633" t="s">
        <v>1023</v>
      </c>
      <c r="C1009" s="553"/>
      <c r="D1009" s="539"/>
      <c r="E1009" s="635"/>
      <c r="F1009" s="560"/>
      <c r="G1009" s="567"/>
      <c r="H1009" s="575"/>
      <c r="I1009" s="608"/>
      <c r="J1009" s="585"/>
      <c r="K1009" s="610"/>
      <c r="L1009" s="617"/>
      <c r="M1009" s="618"/>
      <c r="N1009" s="23">
        <f>SUM(N1010)</f>
        <v>58519200</v>
      </c>
    </row>
    <row r="1010" spans="2:14" ht="51" x14ac:dyDescent="0.2">
      <c r="B1010" s="539" t="s">
        <v>1958</v>
      </c>
      <c r="C1010" s="554">
        <v>44898</v>
      </c>
      <c r="D1010" s="539" t="s">
        <v>628</v>
      </c>
      <c r="E1010" s="635" t="s">
        <v>93</v>
      </c>
      <c r="F1010" s="563" t="s">
        <v>1985</v>
      </c>
      <c r="G1010" s="575" t="s">
        <v>1023</v>
      </c>
      <c r="H1010" s="575" t="s">
        <v>2005</v>
      </c>
      <c r="I1010" s="611" t="s">
        <v>2036</v>
      </c>
      <c r="J1010" s="592" t="s">
        <v>80</v>
      </c>
      <c r="K1010" s="612" t="s">
        <v>2031</v>
      </c>
      <c r="L1010" s="617" t="s">
        <v>1907</v>
      </c>
      <c r="M1010" s="618">
        <v>55500000</v>
      </c>
      <c r="N1010" s="629">
        <v>58519200</v>
      </c>
    </row>
    <row r="1011" spans="2:14" ht="33" customHeight="1" x14ac:dyDescent="0.2">
      <c r="B1011" s="633" t="s">
        <v>381</v>
      </c>
      <c r="C1011" s="554"/>
      <c r="D1011" s="539"/>
      <c r="E1011" s="635"/>
      <c r="F1011" s="563"/>
      <c r="G1011" s="575"/>
      <c r="H1011" s="575"/>
      <c r="I1011" s="611"/>
      <c r="J1011" s="592"/>
      <c r="K1011" s="612"/>
      <c r="L1011" s="617"/>
      <c r="M1011" s="618"/>
      <c r="N1011" s="23">
        <f>SUM(N1012:N1015)</f>
        <v>359852000</v>
      </c>
    </row>
    <row r="1012" spans="2:14" ht="38.25" x14ac:dyDescent="0.2">
      <c r="B1012" s="540" t="s">
        <v>1954</v>
      </c>
      <c r="C1012" s="553">
        <v>44618</v>
      </c>
      <c r="D1012" s="539" t="s">
        <v>341</v>
      </c>
      <c r="E1012" s="635" t="s">
        <v>1709</v>
      </c>
      <c r="F1012" s="560" t="s">
        <v>1981</v>
      </c>
      <c r="G1012" s="567" t="s">
        <v>381</v>
      </c>
      <c r="H1012" s="575" t="s">
        <v>2002</v>
      </c>
      <c r="I1012" s="608" t="s">
        <v>2027</v>
      </c>
      <c r="J1012" s="585" t="s">
        <v>2028</v>
      </c>
      <c r="K1012" s="610" t="s">
        <v>2014</v>
      </c>
      <c r="L1012" s="617" t="s">
        <v>302</v>
      </c>
      <c r="M1012" s="618">
        <v>74000000</v>
      </c>
      <c r="N1012" s="629">
        <v>74000000</v>
      </c>
    </row>
    <row r="1013" spans="2:14" ht="38.25" x14ac:dyDescent="0.2">
      <c r="B1013" s="539" t="s">
        <v>1959</v>
      </c>
      <c r="C1013" s="554">
        <v>44898</v>
      </c>
      <c r="D1013" s="539" t="s">
        <v>628</v>
      </c>
      <c r="E1013" s="635" t="s">
        <v>93</v>
      </c>
      <c r="F1013" s="563" t="s">
        <v>1986</v>
      </c>
      <c r="G1013" s="575" t="s">
        <v>381</v>
      </c>
      <c r="H1013" s="575" t="s">
        <v>2002</v>
      </c>
      <c r="I1013" s="611" t="s">
        <v>2036</v>
      </c>
      <c r="J1013" s="592" t="s">
        <v>2015</v>
      </c>
      <c r="K1013" s="612" t="s">
        <v>2033</v>
      </c>
      <c r="L1013" s="617" t="s">
        <v>1907</v>
      </c>
      <c r="M1013" s="618">
        <v>80000000</v>
      </c>
      <c r="N1013" s="629">
        <v>84352000</v>
      </c>
    </row>
    <row r="1014" spans="2:14" ht="25.5" x14ac:dyDescent="0.2">
      <c r="B1014" s="539" t="s">
        <v>1960</v>
      </c>
      <c r="C1014" s="554">
        <v>44898</v>
      </c>
      <c r="D1014" s="539" t="s">
        <v>341</v>
      </c>
      <c r="E1014" s="635" t="s">
        <v>1709</v>
      </c>
      <c r="F1014" s="563" t="s">
        <v>1987</v>
      </c>
      <c r="G1014" s="575" t="s">
        <v>381</v>
      </c>
      <c r="H1014" s="575" t="s">
        <v>1741</v>
      </c>
      <c r="I1014" s="611" t="s">
        <v>2037</v>
      </c>
      <c r="J1014" s="592" t="s">
        <v>255</v>
      </c>
      <c r="K1014" s="612" t="s">
        <v>2043</v>
      </c>
      <c r="L1014" s="617" t="s">
        <v>302</v>
      </c>
      <c r="M1014" s="618">
        <v>150000000</v>
      </c>
      <c r="N1014" s="629">
        <v>150000000</v>
      </c>
    </row>
    <row r="1015" spans="2:14" ht="51" x14ac:dyDescent="0.2">
      <c r="B1015" s="540" t="s">
        <v>1955</v>
      </c>
      <c r="C1015" s="553">
        <v>44649</v>
      </c>
      <c r="D1015" s="539" t="s">
        <v>391</v>
      </c>
      <c r="E1015" s="635" t="s">
        <v>1709</v>
      </c>
      <c r="F1015" s="560" t="s">
        <v>1982</v>
      </c>
      <c r="G1015" s="567" t="s">
        <v>381</v>
      </c>
      <c r="H1015" s="575" t="s">
        <v>382</v>
      </c>
      <c r="I1015" s="608" t="s">
        <v>2030</v>
      </c>
      <c r="J1015" s="585" t="s">
        <v>60</v>
      </c>
      <c r="K1015" s="610" t="s">
        <v>2016</v>
      </c>
      <c r="L1015" s="617" t="s">
        <v>302</v>
      </c>
      <c r="M1015" s="618">
        <v>51500000</v>
      </c>
      <c r="N1015" s="629">
        <v>51500000</v>
      </c>
    </row>
    <row r="1016" spans="2:14" ht="31.5" customHeight="1" x14ac:dyDescent="0.2">
      <c r="B1016" s="633" t="s">
        <v>179</v>
      </c>
      <c r="C1016" s="553"/>
      <c r="D1016" s="539"/>
      <c r="E1016" s="635"/>
      <c r="F1016" s="560"/>
      <c r="G1016" s="567"/>
      <c r="H1016" s="575"/>
      <c r="I1016" s="608"/>
      <c r="J1016" s="585"/>
      <c r="K1016" s="610"/>
      <c r="L1016" s="617"/>
      <c r="M1016" s="618"/>
      <c r="N1016" s="23">
        <f>SUM(N1017:N1022)</f>
        <v>1604352000</v>
      </c>
    </row>
    <row r="1017" spans="2:14" ht="25.5" x14ac:dyDescent="0.2">
      <c r="B1017" s="539" t="s">
        <v>1961</v>
      </c>
      <c r="C1017" s="554">
        <v>44912</v>
      </c>
      <c r="D1017" s="539" t="s">
        <v>341</v>
      </c>
      <c r="E1017" s="635" t="s">
        <v>1709</v>
      </c>
      <c r="F1017" s="563" t="s">
        <v>1988</v>
      </c>
      <c r="G1017" s="575" t="s">
        <v>179</v>
      </c>
      <c r="H1017" s="575" t="s">
        <v>359</v>
      </c>
      <c r="I1017" s="611" t="s">
        <v>2037</v>
      </c>
      <c r="J1017" s="592" t="s">
        <v>2038</v>
      </c>
      <c r="K1017" s="612" t="s">
        <v>2035</v>
      </c>
      <c r="L1017" s="617" t="s">
        <v>302</v>
      </c>
      <c r="M1017" s="618">
        <v>100000000</v>
      </c>
      <c r="N1017" s="629">
        <v>100000000</v>
      </c>
    </row>
    <row r="1018" spans="2:14" x14ac:dyDescent="0.2">
      <c r="B1018" s="539" t="s">
        <v>1962</v>
      </c>
      <c r="C1018" s="554">
        <v>44813</v>
      </c>
      <c r="D1018" s="539" t="s">
        <v>411</v>
      </c>
      <c r="E1018" s="635" t="s">
        <v>1709</v>
      </c>
      <c r="F1018" s="563" t="s">
        <v>1989</v>
      </c>
      <c r="G1018" s="575" t="s">
        <v>179</v>
      </c>
      <c r="H1018" s="575" t="s">
        <v>2006</v>
      </c>
      <c r="I1018" s="611" t="s">
        <v>2039</v>
      </c>
      <c r="J1018" s="592" t="s">
        <v>1007</v>
      </c>
      <c r="K1018" s="612" t="s">
        <v>2023</v>
      </c>
      <c r="L1018" s="617" t="s">
        <v>302</v>
      </c>
      <c r="M1018" s="618">
        <v>500000000</v>
      </c>
      <c r="N1018" s="629">
        <v>500000000</v>
      </c>
    </row>
    <row r="1019" spans="2:14" ht="25.5" x14ac:dyDescent="0.2">
      <c r="B1019" s="539" t="s">
        <v>1963</v>
      </c>
      <c r="C1019" s="554">
        <v>44898</v>
      </c>
      <c r="D1019" s="539" t="s">
        <v>628</v>
      </c>
      <c r="E1019" s="635" t="s">
        <v>93</v>
      </c>
      <c r="F1019" s="563" t="s">
        <v>1990</v>
      </c>
      <c r="G1019" s="575" t="s">
        <v>179</v>
      </c>
      <c r="H1019" s="575" t="s">
        <v>2006</v>
      </c>
      <c r="I1019" s="611" t="s">
        <v>2036</v>
      </c>
      <c r="J1019" s="592" t="s">
        <v>2041</v>
      </c>
      <c r="K1019" s="612" t="s">
        <v>2029</v>
      </c>
      <c r="L1019" s="617" t="s">
        <v>1907</v>
      </c>
      <c r="M1019" s="618">
        <v>80000000</v>
      </c>
      <c r="N1019" s="629">
        <v>84352000</v>
      </c>
    </row>
    <row r="1020" spans="2:14" ht="25.5" x14ac:dyDescent="0.2">
      <c r="B1020" s="539" t="s">
        <v>1964</v>
      </c>
      <c r="C1020" s="554">
        <v>44702</v>
      </c>
      <c r="D1020" s="540" t="s">
        <v>411</v>
      </c>
      <c r="E1020" s="635" t="s">
        <v>1709</v>
      </c>
      <c r="F1020" s="560" t="s">
        <v>1991</v>
      </c>
      <c r="G1020" s="567" t="s">
        <v>179</v>
      </c>
      <c r="H1020" s="575" t="s">
        <v>2006</v>
      </c>
      <c r="I1020" s="608" t="s">
        <v>2042</v>
      </c>
      <c r="J1020" s="585" t="s">
        <v>1007</v>
      </c>
      <c r="K1020" s="610" t="s">
        <v>2019</v>
      </c>
      <c r="L1020" s="617" t="s">
        <v>302</v>
      </c>
      <c r="M1020" s="618">
        <v>500000000</v>
      </c>
      <c r="N1020" s="629">
        <v>500000000</v>
      </c>
    </row>
    <row r="1021" spans="2:14" ht="38.25" x14ac:dyDescent="0.2">
      <c r="B1021" s="539" t="s">
        <v>1965</v>
      </c>
      <c r="C1021" s="554">
        <v>44834</v>
      </c>
      <c r="D1021" s="539" t="s">
        <v>391</v>
      </c>
      <c r="E1021" s="635" t="s">
        <v>1709</v>
      </c>
      <c r="F1021" s="563" t="s">
        <v>1992</v>
      </c>
      <c r="G1021" s="575" t="s">
        <v>179</v>
      </c>
      <c r="H1021" s="575" t="s">
        <v>2006</v>
      </c>
      <c r="I1021" s="613" t="s">
        <v>2044</v>
      </c>
      <c r="J1021" s="592" t="s">
        <v>80</v>
      </c>
      <c r="K1021" s="612" t="s">
        <v>2026</v>
      </c>
      <c r="L1021" s="617" t="s">
        <v>302</v>
      </c>
      <c r="M1021" s="618">
        <v>120000000</v>
      </c>
      <c r="N1021" s="629">
        <v>120000000</v>
      </c>
    </row>
    <row r="1022" spans="2:14" ht="26.25" thickBot="1" x14ac:dyDescent="0.25">
      <c r="B1022" s="545" t="s">
        <v>1966</v>
      </c>
      <c r="C1022" s="555">
        <v>44924</v>
      </c>
      <c r="D1022" s="545" t="s">
        <v>341</v>
      </c>
      <c r="E1022" s="545" t="s">
        <v>1709</v>
      </c>
      <c r="F1022" s="566" t="s">
        <v>1993</v>
      </c>
      <c r="G1022" s="576" t="s">
        <v>179</v>
      </c>
      <c r="H1022" s="576" t="s">
        <v>2006</v>
      </c>
      <c r="I1022" s="614" t="s">
        <v>2037</v>
      </c>
      <c r="J1022" s="615" t="s">
        <v>2038</v>
      </c>
      <c r="K1022" s="616" t="s">
        <v>2040</v>
      </c>
      <c r="L1022" s="630" t="s">
        <v>302</v>
      </c>
      <c r="M1022" s="631">
        <v>300000000</v>
      </c>
      <c r="N1022" s="632">
        <v>300000000</v>
      </c>
    </row>
    <row r="1023" spans="2:14" ht="13.5" thickTop="1" x14ac:dyDescent="0.2">
      <c r="B1023" s="111"/>
      <c r="C1023" s="234"/>
      <c r="D1023" s="84"/>
      <c r="E1023" s="92"/>
      <c r="F1023" s="502"/>
      <c r="G1023" s="92"/>
      <c r="H1023" s="92"/>
      <c r="I1023" s="139"/>
      <c r="J1023" s="92"/>
      <c r="K1023" s="92"/>
      <c r="L1023" s="92"/>
      <c r="M1023" s="155"/>
      <c r="N1023" s="235"/>
    </row>
    <row r="1024" spans="2:14" x14ac:dyDescent="0.2">
      <c r="B1024" s="111"/>
      <c r="C1024" s="234"/>
      <c r="D1024" s="84"/>
      <c r="E1024" s="92"/>
      <c r="F1024" s="502"/>
      <c r="G1024" s="92"/>
      <c r="H1024" s="92"/>
      <c r="I1024" s="139"/>
      <c r="J1024" s="92"/>
      <c r="K1024" s="92"/>
      <c r="L1024" s="92"/>
      <c r="M1024" s="155"/>
      <c r="N1024" s="235"/>
    </row>
    <row r="1025" spans="2:14" x14ac:dyDescent="0.2">
      <c r="B1025" s="111"/>
      <c r="C1025" s="234"/>
      <c r="D1025" s="84"/>
      <c r="E1025" s="92"/>
      <c r="F1025" s="502"/>
      <c r="G1025" s="92"/>
      <c r="H1025" s="92"/>
      <c r="I1025" s="139"/>
      <c r="J1025" s="92"/>
      <c r="K1025" s="92"/>
      <c r="L1025" s="92"/>
      <c r="M1025" s="155"/>
      <c r="N1025" s="235"/>
    </row>
    <row r="1026" spans="2:14" x14ac:dyDescent="0.2">
      <c r="B1026" s="111"/>
      <c r="C1026" s="234"/>
      <c r="D1026" s="84"/>
      <c r="E1026" s="92"/>
      <c r="F1026" s="502"/>
      <c r="G1026" s="92"/>
      <c r="H1026" s="92"/>
      <c r="I1026" s="139"/>
      <c r="J1026" s="92"/>
      <c r="K1026" s="92"/>
      <c r="L1026" s="92"/>
      <c r="M1026" s="155"/>
      <c r="N1026" s="235"/>
    </row>
    <row r="1027" spans="2:14" x14ac:dyDescent="0.2">
      <c r="B1027" s="111"/>
      <c r="C1027" s="234"/>
      <c r="D1027" s="84"/>
      <c r="E1027" s="92"/>
      <c r="F1027" s="502"/>
      <c r="G1027" s="92"/>
      <c r="H1027" s="92"/>
      <c r="I1027" s="139"/>
      <c r="J1027" s="92"/>
      <c r="K1027" s="92"/>
      <c r="L1027" s="92"/>
      <c r="M1027" s="155"/>
      <c r="N1027" s="235"/>
    </row>
    <row r="1028" spans="2:14" x14ac:dyDescent="0.2">
      <c r="B1028" s="111"/>
      <c r="C1028" s="234"/>
      <c r="D1028" s="84"/>
      <c r="E1028" s="92"/>
      <c r="F1028" s="502"/>
      <c r="G1028" s="92"/>
      <c r="H1028" s="92"/>
      <c r="I1028" s="139"/>
      <c r="J1028" s="92"/>
      <c r="K1028" s="92"/>
      <c r="L1028" s="92"/>
      <c r="M1028" s="155"/>
      <c r="N1028" s="235"/>
    </row>
    <row r="1029" spans="2:14" x14ac:dyDescent="0.2">
      <c r="B1029" s="32" t="s">
        <v>996</v>
      </c>
      <c r="C1029" s="234"/>
      <c r="D1029" s="111"/>
      <c r="E1029" s="92"/>
      <c r="F1029" s="502"/>
      <c r="G1029" s="92"/>
      <c r="H1029" s="92"/>
      <c r="I1029" s="92"/>
      <c r="J1029" s="92"/>
      <c r="K1029" s="92"/>
      <c r="L1029" s="92"/>
      <c r="M1029" s="155"/>
      <c r="N1029" s="142"/>
    </row>
    <row r="1030" spans="2:14" x14ac:dyDescent="0.2">
      <c r="B1030" s="32" t="s">
        <v>1677</v>
      </c>
      <c r="C1030" s="234"/>
      <c r="D1030" s="84"/>
      <c r="E1030" s="92"/>
      <c r="F1030" s="502"/>
      <c r="G1030" s="92"/>
      <c r="H1030" s="92"/>
      <c r="I1030" s="92"/>
      <c r="J1030" s="92"/>
      <c r="K1030" s="92"/>
      <c r="L1030" s="92"/>
      <c r="M1030" s="155"/>
      <c r="N1030" s="119"/>
    </row>
    <row r="1031" spans="2:14" x14ac:dyDescent="0.2">
      <c r="B1031" s="26" t="s">
        <v>1444</v>
      </c>
      <c r="C1031" s="234"/>
      <c r="D1031" s="84"/>
      <c r="E1031" s="92"/>
      <c r="F1031" s="502"/>
      <c r="G1031" s="92"/>
      <c r="H1031" s="92"/>
      <c r="I1031" s="92"/>
      <c r="J1031" s="92"/>
      <c r="K1031" s="92"/>
      <c r="L1031" s="92"/>
      <c r="M1031" s="155"/>
      <c r="N1031" s="119"/>
    </row>
    <row r="1032" spans="2:14" x14ac:dyDescent="0.2">
      <c r="B1032" s="33" t="s">
        <v>1445</v>
      </c>
      <c r="C1032" s="234"/>
      <c r="D1032" s="84"/>
      <c r="E1032" s="92"/>
      <c r="F1032" s="502"/>
      <c r="G1032" s="92"/>
      <c r="H1032" s="92"/>
      <c r="I1032" s="92"/>
      <c r="J1032" s="92"/>
      <c r="K1032" s="92"/>
      <c r="L1032" s="92"/>
      <c r="M1032" s="155"/>
      <c r="N1032" s="84"/>
    </row>
    <row r="1033" spans="2:14" x14ac:dyDescent="0.2">
      <c r="B1033" s="26" t="s">
        <v>1446</v>
      </c>
      <c r="C1033" s="234"/>
      <c r="D1033" s="84"/>
      <c r="E1033" s="92"/>
      <c r="F1033" s="502"/>
      <c r="G1033" s="92"/>
      <c r="H1033" s="92"/>
      <c r="I1033" s="92"/>
      <c r="J1033" s="92"/>
      <c r="K1033" s="92"/>
      <c r="L1033" s="92"/>
      <c r="M1033" s="155"/>
      <c r="N1033" s="119"/>
    </row>
    <row r="1034" spans="2:14" x14ac:dyDescent="0.2">
      <c r="B1034" s="26" t="s">
        <v>1149</v>
      </c>
      <c r="C1034" s="234"/>
      <c r="D1034" s="84"/>
      <c r="E1034" s="92"/>
      <c r="F1034" s="502"/>
      <c r="G1034" s="92"/>
      <c r="H1034" s="92"/>
      <c r="I1034" s="92"/>
      <c r="J1034" s="92"/>
      <c r="K1034" s="92"/>
      <c r="L1034" s="92"/>
      <c r="M1034" s="155"/>
      <c r="N1034" s="119"/>
    </row>
    <row r="1035" spans="2:14" x14ac:dyDescent="0.2">
      <c r="B1035" s="33" t="s">
        <v>1447</v>
      </c>
      <c r="C1035" s="234"/>
      <c r="D1035" s="84"/>
      <c r="E1035" s="92"/>
      <c r="F1035" s="502"/>
      <c r="G1035" s="92"/>
      <c r="H1035" s="92"/>
      <c r="I1035" s="92"/>
      <c r="J1035" s="92"/>
      <c r="K1035" s="92"/>
      <c r="L1035" s="92"/>
      <c r="M1035" s="155"/>
      <c r="N1035" s="236"/>
    </row>
    <row r="1036" spans="2:14" x14ac:dyDescent="0.2">
      <c r="B1036" s="26" t="s">
        <v>1448</v>
      </c>
      <c r="C1036" s="234"/>
      <c r="D1036" s="84"/>
      <c r="E1036" s="92"/>
      <c r="F1036" s="502"/>
      <c r="G1036" s="92"/>
      <c r="H1036" s="92"/>
      <c r="I1036" s="92"/>
      <c r="J1036" s="92"/>
      <c r="K1036" s="92"/>
      <c r="L1036" s="92"/>
      <c r="M1036" s="155"/>
      <c r="N1036" s="119"/>
    </row>
    <row r="1037" spans="2:14" x14ac:dyDescent="0.2">
      <c r="B1037" s="33" t="s">
        <v>1449</v>
      </c>
      <c r="C1037" s="234"/>
      <c r="D1037" s="84"/>
      <c r="E1037" s="92"/>
      <c r="F1037" s="502"/>
      <c r="G1037" s="92"/>
      <c r="H1037" s="92"/>
      <c r="I1037" s="92"/>
      <c r="J1037" s="92"/>
      <c r="K1037" s="92"/>
      <c r="L1037" s="92"/>
      <c r="M1037" s="155"/>
      <c r="N1037" s="119"/>
    </row>
    <row r="1038" spans="2:14" x14ac:dyDescent="0.2">
      <c r="B1038" s="33" t="s">
        <v>1450</v>
      </c>
      <c r="C1038" s="234"/>
      <c r="D1038" s="84"/>
      <c r="E1038" s="92"/>
      <c r="F1038" s="502"/>
      <c r="G1038" s="92"/>
      <c r="H1038" s="92"/>
      <c r="I1038" s="92"/>
      <c r="J1038" s="92"/>
      <c r="K1038" s="92"/>
      <c r="L1038" s="92"/>
      <c r="M1038" s="119"/>
      <c r="N1038" s="119"/>
    </row>
    <row r="1039" spans="2:14" x14ac:dyDescent="0.2">
      <c r="B1039" s="26" t="s">
        <v>1451</v>
      </c>
      <c r="C1039" s="234"/>
      <c r="D1039" s="84"/>
      <c r="E1039" s="92"/>
      <c r="F1039" s="502"/>
      <c r="G1039" s="92"/>
      <c r="H1039" s="92"/>
      <c r="I1039" s="92"/>
      <c r="J1039" s="92"/>
      <c r="K1039" s="92"/>
      <c r="L1039" s="92"/>
      <c r="M1039" s="119"/>
      <c r="N1039" s="119"/>
    </row>
    <row r="1040" spans="2:14" x14ac:dyDescent="0.2">
      <c r="B1040" s="26" t="s">
        <v>1452</v>
      </c>
      <c r="C1040" s="234"/>
      <c r="D1040" s="84"/>
      <c r="E1040" s="92"/>
      <c r="F1040" s="502"/>
      <c r="G1040" s="92"/>
      <c r="H1040" s="92"/>
      <c r="I1040" s="92"/>
      <c r="J1040" s="92"/>
      <c r="K1040" s="92"/>
      <c r="L1040" s="92"/>
      <c r="M1040" s="119"/>
      <c r="N1040" s="119"/>
    </row>
    <row r="1041" spans="2:14" x14ac:dyDescent="0.2">
      <c r="B1041" s="26" t="s">
        <v>1453</v>
      </c>
      <c r="C1041" s="234"/>
      <c r="D1041" s="84"/>
      <c r="E1041" s="92"/>
      <c r="F1041" s="502"/>
      <c r="G1041" s="92"/>
      <c r="H1041" s="92"/>
      <c r="I1041" s="92"/>
      <c r="J1041" s="92"/>
      <c r="K1041" s="92"/>
      <c r="L1041" s="92"/>
      <c r="M1041" s="119"/>
      <c r="N1041" s="119"/>
    </row>
    <row r="1042" spans="2:14" x14ac:dyDescent="0.2">
      <c r="B1042" s="84" t="s">
        <v>1093</v>
      </c>
      <c r="C1042" s="84"/>
      <c r="D1042" s="84"/>
      <c r="E1042" s="92"/>
      <c r="F1042" s="502"/>
      <c r="G1042" s="92"/>
      <c r="H1042" s="92"/>
      <c r="I1042" s="84"/>
      <c r="J1042" s="84"/>
      <c r="K1042" s="92"/>
      <c r="L1042" s="92"/>
      <c r="M1042" s="119"/>
      <c r="N1042" s="119"/>
    </row>
    <row r="1043" spans="2:14" x14ac:dyDescent="0.2">
      <c r="B1043" s="26" t="s">
        <v>1454</v>
      </c>
      <c r="C1043" s="84"/>
      <c r="D1043" s="84"/>
      <c r="E1043" s="92"/>
      <c r="F1043" s="502"/>
      <c r="G1043" s="92"/>
      <c r="H1043" s="92"/>
      <c r="I1043" s="84"/>
      <c r="J1043" s="84"/>
      <c r="K1043" s="92"/>
      <c r="L1043" s="92"/>
      <c r="M1043" s="119"/>
      <c r="N1043" s="119"/>
    </row>
    <row r="1044" spans="2:14" x14ac:dyDescent="0.2">
      <c r="B1044" s="26" t="s">
        <v>1455</v>
      </c>
      <c r="C1044" s="84"/>
      <c r="D1044" s="84"/>
      <c r="E1044" s="92"/>
      <c r="F1044" s="502"/>
      <c r="G1044" s="92"/>
      <c r="H1044" s="92"/>
      <c r="I1044" s="84"/>
      <c r="J1044" s="84"/>
      <c r="K1044" s="92"/>
      <c r="L1044" s="92"/>
      <c r="M1044" s="119"/>
      <c r="N1044" s="119"/>
    </row>
    <row r="1045" spans="2:14" x14ac:dyDescent="0.2">
      <c r="B1045" s="26" t="s">
        <v>1456</v>
      </c>
      <c r="C1045" s="84"/>
      <c r="D1045" s="84"/>
      <c r="E1045" s="92"/>
      <c r="F1045" s="502"/>
      <c r="G1045" s="92"/>
      <c r="H1045" s="92"/>
      <c r="I1045" s="92"/>
      <c r="J1045" s="92"/>
      <c r="K1045" s="84"/>
      <c r="L1045" s="535"/>
      <c r="M1045" s="119"/>
      <c r="N1045" s="84"/>
    </row>
    <row r="1046" spans="2:14" x14ac:dyDescent="0.2">
      <c r="B1046" s="84" t="s">
        <v>1094</v>
      </c>
      <c r="C1046" s="84"/>
      <c r="D1046" s="84"/>
      <c r="E1046" s="92"/>
      <c r="F1046" s="502"/>
      <c r="G1046" s="92"/>
      <c r="H1046" s="92"/>
      <c r="I1046" s="92"/>
      <c r="J1046" s="92"/>
      <c r="K1046" s="84"/>
      <c r="L1046" s="535"/>
      <c r="M1046" s="119"/>
      <c r="N1046" s="84"/>
    </row>
    <row r="1047" spans="2:14" x14ac:dyDescent="0.2">
      <c r="B1047" s="84" t="s">
        <v>1095</v>
      </c>
      <c r="C1047" s="84"/>
      <c r="D1047" s="84"/>
      <c r="E1047" s="92"/>
      <c r="F1047" s="502"/>
      <c r="G1047" s="92"/>
      <c r="H1047" s="92"/>
      <c r="I1047" s="92"/>
      <c r="J1047" s="92"/>
      <c r="K1047" s="84"/>
      <c r="L1047" s="535"/>
      <c r="M1047" s="119"/>
      <c r="N1047" s="84"/>
    </row>
    <row r="1048" spans="2:14" x14ac:dyDescent="0.2">
      <c r="B1048" s="84" t="s">
        <v>1096</v>
      </c>
      <c r="C1048" s="84"/>
      <c r="D1048" s="84"/>
      <c r="E1048" s="92"/>
      <c r="F1048" s="502"/>
      <c r="G1048" s="92"/>
      <c r="H1048" s="92"/>
      <c r="I1048" s="92"/>
      <c r="J1048" s="92"/>
      <c r="K1048" s="84"/>
      <c r="L1048" s="535"/>
      <c r="M1048" s="119"/>
      <c r="N1048" s="84"/>
    </row>
    <row r="1049" spans="2:14" x14ac:dyDescent="0.2">
      <c r="B1049" s="84" t="s">
        <v>1097</v>
      </c>
      <c r="C1049" s="84"/>
      <c r="D1049" s="84"/>
      <c r="E1049" s="92"/>
      <c r="F1049" s="502"/>
      <c r="G1049" s="92"/>
      <c r="H1049" s="92"/>
      <c r="I1049" s="92"/>
      <c r="J1049" s="92"/>
      <c r="K1049" s="84"/>
      <c r="L1049" s="535"/>
      <c r="M1049" s="119"/>
      <c r="N1049" s="84"/>
    </row>
    <row r="1050" spans="2:14" x14ac:dyDescent="0.2">
      <c r="B1050" s="26" t="s">
        <v>1457</v>
      </c>
      <c r="C1050" s="84"/>
      <c r="D1050" s="84"/>
      <c r="E1050" s="92"/>
      <c r="F1050" s="502"/>
      <c r="G1050" s="92"/>
      <c r="H1050" s="92"/>
      <c r="I1050" s="92"/>
      <c r="J1050" s="92"/>
      <c r="K1050" s="84"/>
      <c r="L1050" s="535"/>
      <c r="M1050" s="119"/>
      <c r="N1050" s="84"/>
    </row>
    <row r="1051" spans="2:14" x14ac:dyDescent="0.2">
      <c r="B1051" s="26" t="s">
        <v>1458</v>
      </c>
      <c r="C1051" s="84"/>
      <c r="D1051" s="84"/>
      <c r="E1051" s="92"/>
      <c r="F1051" s="502"/>
      <c r="G1051" s="92"/>
      <c r="H1051" s="92"/>
      <c r="I1051" s="92"/>
      <c r="J1051" s="92"/>
      <c r="K1051" s="84"/>
      <c r="L1051" s="535"/>
      <c r="M1051" s="119"/>
      <c r="N1051" s="84"/>
    </row>
    <row r="1052" spans="2:14" x14ac:dyDescent="0.2">
      <c r="B1052" s="84" t="s">
        <v>24</v>
      </c>
      <c r="C1052" s="84"/>
      <c r="D1052" s="84"/>
      <c r="E1052" s="92"/>
      <c r="F1052" s="502"/>
      <c r="G1052" s="92"/>
      <c r="H1052" s="92"/>
      <c r="I1052" s="92"/>
      <c r="J1052" s="92"/>
      <c r="K1052" s="84"/>
      <c r="L1052" s="535"/>
      <c r="M1052" s="119"/>
      <c r="N1052" s="84"/>
    </row>
    <row r="1053" spans="2:14" x14ac:dyDescent="0.2">
      <c r="B1053" s="84" t="s">
        <v>25</v>
      </c>
      <c r="C1053" s="84"/>
      <c r="D1053" s="84"/>
      <c r="E1053" s="92"/>
      <c r="F1053" s="502"/>
      <c r="G1053" s="92"/>
      <c r="H1053" s="92"/>
      <c r="I1053" s="92"/>
      <c r="J1053" s="92"/>
      <c r="K1053" s="84"/>
      <c r="L1053" s="535"/>
      <c r="M1053" s="119"/>
      <c r="N1053" s="84"/>
    </row>
    <row r="1054" spans="2:14" x14ac:dyDescent="0.2">
      <c r="B1054" s="84" t="s">
        <v>26</v>
      </c>
      <c r="C1054" s="84"/>
      <c r="D1054" s="84"/>
      <c r="E1054" s="92"/>
      <c r="F1054" s="502"/>
      <c r="G1054" s="92"/>
      <c r="H1054" s="92"/>
      <c r="I1054" s="92"/>
      <c r="J1054" s="92"/>
      <c r="K1054" s="84"/>
      <c r="L1054" s="535"/>
      <c r="M1054" s="119"/>
      <c r="N1054" s="84"/>
    </row>
    <row r="1055" spans="2:14" x14ac:dyDescent="0.2">
      <c r="B1055" s="84" t="s">
        <v>27</v>
      </c>
      <c r="C1055" s="84"/>
      <c r="D1055" s="84"/>
      <c r="E1055" s="92"/>
      <c r="F1055" s="502"/>
      <c r="G1055" s="92"/>
      <c r="H1055" s="92"/>
      <c r="I1055" s="92"/>
      <c r="J1055" s="92"/>
      <c r="K1055" s="84"/>
      <c r="L1055" s="535"/>
      <c r="M1055" s="119"/>
      <c r="N1055" s="84"/>
    </row>
    <row r="1056" spans="2:14" x14ac:dyDescent="0.2">
      <c r="B1056" s="26" t="s">
        <v>1459</v>
      </c>
      <c r="C1056" s="84"/>
      <c r="D1056" s="84"/>
      <c r="E1056" s="92"/>
      <c r="F1056" s="502"/>
      <c r="G1056" s="92"/>
      <c r="H1056" s="92"/>
      <c r="I1056" s="92"/>
      <c r="J1056" s="92"/>
      <c r="K1056" s="84"/>
      <c r="L1056" s="535"/>
      <c r="M1056" s="119"/>
      <c r="N1056" s="84"/>
    </row>
    <row r="1057" spans="2:14" x14ac:dyDescent="0.2">
      <c r="B1057" s="84" t="s">
        <v>1173</v>
      </c>
      <c r="C1057" s="84"/>
      <c r="D1057" s="84"/>
      <c r="E1057" s="92"/>
      <c r="F1057" s="502"/>
      <c r="G1057" s="92"/>
      <c r="H1057" s="92"/>
      <c r="I1057" s="92"/>
      <c r="J1057" s="92"/>
      <c r="K1057" s="84"/>
      <c r="L1057" s="535"/>
      <c r="M1057" s="119"/>
      <c r="N1057" s="84"/>
    </row>
    <row r="1058" spans="2:14" x14ac:dyDescent="0.2">
      <c r="B1058" s="84" t="s">
        <v>1174</v>
      </c>
      <c r="C1058" s="84"/>
      <c r="D1058" s="84"/>
      <c r="E1058" s="92"/>
      <c r="F1058" s="502"/>
      <c r="G1058" s="92"/>
      <c r="H1058" s="92"/>
      <c r="I1058" s="92"/>
      <c r="J1058" s="92"/>
      <c r="K1058" s="84"/>
      <c r="L1058" s="535"/>
      <c r="M1058" s="119"/>
      <c r="N1058" s="84"/>
    </row>
    <row r="1059" spans="2:14" x14ac:dyDescent="0.2">
      <c r="B1059" s="84" t="s">
        <v>0</v>
      </c>
      <c r="C1059" s="84"/>
      <c r="D1059" s="84"/>
      <c r="E1059" s="92"/>
      <c r="F1059" s="502"/>
      <c r="G1059" s="92"/>
      <c r="H1059" s="92"/>
      <c r="I1059" s="92"/>
      <c r="J1059" s="92"/>
      <c r="K1059" s="84"/>
      <c r="L1059" s="535"/>
      <c r="M1059" s="119"/>
      <c r="N1059" s="84"/>
    </row>
    <row r="1060" spans="2:14" x14ac:dyDescent="0.2">
      <c r="B1060" s="84" t="s">
        <v>1</v>
      </c>
      <c r="C1060" s="84"/>
      <c r="D1060" s="84"/>
      <c r="E1060" s="92"/>
      <c r="F1060" s="502"/>
      <c r="G1060" s="92"/>
      <c r="H1060" s="92"/>
      <c r="I1060" s="92"/>
      <c r="J1060" s="92"/>
      <c r="K1060" s="84"/>
      <c r="L1060" s="535"/>
      <c r="M1060" s="119"/>
      <c r="N1060" s="84"/>
    </row>
    <row r="1061" spans="2:14" x14ac:dyDescent="0.2">
      <c r="B1061" s="26" t="s">
        <v>1460</v>
      </c>
      <c r="C1061" s="84"/>
      <c r="D1061" s="84"/>
      <c r="E1061" s="92"/>
      <c r="F1061" s="502"/>
      <c r="G1061" s="92"/>
      <c r="H1061" s="92"/>
      <c r="I1061" s="92"/>
      <c r="J1061" s="92"/>
      <c r="K1061" s="84"/>
      <c r="L1061" s="535"/>
      <c r="M1061" s="119"/>
      <c r="N1061" s="84"/>
    </row>
    <row r="1062" spans="2:14" x14ac:dyDescent="0.2">
      <c r="B1062" s="26" t="s">
        <v>1461</v>
      </c>
      <c r="C1062" s="84"/>
      <c r="D1062" s="84"/>
      <c r="E1062" s="92"/>
      <c r="F1062" s="502"/>
      <c r="G1062" s="92"/>
      <c r="H1062" s="92"/>
      <c r="I1062" s="92"/>
      <c r="J1062" s="92"/>
      <c r="K1062" s="84"/>
      <c r="L1062" s="535"/>
      <c r="M1062" s="119"/>
      <c r="N1062" s="84"/>
    </row>
    <row r="1063" spans="2:14" x14ac:dyDescent="0.2">
      <c r="B1063" s="34" t="s">
        <v>1462</v>
      </c>
      <c r="F1063" s="502"/>
      <c r="G1063" s="92"/>
      <c r="H1063" s="92"/>
      <c r="I1063" s="92"/>
      <c r="J1063" s="92"/>
      <c r="K1063" s="84"/>
      <c r="L1063" s="535"/>
      <c r="M1063" s="119"/>
      <c r="N1063" s="84"/>
    </row>
    <row r="1064" spans="2:14" x14ac:dyDescent="0.2">
      <c r="B1064" s="34" t="s">
        <v>1463</v>
      </c>
      <c r="F1064" s="502"/>
      <c r="G1064" s="92"/>
      <c r="H1064" s="92"/>
      <c r="I1064" s="92"/>
      <c r="J1064" s="92"/>
      <c r="K1064" s="84"/>
      <c r="L1064" s="535"/>
      <c r="M1064" s="119"/>
      <c r="N1064" s="84"/>
    </row>
    <row r="1065" spans="2:14" x14ac:dyDescent="0.2">
      <c r="B1065" s="62" t="s">
        <v>268</v>
      </c>
      <c r="C1065" s="84"/>
      <c r="D1065" s="84"/>
      <c r="E1065" s="92"/>
      <c r="F1065" s="502"/>
      <c r="G1065" s="92"/>
      <c r="H1065" s="92"/>
      <c r="I1065" s="92"/>
      <c r="J1065" s="92"/>
      <c r="K1065" s="84"/>
      <c r="L1065" s="535"/>
      <c r="M1065" s="119"/>
      <c r="N1065" s="84"/>
    </row>
    <row r="1066" spans="2:14" x14ac:dyDescent="0.2">
      <c r="B1066" s="62" t="s">
        <v>269</v>
      </c>
      <c r="C1066" s="84"/>
      <c r="D1066" s="84"/>
      <c r="E1066" s="92"/>
      <c r="F1066" s="502"/>
      <c r="G1066" s="92"/>
      <c r="H1066" s="92"/>
      <c r="I1066" s="92"/>
      <c r="J1066" s="92"/>
      <c r="K1066" s="84"/>
      <c r="L1066" s="535"/>
      <c r="M1066" s="119"/>
      <c r="N1066" s="84"/>
    </row>
    <row r="1067" spans="2:14" x14ac:dyDescent="0.2">
      <c r="B1067" s="62" t="s">
        <v>270</v>
      </c>
      <c r="C1067" s="84"/>
      <c r="D1067" s="84"/>
      <c r="E1067" s="92"/>
      <c r="F1067" s="502"/>
      <c r="G1067" s="92"/>
      <c r="H1067" s="92"/>
      <c r="I1067" s="92"/>
      <c r="J1067" s="92"/>
      <c r="K1067" s="84"/>
      <c r="L1067" s="535"/>
      <c r="M1067" s="119"/>
      <c r="N1067" s="84"/>
    </row>
    <row r="1068" spans="2:14" x14ac:dyDescent="0.2">
      <c r="B1068" s="62" t="s">
        <v>271</v>
      </c>
      <c r="C1068" s="84"/>
      <c r="D1068" s="84"/>
      <c r="E1068" s="92"/>
      <c r="F1068" s="502"/>
      <c r="G1068" s="92"/>
      <c r="H1068" s="92"/>
      <c r="I1068" s="92"/>
      <c r="J1068" s="92"/>
      <c r="K1068" s="84"/>
      <c r="L1068" s="535"/>
      <c r="M1068" s="119"/>
      <c r="N1068" s="84"/>
    </row>
    <row r="1069" spans="2:14" x14ac:dyDescent="0.2">
      <c r="B1069" s="35" t="s">
        <v>1464</v>
      </c>
      <c r="C1069" s="84"/>
      <c r="D1069" s="84"/>
      <c r="E1069" s="92"/>
      <c r="F1069" s="502"/>
      <c r="G1069" s="92"/>
      <c r="H1069" s="92"/>
      <c r="I1069" s="92"/>
      <c r="J1069" s="92"/>
      <c r="K1069" s="84"/>
      <c r="L1069" s="535"/>
      <c r="M1069" s="119"/>
      <c r="N1069" s="84"/>
    </row>
    <row r="1070" spans="2:14" x14ac:dyDescent="0.2">
      <c r="B1070" s="62" t="s">
        <v>272</v>
      </c>
      <c r="C1070" s="237"/>
      <c r="D1070" s="84"/>
      <c r="E1070" s="92"/>
      <c r="F1070" s="502"/>
      <c r="G1070" s="92"/>
      <c r="H1070" s="92"/>
      <c r="I1070" s="92"/>
      <c r="J1070" s="92"/>
      <c r="K1070" s="84"/>
      <c r="L1070" s="535"/>
      <c r="M1070" s="119"/>
      <c r="N1070" s="84"/>
    </row>
    <row r="1071" spans="2:14" x14ac:dyDescent="0.2">
      <c r="B1071" s="238" t="s">
        <v>273</v>
      </c>
      <c r="C1071" s="237"/>
      <c r="D1071" s="84"/>
      <c r="E1071" s="92"/>
      <c r="F1071" s="502"/>
      <c r="G1071" s="92"/>
      <c r="H1071" s="92"/>
      <c r="I1071" s="84"/>
      <c r="J1071" s="84"/>
      <c r="K1071" s="84"/>
      <c r="L1071" s="535"/>
      <c r="M1071" s="119"/>
      <c r="N1071" s="84"/>
    </row>
    <row r="1072" spans="2:14" x14ac:dyDescent="0.2">
      <c r="B1072" s="62" t="s">
        <v>274</v>
      </c>
      <c r="C1072" s="237"/>
      <c r="D1072" s="84"/>
      <c r="E1072" s="92"/>
      <c r="F1072" s="502"/>
      <c r="G1072" s="92"/>
      <c r="H1072" s="92"/>
      <c r="I1072" s="84"/>
      <c r="J1072" s="84"/>
      <c r="K1072" s="84"/>
      <c r="L1072" s="535"/>
      <c r="M1072" s="119"/>
      <c r="N1072" s="84"/>
    </row>
    <row r="1073" spans="2:14" x14ac:dyDescent="0.2">
      <c r="B1073" s="238" t="s">
        <v>275</v>
      </c>
      <c r="C1073" s="237"/>
      <c r="D1073" s="84"/>
      <c r="E1073" s="92"/>
      <c r="F1073" s="502"/>
      <c r="G1073" s="92"/>
      <c r="H1073" s="92"/>
      <c r="I1073" s="84"/>
      <c r="J1073" s="84"/>
      <c r="K1073" s="84"/>
      <c r="L1073" s="535"/>
      <c r="M1073" s="119"/>
      <c r="N1073" s="84"/>
    </row>
    <row r="1074" spans="2:14" x14ac:dyDescent="0.2">
      <c r="B1074" s="238" t="s">
        <v>276</v>
      </c>
      <c r="C1074" s="237"/>
      <c r="D1074" s="84"/>
      <c r="E1074" s="92"/>
      <c r="F1074" s="502"/>
      <c r="G1074" s="92"/>
      <c r="H1074" s="92"/>
      <c r="I1074" s="84"/>
      <c r="J1074" s="84"/>
      <c r="K1074" s="84"/>
      <c r="L1074" s="535"/>
      <c r="M1074" s="119"/>
      <c r="N1074" s="84"/>
    </row>
    <row r="1075" spans="2:14" x14ac:dyDescent="0.2">
      <c r="B1075" s="34" t="s">
        <v>1465</v>
      </c>
      <c r="C1075" s="237"/>
      <c r="D1075" s="84"/>
      <c r="E1075" s="92"/>
      <c r="F1075" s="502"/>
      <c r="G1075" s="92"/>
      <c r="H1075" s="92"/>
      <c r="I1075" s="84"/>
      <c r="J1075" s="84"/>
      <c r="K1075" s="84"/>
      <c r="L1075" s="535"/>
      <c r="M1075" s="119"/>
      <c r="N1075" s="84"/>
    </row>
    <row r="1076" spans="2:14" x14ac:dyDescent="0.2">
      <c r="B1076" s="34" t="s">
        <v>1466</v>
      </c>
      <c r="C1076" s="237"/>
      <c r="D1076" s="84"/>
      <c r="E1076" s="92"/>
      <c r="F1076" s="502"/>
      <c r="G1076" s="92"/>
      <c r="H1076" s="92"/>
      <c r="I1076" s="84"/>
      <c r="J1076" s="84"/>
      <c r="K1076" s="84"/>
      <c r="L1076" s="535"/>
      <c r="M1076" s="119"/>
      <c r="N1076" s="84"/>
    </row>
    <row r="1077" spans="2:14" x14ac:dyDescent="0.2">
      <c r="B1077" s="36" t="s">
        <v>1467</v>
      </c>
      <c r="C1077" s="237"/>
      <c r="D1077" s="84"/>
      <c r="E1077" s="92"/>
      <c r="F1077" s="502"/>
      <c r="G1077" s="92"/>
      <c r="H1077" s="92"/>
      <c r="I1077" s="84"/>
      <c r="J1077" s="84"/>
      <c r="K1077" s="84"/>
      <c r="L1077" s="535"/>
      <c r="M1077" s="119"/>
      <c r="N1077" s="84"/>
    </row>
    <row r="1078" spans="2:14" x14ac:dyDescent="0.2">
      <c r="B1078" s="62" t="s">
        <v>277</v>
      </c>
      <c r="C1078" s="234"/>
      <c r="D1078" s="111"/>
      <c r="E1078" s="92"/>
      <c r="F1078" s="502"/>
      <c r="G1078" s="92"/>
      <c r="H1078" s="92"/>
      <c r="I1078" s="92"/>
      <c r="J1078" s="92"/>
      <c r="K1078" s="92"/>
      <c r="L1078" s="92"/>
      <c r="M1078" s="142"/>
      <c r="N1078" s="142"/>
    </row>
    <row r="1079" spans="2:14" x14ac:dyDescent="0.2">
      <c r="B1079" s="59" t="s">
        <v>1425</v>
      </c>
      <c r="C1079" s="234"/>
      <c r="D1079" s="111"/>
      <c r="E1079" s="92"/>
      <c r="F1079" s="502"/>
      <c r="G1079" s="92"/>
      <c r="H1079" s="92"/>
      <c r="I1079" s="92"/>
      <c r="J1079" s="92"/>
      <c r="K1079" s="92"/>
      <c r="L1079" s="92"/>
      <c r="M1079" s="142"/>
      <c r="N1079" s="142"/>
    </row>
    <row r="1080" spans="2:14" x14ac:dyDescent="0.2">
      <c r="B1080" s="34" t="s">
        <v>1486</v>
      </c>
      <c r="C1080" s="234"/>
      <c r="D1080" s="111"/>
      <c r="E1080" s="92"/>
      <c r="F1080" s="502"/>
      <c r="G1080" s="92"/>
      <c r="H1080" s="92"/>
      <c r="I1080" s="92"/>
      <c r="J1080" s="92"/>
      <c r="K1080" s="92"/>
      <c r="L1080" s="92"/>
      <c r="M1080" s="142"/>
      <c r="N1080" s="142"/>
    </row>
    <row r="1081" spans="2:14" x14ac:dyDescent="0.2">
      <c r="B1081" s="34" t="s">
        <v>1487</v>
      </c>
      <c r="C1081" s="234"/>
      <c r="D1081" s="111"/>
      <c r="E1081" s="92"/>
      <c r="F1081" s="502"/>
      <c r="G1081" s="92"/>
      <c r="H1081" s="92"/>
      <c r="I1081" s="92"/>
      <c r="J1081" s="92"/>
      <c r="K1081" s="92"/>
      <c r="L1081" s="92"/>
      <c r="M1081" s="142"/>
      <c r="N1081" s="142"/>
    </row>
    <row r="1082" spans="2:14" x14ac:dyDescent="0.2">
      <c r="B1082" s="34" t="s">
        <v>1488</v>
      </c>
      <c r="C1082" s="234"/>
      <c r="D1082" s="111"/>
      <c r="E1082" s="92"/>
      <c r="F1082" s="502"/>
      <c r="G1082" s="92"/>
      <c r="H1082" s="92"/>
      <c r="I1082" s="92"/>
      <c r="J1082" s="92"/>
      <c r="K1082" s="92"/>
      <c r="L1082" s="92"/>
      <c r="M1082" s="142"/>
      <c r="N1082" s="142"/>
    </row>
    <row r="1083" spans="2:14" x14ac:dyDescent="0.2">
      <c r="B1083" s="43" t="s">
        <v>1468</v>
      </c>
      <c r="C1083" s="237"/>
      <c r="D1083" s="84"/>
      <c r="E1083" s="92"/>
      <c r="F1083" s="502"/>
      <c r="G1083" s="92"/>
      <c r="H1083" s="92"/>
      <c r="I1083" s="92"/>
      <c r="J1083" s="92"/>
      <c r="K1083" s="92"/>
      <c r="L1083" s="92"/>
      <c r="M1083" s="84"/>
      <c r="N1083" s="84"/>
    </row>
    <row r="1084" spans="2:14" x14ac:dyDescent="0.2">
      <c r="B1084" s="43" t="s">
        <v>1469</v>
      </c>
      <c r="C1084" s="237"/>
      <c r="D1084" s="84"/>
      <c r="E1084" s="92"/>
      <c r="F1084" s="502"/>
      <c r="G1084" s="92"/>
      <c r="H1084" s="92"/>
      <c r="I1084" s="92"/>
      <c r="J1084" s="92"/>
      <c r="K1084" s="92"/>
      <c r="L1084" s="92"/>
      <c r="M1084" s="84"/>
      <c r="N1084" s="84"/>
    </row>
    <row r="1085" spans="2:14" x14ac:dyDescent="0.2">
      <c r="B1085" s="43" t="s">
        <v>1470</v>
      </c>
      <c r="C1085" s="237"/>
      <c r="D1085" s="84"/>
      <c r="E1085" s="92"/>
      <c r="F1085" s="502"/>
      <c r="G1085" s="92"/>
      <c r="H1085" s="92"/>
      <c r="I1085" s="92"/>
      <c r="J1085" s="92"/>
      <c r="K1085" s="92"/>
      <c r="L1085" s="92"/>
      <c r="M1085" s="84"/>
      <c r="N1085" s="84"/>
    </row>
    <row r="1086" spans="2:14" x14ac:dyDescent="0.2">
      <c r="B1086" s="52" t="s">
        <v>233</v>
      </c>
      <c r="C1086" s="237"/>
      <c r="D1086" s="84"/>
      <c r="E1086" s="92"/>
      <c r="F1086" s="502"/>
      <c r="G1086" s="92"/>
      <c r="H1086" s="92"/>
      <c r="I1086" s="92"/>
      <c r="J1086" s="92"/>
      <c r="K1086" s="92"/>
      <c r="L1086" s="92"/>
      <c r="M1086" s="84"/>
      <c r="N1086" s="84"/>
    </row>
    <row r="1087" spans="2:14" x14ac:dyDescent="0.2">
      <c r="B1087" s="52" t="s">
        <v>234</v>
      </c>
      <c r="C1087" s="234"/>
      <c r="D1087" s="84"/>
      <c r="E1087" s="92"/>
      <c r="F1087" s="502"/>
      <c r="G1087" s="92"/>
      <c r="H1087" s="92"/>
      <c r="I1087" s="139"/>
      <c r="J1087" s="92"/>
      <c r="K1087" s="92"/>
      <c r="L1087" s="92"/>
      <c r="M1087" s="140"/>
      <c r="N1087" s="235"/>
    </row>
    <row r="1088" spans="2:14" x14ac:dyDescent="0.2">
      <c r="B1088" s="43" t="s">
        <v>1471</v>
      </c>
      <c r="C1088" s="234"/>
      <c r="D1088" s="84"/>
      <c r="E1088" s="92"/>
      <c r="F1088" s="502"/>
      <c r="G1088" s="92"/>
      <c r="H1088" s="92"/>
      <c r="I1088" s="139"/>
      <c r="J1088" s="92"/>
      <c r="K1088" s="92"/>
      <c r="L1088" s="92"/>
      <c r="M1088" s="140"/>
      <c r="N1088" s="235"/>
    </row>
    <row r="1089" spans="2:14" x14ac:dyDescent="0.2">
      <c r="B1089" s="44" t="s">
        <v>1472</v>
      </c>
      <c r="C1089" s="237"/>
      <c r="D1089" s="84"/>
      <c r="E1089" s="92"/>
      <c r="F1089" s="502"/>
      <c r="G1089" s="92"/>
      <c r="H1089" s="92"/>
      <c r="I1089" s="92"/>
      <c r="J1089" s="92"/>
      <c r="K1089" s="92"/>
      <c r="L1089" s="92"/>
      <c r="M1089" s="84"/>
      <c r="N1089" s="84"/>
    </row>
    <row r="1090" spans="2:14" x14ac:dyDescent="0.2">
      <c r="B1090" s="43" t="s">
        <v>1473</v>
      </c>
      <c r="C1090" s="237"/>
      <c r="D1090" s="84"/>
      <c r="E1090" s="92"/>
      <c r="F1090" s="502"/>
      <c r="G1090" s="92"/>
      <c r="H1090" s="92"/>
      <c r="I1090" s="92"/>
      <c r="J1090" s="92"/>
      <c r="K1090" s="92"/>
      <c r="L1090" s="92"/>
      <c r="M1090" s="84"/>
      <c r="N1090" s="84"/>
    </row>
    <row r="1091" spans="2:14" x14ac:dyDescent="0.2">
      <c r="B1091" s="43" t="s">
        <v>1474</v>
      </c>
      <c r="C1091" s="237"/>
      <c r="D1091" s="84"/>
      <c r="E1091" s="92"/>
      <c r="F1091" s="502"/>
      <c r="G1091" s="92"/>
      <c r="H1091" s="92"/>
      <c r="I1091" s="92"/>
      <c r="J1091" s="92"/>
      <c r="K1091" s="92"/>
      <c r="L1091" s="92"/>
      <c r="M1091" s="84"/>
      <c r="N1091" s="84"/>
    </row>
    <row r="1092" spans="2:14" x14ac:dyDescent="0.2">
      <c r="B1092" s="239" t="s">
        <v>1489</v>
      </c>
      <c r="C1092" s="237"/>
      <c r="D1092" s="84"/>
      <c r="E1092" s="92"/>
      <c r="F1092" s="502"/>
      <c r="G1092" s="92"/>
      <c r="H1092" s="92"/>
      <c r="I1092" s="92"/>
      <c r="J1092" s="92"/>
      <c r="K1092" s="92"/>
      <c r="L1092" s="92"/>
      <c r="M1092" s="84"/>
      <c r="N1092" s="84"/>
    </row>
    <row r="1093" spans="2:14" x14ac:dyDescent="0.2">
      <c r="B1093" s="52" t="s">
        <v>1230</v>
      </c>
      <c r="C1093" s="237"/>
      <c r="D1093" s="84"/>
      <c r="E1093" s="92"/>
      <c r="F1093" s="502"/>
      <c r="G1093" s="92"/>
      <c r="H1093" s="92"/>
      <c r="I1093" s="92"/>
      <c r="J1093" s="92"/>
      <c r="K1093" s="92"/>
      <c r="L1093" s="92"/>
      <c r="M1093" s="84"/>
      <c r="N1093" s="84"/>
    </row>
    <row r="1094" spans="2:14" x14ac:dyDescent="0.2">
      <c r="B1094" s="52" t="s">
        <v>234</v>
      </c>
      <c r="C1094" s="237"/>
      <c r="D1094" s="84"/>
      <c r="E1094" s="92"/>
      <c r="F1094" s="502"/>
      <c r="G1094" s="92"/>
      <c r="H1094" s="92"/>
      <c r="I1094" s="92"/>
      <c r="J1094" s="92"/>
      <c r="K1094" s="92"/>
      <c r="L1094" s="92"/>
      <c r="M1094" s="84"/>
      <c r="N1094" s="84"/>
    </row>
    <row r="1095" spans="2:14" x14ac:dyDescent="0.2">
      <c r="B1095" s="239" t="s">
        <v>1490</v>
      </c>
      <c r="C1095" s="237"/>
      <c r="D1095" s="84"/>
      <c r="E1095" s="92"/>
      <c r="F1095" s="502"/>
      <c r="G1095" s="92"/>
      <c r="H1095" s="92"/>
      <c r="I1095" s="92"/>
      <c r="J1095" s="92"/>
      <c r="K1095" s="92"/>
      <c r="L1095" s="92"/>
      <c r="M1095" s="84"/>
      <c r="N1095" s="84"/>
    </row>
    <row r="1096" spans="2:14" x14ac:dyDescent="0.2">
      <c r="B1096" s="52" t="s">
        <v>1231</v>
      </c>
      <c r="C1096" s="237"/>
      <c r="D1096" s="84"/>
      <c r="E1096" s="92"/>
      <c r="F1096" s="502"/>
      <c r="G1096" s="92"/>
      <c r="H1096" s="92"/>
      <c r="I1096" s="92"/>
      <c r="J1096" s="92"/>
      <c r="K1096" s="92"/>
      <c r="L1096" s="92"/>
      <c r="M1096" s="84"/>
      <c r="N1096" s="84"/>
    </row>
    <row r="1097" spans="2:14" x14ac:dyDescent="0.2">
      <c r="B1097" s="52" t="s">
        <v>1232</v>
      </c>
      <c r="C1097" s="237"/>
      <c r="D1097" s="84"/>
      <c r="E1097" s="92"/>
      <c r="F1097" s="502"/>
      <c r="G1097" s="92"/>
      <c r="H1097" s="92"/>
      <c r="I1097" s="92"/>
      <c r="J1097" s="92"/>
      <c r="K1097" s="92"/>
      <c r="L1097" s="92"/>
      <c r="M1097" s="84"/>
      <c r="N1097" s="84"/>
    </row>
    <row r="1098" spans="2:14" x14ac:dyDescent="0.2">
      <c r="B1098" s="52" t="s">
        <v>234</v>
      </c>
      <c r="C1098" s="237"/>
      <c r="D1098" s="84"/>
      <c r="E1098" s="92"/>
      <c r="F1098" s="502"/>
      <c r="G1098" s="92"/>
      <c r="H1098" s="92"/>
      <c r="I1098" s="92"/>
      <c r="J1098" s="92"/>
      <c r="K1098" s="92"/>
      <c r="L1098" s="92"/>
      <c r="M1098" s="84"/>
      <c r="N1098" s="84"/>
    </row>
    <row r="1099" spans="2:14" x14ac:dyDescent="0.2">
      <c r="B1099" s="239" t="s">
        <v>1491</v>
      </c>
      <c r="C1099" s="237"/>
      <c r="D1099" s="84"/>
      <c r="E1099" s="92"/>
      <c r="F1099" s="502"/>
      <c r="G1099" s="92"/>
      <c r="H1099" s="92"/>
      <c r="I1099" s="92"/>
      <c r="J1099" s="92"/>
      <c r="K1099" s="92"/>
      <c r="L1099" s="92"/>
      <c r="M1099" s="84"/>
      <c r="N1099" s="84"/>
    </row>
    <row r="1100" spans="2:14" x14ac:dyDescent="0.2">
      <c r="B1100" s="239" t="s">
        <v>1492</v>
      </c>
      <c r="C1100" s="84"/>
      <c r="D1100" s="84"/>
      <c r="E1100" s="92"/>
      <c r="F1100" s="502"/>
      <c r="G1100" s="139"/>
      <c r="H1100" s="92"/>
      <c r="I1100" s="111"/>
      <c r="J1100" s="84"/>
      <c r="K1100" s="240"/>
      <c r="L1100" s="535"/>
      <c r="M1100" s="119"/>
      <c r="N1100" s="84"/>
    </row>
    <row r="1101" spans="2:14" x14ac:dyDescent="0.2">
      <c r="B1101" s="239" t="s">
        <v>1493</v>
      </c>
      <c r="C1101" s="237"/>
      <c r="D1101" s="84"/>
      <c r="E1101" s="92"/>
      <c r="F1101" s="502"/>
      <c r="G1101" s="92"/>
      <c r="H1101" s="92"/>
      <c r="I1101" s="92"/>
      <c r="J1101" s="92"/>
      <c r="K1101" s="92"/>
      <c r="L1101" s="92"/>
      <c r="M1101" s="84"/>
      <c r="N1101" s="84"/>
    </row>
    <row r="1102" spans="2:14" x14ac:dyDescent="0.2">
      <c r="B1102" s="52" t="s">
        <v>1233</v>
      </c>
      <c r="C1102" s="237"/>
      <c r="D1102" s="84"/>
      <c r="E1102" s="92"/>
      <c r="F1102" s="502"/>
      <c r="G1102" s="92"/>
      <c r="H1102" s="92"/>
      <c r="I1102" s="92"/>
      <c r="J1102" s="92"/>
      <c r="K1102" s="92"/>
      <c r="L1102" s="92"/>
      <c r="M1102" s="84"/>
      <c r="N1102" s="84"/>
    </row>
    <row r="1103" spans="2:14" x14ac:dyDescent="0.2">
      <c r="B1103" s="52" t="s">
        <v>234</v>
      </c>
      <c r="C1103" s="237"/>
      <c r="D1103" s="84"/>
      <c r="E1103" s="92"/>
      <c r="F1103" s="502"/>
      <c r="G1103" s="92"/>
      <c r="H1103" s="92"/>
      <c r="I1103" s="92"/>
      <c r="J1103" s="92"/>
      <c r="K1103" s="92"/>
      <c r="L1103" s="92"/>
      <c r="M1103" s="84"/>
      <c r="N1103" s="84"/>
    </row>
    <row r="1104" spans="2:14" x14ac:dyDescent="0.2">
      <c r="B1104" s="239" t="s">
        <v>1494</v>
      </c>
      <c r="C1104" s="237"/>
      <c r="D1104" s="84"/>
      <c r="E1104" s="92"/>
      <c r="F1104" s="502"/>
      <c r="G1104" s="92"/>
      <c r="H1104" s="92"/>
      <c r="I1104" s="92"/>
      <c r="J1104" s="92"/>
      <c r="K1104" s="92"/>
      <c r="L1104" s="92"/>
      <c r="M1104" s="84"/>
      <c r="N1104" s="84"/>
    </row>
    <row r="1105" spans="2:14" x14ac:dyDescent="0.2">
      <c r="B1105" s="52" t="s">
        <v>1234</v>
      </c>
      <c r="C1105" s="237"/>
      <c r="D1105" s="84"/>
      <c r="E1105" s="92"/>
      <c r="F1105" s="502"/>
      <c r="G1105" s="92"/>
      <c r="H1105" s="92"/>
      <c r="I1105" s="92"/>
      <c r="J1105" s="92"/>
      <c r="K1105" s="92"/>
      <c r="L1105" s="92"/>
      <c r="M1105" s="84"/>
      <c r="N1105" s="84"/>
    </row>
    <row r="1106" spans="2:14" x14ac:dyDescent="0.2">
      <c r="B1106" s="52" t="s">
        <v>1235</v>
      </c>
      <c r="C1106" s="237"/>
      <c r="D1106" s="84"/>
      <c r="E1106" s="92"/>
      <c r="F1106" s="502"/>
      <c r="G1106" s="92"/>
      <c r="H1106" s="92"/>
      <c r="I1106" s="92"/>
      <c r="J1106" s="92"/>
      <c r="K1106" s="92"/>
      <c r="L1106" s="92"/>
      <c r="M1106" s="84"/>
      <c r="N1106" s="84"/>
    </row>
    <row r="1107" spans="2:14" x14ac:dyDescent="0.2">
      <c r="B1107" s="52" t="s">
        <v>1236</v>
      </c>
      <c r="C1107" s="237"/>
      <c r="D1107" s="84"/>
      <c r="E1107" s="92"/>
      <c r="F1107" s="502"/>
      <c r="G1107" s="92"/>
      <c r="H1107" s="92"/>
      <c r="I1107" s="92"/>
      <c r="J1107" s="92"/>
      <c r="K1107" s="92"/>
      <c r="L1107" s="92"/>
      <c r="M1107" s="84"/>
      <c r="N1107" s="84"/>
    </row>
    <row r="1108" spans="2:14" x14ac:dyDescent="0.2">
      <c r="B1108" s="241" t="s">
        <v>1495</v>
      </c>
      <c r="C1108" s="237"/>
      <c r="D1108" s="84"/>
      <c r="E1108" s="92"/>
      <c r="F1108" s="502"/>
      <c r="G1108" s="92"/>
      <c r="H1108" s="92"/>
      <c r="I1108" s="92"/>
      <c r="J1108" s="92"/>
      <c r="K1108" s="92"/>
      <c r="L1108" s="92"/>
      <c r="M1108" s="84"/>
      <c r="N1108" s="84"/>
    </row>
    <row r="1109" spans="2:14" x14ac:dyDescent="0.2">
      <c r="B1109" s="239" t="s">
        <v>1496</v>
      </c>
      <c r="C1109" s="237"/>
      <c r="D1109" s="84"/>
      <c r="E1109" s="92"/>
      <c r="F1109" s="502"/>
      <c r="G1109" s="92"/>
      <c r="H1109" s="92"/>
      <c r="I1109" s="92"/>
      <c r="J1109" s="92"/>
      <c r="K1109" s="92"/>
      <c r="L1109" s="92"/>
      <c r="M1109" s="84"/>
      <c r="N1109" s="84"/>
    </row>
    <row r="1110" spans="2:14" x14ac:dyDescent="0.2">
      <c r="B1110" s="52" t="s">
        <v>1237</v>
      </c>
      <c r="C1110" s="237"/>
      <c r="D1110" s="84"/>
      <c r="E1110" s="92"/>
      <c r="F1110" s="502"/>
      <c r="G1110" s="92"/>
      <c r="H1110" s="92"/>
      <c r="I1110" s="92"/>
      <c r="J1110" s="92"/>
      <c r="K1110" s="92"/>
      <c r="L1110" s="92"/>
      <c r="M1110" s="84"/>
      <c r="N1110" s="84"/>
    </row>
    <row r="1111" spans="2:14" x14ac:dyDescent="0.2">
      <c r="B1111" s="52" t="s">
        <v>1238</v>
      </c>
      <c r="C1111" s="84"/>
      <c r="D1111" s="84"/>
      <c r="E1111" s="92"/>
      <c r="F1111" s="502"/>
      <c r="G1111" s="92"/>
      <c r="H1111" s="92"/>
      <c r="I1111" s="84"/>
      <c r="J1111" s="84"/>
      <c r="K1111" s="84"/>
      <c r="L1111" s="535"/>
      <c r="M1111" s="119"/>
      <c r="N1111" s="84"/>
    </row>
    <row r="1112" spans="2:14" x14ac:dyDescent="0.2">
      <c r="B1112" s="52" t="s">
        <v>1239</v>
      </c>
      <c r="C1112" s="84"/>
      <c r="D1112" s="84"/>
      <c r="E1112" s="92"/>
      <c r="F1112" s="502"/>
      <c r="G1112" s="92"/>
      <c r="H1112" s="92"/>
      <c r="I1112" s="84"/>
      <c r="J1112" s="84"/>
      <c r="K1112" s="84"/>
      <c r="L1112" s="535"/>
      <c r="M1112" s="119"/>
      <c r="N1112" s="84"/>
    </row>
    <row r="1113" spans="2:14" x14ac:dyDescent="0.2">
      <c r="B1113" s="52" t="s">
        <v>1235</v>
      </c>
      <c r="C1113" s="84"/>
      <c r="D1113" s="84"/>
      <c r="E1113" s="92"/>
      <c r="F1113" s="502"/>
      <c r="G1113" s="92"/>
      <c r="H1113" s="92"/>
      <c r="I1113" s="84"/>
      <c r="J1113" s="84"/>
      <c r="K1113" s="84"/>
      <c r="L1113" s="535"/>
      <c r="M1113" s="119"/>
      <c r="N1113" s="84"/>
    </row>
    <row r="1114" spans="2:14" x14ac:dyDescent="0.2">
      <c r="B1114" s="52" t="s">
        <v>1236</v>
      </c>
      <c r="C1114" s="84"/>
      <c r="D1114" s="84"/>
      <c r="E1114" s="92"/>
      <c r="F1114" s="502"/>
      <c r="G1114" s="92"/>
      <c r="H1114" s="92"/>
      <c r="I1114" s="84"/>
      <c r="J1114" s="84"/>
      <c r="K1114" s="84"/>
      <c r="L1114" s="535"/>
      <c r="M1114" s="119"/>
      <c r="N1114" s="84"/>
    </row>
    <row r="1115" spans="2:14" x14ac:dyDescent="0.2">
      <c r="B1115" s="239" t="s">
        <v>1497</v>
      </c>
      <c r="C1115" s="84"/>
      <c r="D1115" s="84"/>
      <c r="E1115" s="92"/>
      <c r="F1115" s="502"/>
      <c r="G1115" s="92"/>
      <c r="H1115" s="92"/>
      <c r="I1115" s="84"/>
      <c r="J1115" s="84"/>
      <c r="K1115" s="84"/>
      <c r="L1115" s="535"/>
      <c r="M1115" s="119"/>
      <c r="N1115" s="84"/>
    </row>
    <row r="1116" spans="2:14" x14ac:dyDescent="0.2">
      <c r="B1116" s="52" t="s">
        <v>1240</v>
      </c>
      <c r="C1116" s="84"/>
      <c r="D1116" s="84"/>
      <c r="E1116" s="92"/>
      <c r="F1116" s="502"/>
      <c r="G1116" s="92"/>
      <c r="H1116" s="92"/>
      <c r="I1116" s="84"/>
      <c r="J1116" s="84"/>
      <c r="K1116" s="84"/>
      <c r="L1116" s="535"/>
      <c r="M1116" s="119"/>
      <c r="N1116" s="84"/>
    </row>
    <row r="1117" spans="2:14" x14ac:dyDescent="0.2">
      <c r="B1117" s="242" t="s">
        <v>1498</v>
      </c>
      <c r="C1117" s="84"/>
      <c r="D1117" s="84"/>
      <c r="E1117" s="92"/>
      <c r="F1117" s="502"/>
      <c r="G1117" s="92"/>
      <c r="H1117" s="92"/>
      <c r="I1117" s="84"/>
      <c r="J1117" s="84"/>
      <c r="K1117" s="84"/>
      <c r="L1117" s="535"/>
      <c r="M1117" s="119"/>
      <c r="N1117" s="84"/>
    </row>
    <row r="1118" spans="2:14" x14ac:dyDescent="0.2">
      <c r="B1118" s="239" t="s">
        <v>1499</v>
      </c>
      <c r="C1118" s="84"/>
      <c r="D1118" s="84"/>
      <c r="E1118" s="92"/>
      <c r="F1118" s="502"/>
      <c r="G1118" s="92"/>
      <c r="H1118" s="92"/>
      <c r="I1118" s="84"/>
      <c r="J1118" s="84"/>
      <c r="K1118" s="84"/>
      <c r="L1118" s="535"/>
      <c r="M1118" s="119"/>
      <c r="N1118" s="84"/>
    </row>
    <row r="1119" spans="2:14" x14ac:dyDescent="0.2">
      <c r="B1119" s="239" t="s">
        <v>1500</v>
      </c>
      <c r="C1119" s="84"/>
      <c r="D1119" s="84"/>
      <c r="E1119" s="92"/>
      <c r="F1119" s="502"/>
      <c r="G1119" s="92"/>
      <c r="H1119" s="92"/>
      <c r="I1119" s="84"/>
      <c r="J1119" s="84"/>
      <c r="K1119" s="84"/>
      <c r="L1119" s="535"/>
      <c r="M1119" s="119"/>
      <c r="N1119" s="84"/>
    </row>
    <row r="1120" spans="2:14" x14ac:dyDescent="0.2">
      <c r="B1120" s="239" t="s">
        <v>1501</v>
      </c>
      <c r="C1120" s="84"/>
      <c r="D1120" s="84"/>
      <c r="E1120" s="92"/>
      <c r="F1120" s="502"/>
      <c r="G1120" s="92"/>
      <c r="H1120" s="92"/>
      <c r="I1120" s="84"/>
      <c r="J1120" s="84"/>
      <c r="K1120" s="84"/>
      <c r="L1120" s="535"/>
      <c r="M1120" s="119"/>
      <c r="N1120" s="84"/>
    </row>
    <row r="1121" spans="2:14" x14ac:dyDescent="0.2">
      <c r="B1121" s="239" t="s">
        <v>1502</v>
      </c>
      <c r="C1121" s="84"/>
      <c r="D1121" s="84"/>
      <c r="E1121" s="92"/>
      <c r="F1121" s="502"/>
      <c r="G1121" s="92"/>
      <c r="H1121" s="92"/>
      <c r="I1121" s="84"/>
      <c r="J1121" s="84"/>
      <c r="K1121" s="84"/>
      <c r="L1121" s="535"/>
      <c r="M1121" s="119"/>
      <c r="N1121" s="84"/>
    </row>
    <row r="1122" spans="2:14" x14ac:dyDescent="0.2">
      <c r="B1122" s="239" t="s">
        <v>1503</v>
      </c>
      <c r="C1122" s="84"/>
      <c r="D1122" s="84"/>
      <c r="E1122" s="92"/>
      <c r="F1122" s="502"/>
      <c r="G1122" s="92"/>
      <c r="H1122" s="92"/>
      <c r="I1122" s="84"/>
      <c r="J1122" s="84"/>
      <c r="K1122" s="84"/>
      <c r="L1122" s="535"/>
      <c r="M1122" s="119"/>
      <c r="N1122" s="84"/>
    </row>
    <row r="1123" spans="2:14" x14ac:dyDescent="0.2">
      <c r="B1123" s="239" t="s">
        <v>1504</v>
      </c>
      <c r="C1123" s="84"/>
      <c r="D1123" s="84"/>
      <c r="E1123" s="92"/>
      <c r="F1123" s="502"/>
      <c r="G1123" s="92"/>
      <c r="H1123" s="92"/>
      <c r="I1123" s="84"/>
      <c r="J1123" s="84"/>
      <c r="K1123" s="84"/>
      <c r="L1123" s="535"/>
      <c r="M1123" s="119"/>
      <c r="N1123" s="84"/>
    </row>
    <row r="1124" spans="2:14" x14ac:dyDescent="0.2">
      <c r="B1124" s="239" t="s">
        <v>1505</v>
      </c>
      <c r="C1124" s="84"/>
      <c r="D1124" s="84"/>
      <c r="E1124" s="92"/>
      <c r="F1124" s="502"/>
      <c r="G1124" s="92"/>
      <c r="H1124" s="92"/>
      <c r="I1124" s="84"/>
      <c r="J1124" s="84"/>
      <c r="K1124" s="84"/>
      <c r="L1124" s="535"/>
      <c r="M1124" s="119"/>
      <c r="N1124" s="84"/>
    </row>
    <row r="1125" spans="2:14" x14ac:dyDescent="0.2">
      <c r="B1125" s="52" t="s">
        <v>1314</v>
      </c>
      <c r="C1125" s="84"/>
      <c r="D1125" s="84"/>
      <c r="E1125" s="92"/>
      <c r="F1125" s="502"/>
      <c r="G1125" s="92"/>
      <c r="H1125" s="92"/>
      <c r="I1125" s="84"/>
      <c r="J1125" s="84"/>
      <c r="K1125" s="84"/>
      <c r="L1125" s="535"/>
      <c r="M1125" s="119"/>
      <c r="N1125" s="84"/>
    </row>
    <row r="1126" spans="2:14" x14ac:dyDescent="0.2">
      <c r="B1126" s="52" t="s">
        <v>234</v>
      </c>
      <c r="C1126" s="84"/>
      <c r="D1126" s="84"/>
      <c r="E1126" s="92"/>
      <c r="F1126" s="502"/>
      <c r="G1126" s="92"/>
      <c r="H1126" s="92"/>
      <c r="I1126" s="84"/>
      <c r="J1126" s="84"/>
      <c r="K1126" s="84"/>
      <c r="L1126" s="535"/>
      <c r="M1126" s="119"/>
      <c r="N1126" s="84"/>
    </row>
    <row r="1127" spans="2:14" x14ac:dyDescent="0.2">
      <c r="B1127" s="239" t="s">
        <v>1506</v>
      </c>
      <c r="C1127" s="84"/>
      <c r="D1127" s="84"/>
      <c r="E1127" s="92"/>
      <c r="F1127" s="502"/>
      <c r="G1127" s="92"/>
      <c r="H1127" s="92"/>
      <c r="I1127" s="84"/>
      <c r="J1127" s="84"/>
      <c r="K1127" s="84"/>
      <c r="L1127" s="535"/>
      <c r="M1127" s="119"/>
      <c r="N1127" s="84"/>
    </row>
    <row r="1128" spans="2:14" x14ac:dyDescent="0.2">
      <c r="B1128" s="239" t="s">
        <v>1507</v>
      </c>
      <c r="C1128" s="84"/>
      <c r="D1128" s="84"/>
      <c r="E1128" s="92"/>
      <c r="F1128" s="502"/>
      <c r="G1128" s="92"/>
      <c r="H1128" s="92"/>
      <c r="I1128" s="84"/>
      <c r="J1128" s="84"/>
      <c r="K1128" s="84"/>
      <c r="L1128" s="535"/>
      <c r="M1128" s="119"/>
      <c r="N1128" s="84"/>
    </row>
    <row r="1129" spans="2:14" x14ac:dyDescent="0.2">
      <c r="B1129" s="239" t="s">
        <v>1508</v>
      </c>
      <c r="C1129" s="84"/>
      <c r="D1129" s="84"/>
      <c r="E1129" s="92"/>
      <c r="F1129" s="502"/>
      <c r="G1129" s="92"/>
      <c r="H1129" s="92"/>
      <c r="I1129" s="84"/>
      <c r="J1129" s="84"/>
      <c r="K1129" s="84"/>
      <c r="L1129" s="535"/>
      <c r="M1129" s="119"/>
      <c r="N1129" s="84"/>
    </row>
    <row r="1130" spans="2:14" x14ac:dyDescent="0.2">
      <c r="B1130" s="239" t="s">
        <v>1509</v>
      </c>
      <c r="C1130" s="84"/>
      <c r="D1130" s="84"/>
      <c r="E1130" s="92"/>
      <c r="F1130" s="502"/>
      <c r="G1130" s="92"/>
      <c r="H1130" s="92"/>
      <c r="I1130" s="84"/>
      <c r="J1130" s="84"/>
      <c r="K1130" s="84"/>
      <c r="L1130" s="535"/>
      <c r="M1130" s="119"/>
      <c r="N1130" s="84"/>
    </row>
    <row r="1131" spans="2:14" x14ac:dyDescent="0.2">
      <c r="B1131" s="239" t="s">
        <v>1510</v>
      </c>
      <c r="C1131" s="84"/>
      <c r="D1131" s="84"/>
      <c r="E1131" s="92"/>
      <c r="F1131" s="502"/>
      <c r="G1131" s="92"/>
      <c r="H1131" s="92"/>
      <c r="I1131" s="84"/>
      <c r="J1131" s="84"/>
      <c r="K1131" s="84"/>
      <c r="L1131" s="535"/>
      <c r="M1131" s="119"/>
      <c r="N1131" s="84"/>
    </row>
    <row r="1132" spans="2:14" x14ac:dyDescent="0.2">
      <c r="B1132" s="648" t="s">
        <v>1475</v>
      </c>
      <c r="C1132" s="649"/>
      <c r="D1132" s="649"/>
      <c r="E1132" s="649"/>
      <c r="F1132" s="649"/>
      <c r="G1132" s="649"/>
      <c r="H1132" s="649"/>
      <c r="I1132" s="649"/>
      <c r="J1132" s="649"/>
      <c r="K1132" s="649"/>
      <c r="L1132" s="649"/>
      <c r="M1132" s="243"/>
      <c r="N1132" s="243"/>
    </row>
    <row r="1133" spans="2:14" x14ac:dyDescent="0.2">
      <c r="B1133" s="244" t="s">
        <v>1476</v>
      </c>
      <c r="C1133" s="245"/>
      <c r="D1133" s="52"/>
      <c r="E1133" s="246"/>
      <c r="F1133" s="532"/>
      <c r="G1133" s="246"/>
      <c r="H1133" s="246"/>
      <c r="I1133" s="246"/>
      <c r="J1133" s="246"/>
      <c r="K1133" s="246"/>
      <c r="L1133" s="246"/>
      <c r="M1133" s="52"/>
      <c r="N1133" s="52"/>
    </row>
    <row r="1134" spans="2:14" x14ac:dyDescent="0.2">
      <c r="B1134" s="648" t="s">
        <v>1477</v>
      </c>
      <c r="C1134" s="649"/>
      <c r="D1134" s="649"/>
      <c r="E1134" s="649"/>
      <c r="F1134" s="649"/>
      <c r="G1134" s="649"/>
      <c r="H1134" s="649"/>
      <c r="I1134" s="649"/>
      <c r="J1134" s="649"/>
      <c r="K1134" s="649"/>
      <c r="L1134" s="649"/>
      <c r="M1134" s="243"/>
      <c r="N1134" s="243"/>
    </row>
    <row r="1135" spans="2:14" x14ac:dyDescent="0.2">
      <c r="B1135" s="651" t="s">
        <v>1478</v>
      </c>
      <c r="C1135" s="652"/>
      <c r="D1135" s="652"/>
      <c r="E1135" s="652"/>
      <c r="F1135" s="652"/>
      <c r="G1135" s="652"/>
      <c r="H1135" s="652"/>
      <c r="I1135" s="652"/>
      <c r="J1135" s="652"/>
      <c r="K1135" s="652"/>
      <c r="L1135" s="652"/>
      <c r="M1135" s="52"/>
      <c r="N1135" s="52"/>
    </row>
    <row r="1136" spans="2:14" x14ac:dyDescent="0.2">
      <c r="B1136" s="653" t="s">
        <v>1479</v>
      </c>
      <c r="C1136" s="642"/>
      <c r="D1136" s="642"/>
      <c r="E1136" s="642"/>
      <c r="F1136" s="642"/>
      <c r="G1136" s="642"/>
      <c r="H1136" s="642"/>
      <c r="I1136" s="642"/>
      <c r="J1136" s="642"/>
      <c r="K1136" s="642"/>
      <c r="L1136" s="642"/>
      <c r="M1136" s="642"/>
      <c r="N1136" s="642"/>
    </row>
    <row r="1137" spans="1:76" x14ac:dyDescent="0.2">
      <c r="B1137" s="648" t="s">
        <v>1480</v>
      </c>
      <c r="C1137" s="649"/>
      <c r="D1137" s="649"/>
      <c r="E1137" s="649"/>
      <c r="F1137" s="649"/>
      <c r="G1137" s="649"/>
      <c r="H1137" s="649"/>
      <c r="I1137" s="649"/>
      <c r="J1137" s="649"/>
      <c r="K1137" s="649"/>
      <c r="L1137" s="649"/>
      <c r="M1137" s="243"/>
      <c r="N1137" s="243"/>
    </row>
    <row r="1138" spans="1:76" x14ac:dyDescent="0.2">
      <c r="B1138" s="648" t="s">
        <v>1481</v>
      </c>
      <c r="C1138" s="649"/>
      <c r="D1138" s="649"/>
      <c r="E1138" s="649"/>
      <c r="F1138" s="649"/>
      <c r="G1138" s="649"/>
      <c r="H1138" s="649"/>
      <c r="I1138" s="649"/>
      <c r="J1138" s="649"/>
      <c r="K1138" s="649"/>
      <c r="L1138" s="649"/>
      <c r="M1138" s="243"/>
      <c r="N1138" s="243"/>
    </row>
    <row r="1139" spans="1:76" x14ac:dyDescent="0.2">
      <c r="B1139" s="651" t="s">
        <v>1482</v>
      </c>
      <c r="C1139" s="652"/>
      <c r="D1139" s="652"/>
      <c r="E1139" s="652"/>
      <c r="F1139" s="652"/>
      <c r="G1139" s="652"/>
      <c r="H1139" s="652"/>
      <c r="I1139" s="652"/>
      <c r="J1139" s="652"/>
      <c r="K1139" s="652"/>
      <c r="L1139" s="652"/>
      <c r="M1139" s="52"/>
      <c r="N1139" s="52"/>
    </row>
    <row r="1140" spans="1:76" s="97" customFormat="1" ht="13.5" thickBot="1" x14ac:dyDescent="0.25">
      <c r="A1140" s="84"/>
      <c r="B1140" s="650" t="s">
        <v>1483</v>
      </c>
      <c r="C1140" s="649"/>
      <c r="D1140" s="649"/>
      <c r="E1140" s="246"/>
      <c r="F1140" s="532"/>
      <c r="G1140" s="246"/>
      <c r="H1140" s="246"/>
      <c r="I1140" s="246"/>
      <c r="J1140" s="246"/>
      <c r="K1140" s="246"/>
      <c r="L1140" s="246"/>
      <c r="M1140" s="243"/>
      <c r="N1140" s="243"/>
      <c r="O1140" s="62"/>
      <c r="P1140" s="62"/>
      <c r="Q1140" s="62"/>
      <c r="R1140" s="62"/>
      <c r="S1140" s="62"/>
      <c r="T1140" s="62"/>
      <c r="U1140" s="62"/>
      <c r="V1140" s="62"/>
      <c r="W1140" s="62"/>
      <c r="X1140" s="62"/>
      <c r="Y1140" s="62"/>
      <c r="Z1140" s="62"/>
      <c r="AA1140" s="62"/>
      <c r="AB1140" s="62"/>
      <c r="AC1140" s="62"/>
      <c r="AD1140" s="62"/>
      <c r="AE1140" s="62"/>
      <c r="AF1140" s="62"/>
      <c r="AG1140" s="62"/>
      <c r="AH1140" s="62"/>
      <c r="AI1140" s="62"/>
      <c r="AJ1140" s="62"/>
      <c r="AK1140" s="62"/>
      <c r="AL1140" s="62"/>
      <c r="AM1140" s="62"/>
      <c r="AN1140" s="62"/>
      <c r="AO1140" s="62"/>
      <c r="AP1140" s="62"/>
      <c r="AQ1140" s="62"/>
      <c r="AR1140" s="62"/>
      <c r="AS1140" s="62"/>
      <c r="AT1140" s="62"/>
      <c r="AU1140" s="62"/>
      <c r="AV1140" s="62"/>
      <c r="AW1140" s="62"/>
      <c r="AX1140" s="62"/>
      <c r="AY1140" s="62"/>
      <c r="AZ1140" s="62"/>
      <c r="BA1140" s="62"/>
      <c r="BB1140" s="62"/>
      <c r="BC1140" s="62"/>
      <c r="BD1140" s="62"/>
      <c r="BE1140" s="62"/>
      <c r="BF1140" s="62"/>
      <c r="BG1140" s="62"/>
      <c r="BH1140" s="62"/>
      <c r="BI1140" s="62"/>
      <c r="BJ1140" s="62"/>
      <c r="BK1140" s="62"/>
      <c r="BL1140" s="62"/>
      <c r="BM1140" s="62"/>
      <c r="BN1140" s="62"/>
      <c r="BO1140" s="62"/>
      <c r="BP1140" s="62"/>
      <c r="BQ1140" s="62"/>
      <c r="BR1140" s="62"/>
      <c r="BS1140" s="62"/>
      <c r="BT1140" s="62"/>
      <c r="BU1140" s="62"/>
      <c r="BV1140" s="62"/>
      <c r="BW1140" s="62"/>
      <c r="BX1140" s="62"/>
    </row>
    <row r="1141" spans="1:76" ht="13.5" thickTop="1" x14ac:dyDescent="0.2">
      <c r="B1141" s="52" t="s">
        <v>1420</v>
      </c>
      <c r="C1141" s="247"/>
      <c r="D1141" s="247"/>
      <c r="E1141" s="246"/>
      <c r="F1141" s="532"/>
      <c r="G1141" s="246"/>
      <c r="H1141" s="246"/>
      <c r="I1141" s="246"/>
      <c r="J1141" s="246"/>
      <c r="K1141" s="246"/>
      <c r="L1141" s="246"/>
      <c r="M1141" s="243"/>
      <c r="N1141" s="243"/>
    </row>
    <row r="1142" spans="1:76" x14ac:dyDescent="0.2">
      <c r="B1142" s="52" t="s">
        <v>1421</v>
      </c>
      <c r="C1142" s="52"/>
      <c r="D1142" s="52"/>
      <c r="E1142" s="246"/>
      <c r="F1142" s="532"/>
      <c r="G1142" s="246"/>
      <c r="H1142" s="246"/>
      <c r="I1142" s="246"/>
      <c r="J1142" s="246"/>
      <c r="K1142" s="246"/>
      <c r="L1142" s="246"/>
      <c r="M1142" s="52"/>
      <c r="N1142" s="52"/>
    </row>
    <row r="1143" spans="1:76" x14ac:dyDescent="0.2">
      <c r="B1143" s="648" t="s">
        <v>1484</v>
      </c>
      <c r="C1143" s="648"/>
      <c r="D1143" s="648"/>
      <c r="E1143" s="246"/>
      <c r="F1143" s="532"/>
      <c r="G1143" s="246"/>
      <c r="H1143" s="246"/>
      <c r="I1143" s="246"/>
      <c r="J1143" s="246"/>
      <c r="K1143" s="246"/>
      <c r="L1143" s="246"/>
      <c r="M1143" s="52"/>
      <c r="N1143" s="52"/>
    </row>
    <row r="1144" spans="1:76" x14ac:dyDescent="0.2">
      <c r="B1144" s="52" t="s">
        <v>1422</v>
      </c>
      <c r="C1144" s="247"/>
      <c r="D1144" s="247"/>
      <c r="E1144" s="246"/>
      <c r="F1144" s="532"/>
      <c r="G1144" s="246"/>
      <c r="H1144" s="246"/>
      <c r="I1144" s="246"/>
      <c r="J1144" s="246"/>
      <c r="K1144" s="246"/>
      <c r="L1144" s="246"/>
      <c r="M1144" s="52"/>
      <c r="N1144" s="52"/>
    </row>
    <row r="1145" spans="1:76" x14ac:dyDescent="0.2">
      <c r="B1145" s="648" t="s">
        <v>1485</v>
      </c>
      <c r="C1145" s="649"/>
      <c r="D1145" s="649"/>
      <c r="E1145" s="649"/>
      <c r="F1145" s="649"/>
      <c r="G1145" s="649"/>
      <c r="H1145" s="649"/>
      <c r="I1145" s="649"/>
      <c r="J1145" s="649"/>
      <c r="K1145" s="649"/>
      <c r="L1145" s="649"/>
      <c r="M1145" s="52"/>
      <c r="N1145" s="52"/>
    </row>
    <row r="1146" spans="1:76" ht="12.75" customHeight="1" x14ac:dyDescent="0.2">
      <c r="B1146" s="650" t="s">
        <v>1544</v>
      </c>
      <c r="C1146" s="649"/>
      <c r="D1146" s="649"/>
      <c r="E1146" s="649"/>
      <c r="F1146" s="649"/>
      <c r="G1146" s="649"/>
      <c r="H1146" s="649"/>
      <c r="I1146" s="649"/>
      <c r="J1146" s="649"/>
      <c r="K1146" s="649"/>
      <c r="L1146" s="649"/>
    </row>
    <row r="1147" spans="1:76" ht="12.75" customHeight="1" x14ac:dyDescent="0.2">
      <c r="B1147" s="650" t="s">
        <v>1545</v>
      </c>
      <c r="C1147" s="650"/>
      <c r="D1147" s="650"/>
      <c r="E1147" s="650"/>
      <c r="F1147" s="650"/>
      <c r="G1147" s="650"/>
      <c r="H1147" s="650"/>
      <c r="I1147" s="650"/>
      <c r="J1147" s="650"/>
      <c r="K1147" s="650"/>
      <c r="L1147" s="650"/>
    </row>
    <row r="1148" spans="1:76" x14ac:dyDescent="0.2">
      <c r="B1148" s="244" t="s">
        <v>1549</v>
      </c>
    </row>
    <row r="1149" spans="1:76" x14ac:dyDescent="0.2">
      <c r="B1149" s="244" t="s">
        <v>1547</v>
      </c>
    </row>
    <row r="1150" spans="1:76" x14ac:dyDescent="0.2">
      <c r="B1150" s="244" t="s">
        <v>1548</v>
      </c>
    </row>
    <row r="1151" spans="1:76" x14ac:dyDescent="0.2">
      <c r="B1151" s="244" t="s">
        <v>1553</v>
      </c>
    </row>
    <row r="1152" spans="1:76" x14ac:dyDescent="0.2">
      <c r="B1152" s="244" t="s">
        <v>1597</v>
      </c>
    </row>
    <row r="1153" spans="2:21" x14ac:dyDescent="0.2">
      <c r="B1153" s="292" t="s">
        <v>1608</v>
      </c>
      <c r="C1153" s="52"/>
      <c r="D1153" s="52"/>
      <c r="E1153" s="246"/>
      <c r="F1153" s="532"/>
      <c r="G1153" s="246"/>
      <c r="H1153" s="246"/>
      <c r="I1153" s="52"/>
      <c r="J1153" s="52"/>
      <c r="K1153" s="52"/>
      <c r="L1153" s="246"/>
      <c r="M1153" s="52"/>
      <c r="N1153" s="52"/>
      <c r="O1153" s="52"/>
      <c r="P1153" s="52"/>
      <c r="Q1153" s="52"/>
      <c r="R1153" s="291"/>
      <c r="S1153" s="291"/>
      <c r="T1153" s="291"/>
      <c r="U1153" s="291"/>
    </row>
    <row r="1154" spans="2:21" ht="33" customHeight="1" x14ac:dyDescent="0.2">
      <c r="B1154" s="644" t="s">
        <v>1599</v>
      </c>
      <c r="C1154" s="644"/>
      <c r="D1154" s="644"/>
      <c r="E1154" s="644"/>
      <c r="F1154" s="644"/>
      <c r="G1154" s="644"/>
      <c r="H1154" s="644"/>
      <c r="I1154" s="644"/>
      <c r="J1154" s="644"/>
      <c r="K1154" s="644"/>
      <c r="L1154" s="644"/>
      <c r="M1154" s="644"/>
      <c r="N1154" s="644"/>
    </row>
    <row r="1155" spans="2:21" x14ac:dyDescent="0.2">
      <c r="B1155" s="244" t="s">
        <v>1602</v>
      </c>
      <c r="C1155" s="52"/>
      <c r="D1155" s="52"/>
      <c r="E1155" s="246"/>
      <c r="F1155" s="532"/>
      <c r="G1155" s="246"/>
      <c r="H1155" s="246"/>
      <c r="I1155" s="52"/>
      <c r="J1155" s="52"/>
      <c r="K1155" s="52"/>
      <c r="L1155" s="246"/>
      <c r="M1155" s="52"/>
      <c r="N1155" s="52"/>
      <c r="O1155" s="52"/>
      <c r="P1155" s="52"/>
      <c r="Q1155" s="52"/>
      <c r="R1155" s="291"/>
      <c r="S1155" s="291"/>
      <c r="T1155" s="291"/>
      <c r="U1155" s="291"/>
    </row>
    <row r="1156" spans="2:21" ht="32.25" customHeight="1" x14ac:dyDescent="0.2">
      <c r="B1156" s="644" t="s">
        <v>1603</v>
      </c>
      <c r="C1156" s="644"/>
      <c r="D1156" s="644"/>
      <c r="E1156" s="644"/>
      <c r="F1156" s="644"/>
      <c r="G1156" s="644"/>
      <c r="H1156" s="644"/>
      <c r="I1156" s="644"/>
      <c r="J1156" s="644"/>
      <c r="K1156" s="644"/>
      <c r="L1156" s="644"/>
      <c r="M1156" s="644"/>
      <c r="N1156" s="644"/>
      <c r="O1156" s="644"/>
      <c r="P1156" s="644"/>
      <c r="Q1156" s="644"/>
      <c r="R1156" s="644"/>
      <c r="S1156" s="644"/>
      <c r="T1156" s="644"/>
      <c r="U1156" s="644"/>
    </row>
    <row r="1157" spans="2:21" x14ac:dyDescent="0.2">
      <c r="B1157" s="244" t="s">
        <v>1607</v>
      </c>
      <c r="C1157" s="237"/>
      <c r="D1157" s="84"/>
      <c r="E1157" s="92"/>
      <c r="F1157" s="502"/>
      <c r="G1157" s="92"/>
      <c r="H1157" s="92"/>
      <c r="I1157" s="139"/>
      <c r="J1157" s="92"/>
      <c r="K1157" s="92"/>
      <c r="L1157" s="92"/>
      <c r="M1157" s="92"/>
      <c r="N1157" s="240"/>
    </row>
    <row r="1158" spans="2:21" x14ac:dyDescent="0.2">
      <c r="B1158" s="244" t="s">
        <v>1606</v>
      </c>
      <c r="C1158" s="237"/>
      <c r="D1158" s="84"/>
      <c r="E1158" s="92"/>
      <c r="F1158" s="502"/>
      <c r="G1158" s="92"/>
      <c r="H1158" s="92"/>
      <c r="I1158" s="92"/>
      <c r="J1158" s="92"/>
      <c r="K1158" s="92"/>
      <c r="L1158" s="92"/>
      <c r="M1158" s="119"/>
      <c r="N1158" s="119"/>
    </row>
    <row r="1159" spans="2:21" x14ac:dyDescent="0.2">
      <c r="B1159" s="244" t="s">
        <v>1659</v>
      </c>
      <c r="C1159" s="237"/>
      <c r="D1159" s="84"/>
      <c r="E1159" s="92"/>
      <c r="F1159" s="502"/>
      <c r="G1159" s="92"/>
      <c r="H1159" s="92"/>
      <c r="I1159" s="92"/>
      <c r="J1159" s="92"/>
      <c r="K1159" s="92"/>
      <c r="L1159" s="92"/>
      <c r="M1159" s="119"/>
      <c r="N1159" s="119"/>
    </row>
    <row r="1160" spans="2:21" x14ac:dyDescent="0.2">
      <c r="B1160" s="52" t="s">
        <v>1662</v>
      </c>
      <c r="C1160" s="296"/>
      <c r="D1160" s="296"/>
      <c r="E1160" s="479"/>
      <c r="F1160" s="533"/>
      <c r="G1160" s="479"/>
      <c r="H1160" s="479"/>
      <c r="I1160" s="297"/>
      <c r="J1160" s="296"/>
      <c r="K1160" s="296"/>
      <c r="L1160" s="92"/>
      <c r="M1160" s="119"/>
      <c r="N1160" s="119"/>
    </row>
    <row r="1161" spans="2:21" x14ac:dyDescent="0.2">
      <c r="B1161" s="641" t="s">
        <v>1663</v>
      </c>
      <c r="C1161" s="642"/>
      <c r="D1161" s="642"/>
      <c r="E1161" s="642"/>
      <c r="F1161" s="642"/>
      <c r="G1161" s="642"/>
      <c r="H1161" s="642"/>
      <c r="I1161" s="642"/>
      <c r="J1161" s="643"/>
      <c r="K1161" s="643"/>
      <c r="L1161" s="92"/>
      <c r="M1161" s="119"/>
      <c r="N1161" s="119"/>
    </row>
    <row r="1162" spans="2:21" x14ac:dyDescent="0.2">
      <c r="B1162" s="641" t="s">
        <v>1664</v>
      </c>
      <c r="C1162" s="642"/>
      <c r="D1162" s="642"/>
      <c r="E1162" s="642"/>
      <c r="F1162" s="642"/>
      <c r="G1162" s="642"/>
      <c r="H1162" s="642"/>
      <c r="I1162" s="642"/>
      <c r="J1162" s="643"/>
      <c r="K1162" s="643"/>
      <c r="L1162" s="92"/>
      <c r="M1162" s="119"/>
      <c r="N1162" s="119"/>
    </row>
    <row r="1163" spans="2:21" x14ac:dyDescent="0.2">
      <c r="B1163" s="641" t="s">
        <v>1666</v>
      </c>
      <c r="C1163" s="642"/>
      <c r="D1163" s="642"/>
      <c r="E1163" s="642"/>
      <c r="F1163" s="642"/>
      <c r="G1163" s="642"/>
      <c r="H1163" s="642"/>
      <c r="I1163" s="642"/>
      <c r="J1163" s="643"/>
      <c r="K1163" s="643"/>
      <c r="L1163" s="92"/>
      <c r="M1163" s="119"/>
      <c r="N1163" s="119"/>
    </row>
    <row r="1164" spans="2:21" x14ac:dyDescent="0.2">
      <c r="B1164" s="641" t="s">
        <v>1668</v>
      </c>
      <c r="C1164" s="642"/>
      <c r="D1164" s="642"/>
      <c r="E1164" s="642"/>
      <c r="F1164" s="642"/>
      <c r="G1164" s="642"/>
      <c r="H1164" s="642"/>
      <c r="I1164" s="642"/>
      <c r="J1164" s="643"/>
      <c r="K1164" s="643"/>
      <c r="L1164" s="92"/>
      <c r="M1164" s="119"/>
      <c r="N1164" s="119"/>
    </row>
    <row r="1165" spans="2:21" x14ac:dyDescent="0.2">
      <c r="B1165" s="641" t="s">
        <v>1669</v>
      </c>
      <c r="C1165" s="642"/>
      <c r="D1165" s="642"/>
      <c r="E1165" s="642"/>
      <c r="F1165" s="642"/>
      <c r="G1165" s="642"/>
      <c r="H1165" s="642"/>
      <c r="I1165" s="642"/>
      <c r="J1165" s="643"/>
      <c r="K1165" s="643"/>
      <c r="L1165" s="92"/>
      <c r="M1165" s="119"/>
      <c r="N1165" s="119"/>
    </row>
    <row r="1166" spans="2:21" x14ac:dyDescent="0.2">
      <c r="B1166" s="641" t="s">
        <v>1671</v>
      </c>
      <c r="C1166" s="642"/>
      <c r="D1166" s="642"/>
      <c r="E1166" s="642"/>
      <c r="F1166" s="642"/>
      <c r="G1166" s="642"/>
      <c r="H1166" s="642"/>
      <c r="I1166" s="642"/>
      <c r="J1166" s="643"/>
      <c r="K1166" s="643"/>
      <c r="L1166" s="92"/>
      <c r="M1166" s="119"/>
      <c r="N1166" s="119"/>
    </row>
    <row r="1167" spans="2:21" x14ac:dyDescent="0.2">
      <c r="B1167" s="645" t="s">
        <v>1689</v>
      </c>
      <c r="C1167" s="646"/>
      <c r="D1167" s="646"/>
      <c r="E1167" s="646"/>
      <c r="F1167" s="646"/>
      <c r="G1167" s="646"/>
      <c r="H1167" s="646"/>
      <c r="I1167" s="646"/>
      <c r="J1167" s="646"/>
      <c r="K1167" s="646"/>
      <c r="L1167" s="646"/>
      <c r="M1167" s="646"/>
      <c r="N1167" s="119"/>
    </row>
    <row r="1168" spans="2:21" customFormat="1" x14ac:dyDescent="0.2">
      <c r="B1168" s="647" t="s">
        <v>1690</v>
      </c>
      <c r="C1168" s="647"/>
      <c r="D1168" s="647"/>
      <c r="E1168" s="647"/>
      <c r="F1168" s="647"/>
      <c r="G1168" s="647"/>
      <c r="H1168" s="647"/>
      <c r="I1168" s="647"/>
      <c r="J1168" s="647"/>
      <c r="K1168" s="647"/>
      <c r="L1168" s="536"/>
    </row>
    <row r="1169" spans="2:14" x14ac:dyDescent="0.2">
      <c r="B1169" s="84" t="s">
        <v>1695</v>
      </c>
      <c r="C1169" s="237"/>
      <c r="D1169" s="84"/>
      <c r="E1169" s="92"/>
      <c r="F1169" s="502"/>
      <c r="G1169" s="92"/>
      <c r="H1169" s="92"/>
      <c r="I1169" s="92"/>
      <c r="J1169" s="92"/>
      <c r="K1169" s="92"/>
      <c r="L1169" s="92"/>
      <c r="M1169" s="119"/>
      <c r="N1169" s="119"/>
    </row>
    <row r="1170" spans="2:14" x14ac:dyDescent="0.2">
      <c r="B1170" s="84" t="s">
        <v>1701</v>
      </c>
      <c r="C1170" s="237"/>
      <c r="D1170" s="84"/>
      <c r="E1170" s="92"/>
      <c r="F1170" s="502"/>
      <c r="G1170" s="92"/>
      <c r="H1170" s="92"/>
      <c r="I1170" s="92"/>
      <c r="J1170" s="92"/>
      <c r="K1170" s="92"/>
      <c r="L1170" s="92"/>
      <c r="M1170" s="119"/>
      <c r="N1170" s="119"/>
    </row>
    <row r="1171" spans="2:14" ht="28.5" customHeight="1" x14ac:dyDescent="0.2">
      <c r="B1171" s="639" t="s">
        <v>1702</v>
      </c>
      <c r="C1171" s="640"/>
      <c r="D1171" s="640"/>
      <c r="E1171" s="640"/>
      <c r="F1171" s="640"/>
      <c r="G1171" s="640"/>
      <c r="H1171" s="640"/>
      <c r="I1171" s="640"/>
      <c r="J1171" s="640"/>
      <c r="K1171" s="640"/>
      <c r="L1171" s="640"/>
      <c r="M1171" s="640"/>
      <c r="N1171" s="640"/>
    </row>
    <row r="1172" spans="2:14" x14ac:dyDescent="0.2">
      <c r="B1172" s="84" t="s">
        <v>1716</v>
      </c>
      <c r="C1172" s="237"/>
      <c r="D1172" s="84"/>
      <c r="E1172" s="92"/>
      <c r="F1172" s="502"/>
      <c r="G1172" s="92"/>
      <c r="H1172" s="92"/>
      <c r="I1172" s="92"/>
      <c r="J1172" s="92"/>
      <c r="K1172" s="92"/>
      <c r="L1172" s="92"/>
      <c r="M1172" s="119"/>
      <c r="N1172" s="119"/>
    </row>
    <row r="1173" spans="2:14" ht="24" customHeight="1" x14ac:dyDescent="0.2">
      <c r="B1173" s="639" t="s">
        <v>1717</v>
      </c>
      <c r="C1173" s="639"/>
      <c r="D1173" s="639"/>
      <c r="E1173" s="639"/>
      <c r="F1173" s="639"/>
      <c r="G1173" s="639"/>
      <c r="H1173" s="639"/>
      <c r="I1173" s="639"/>
      <c r="J1173" s="639"/>
      <c r="K1173" s="639"/>
      <c r="L1173" s="639"/>
      <c r="M1173" s="639"/>
      <c r="N1173" s="639"/>
    </row>
    <row r="1174" spans="2:14" x14ac:dyDescent="0.2">
      <c r="B1174" s="62" t="s">
        <v>1722</v>
      </c>
      <c r="C1174" s="237"/>
      <c r="D1174" s="84"/>
      <c r="E1174" s="92"/>
      <c r="F1174" s="502"/>
      <c r="G1174" s="92"/>
      <c r="H1174" s="92"/>
      <c r="I1174" s="92"/>
      <c r="J1174" s="92"/>
      <c r="K1174" s="92"/>
      <c r="L1174" s="92"/>
      <c r="M1174" s="119"/>
      <c r="N1174" s="119"/>
    </row>
    <row r="1175" spans="2:14" x14ac:dyDescent="0.2">
      <c r="B1175" s="62" t="s">
        <v>1726</v>
      </c>
      <c r="M1175" s="114"/>
      <c r="N1175" s="114"/>
    </row>
    <row r="1176" spans="2:14" ht="24" customHeight="1" x14ac:dyDescent="0.2">
      <c r="B1176" s="639" t="s">
        <v>1732</v>
      </c>
      <c r="C1176" s="639"/>
      <c r="D1176" s="639"/>
      <c r="E1176" s="639"/>
      <c r="F1176" s="639"/>
      <c r="G1176" s="639"/>
      <c r="H1176" s="639"/>
      <c r="I1176" s="639"/>
      <c r="J1176" s="639"/>
      <c r="K1176" s="639"/>
      <c r="L1176" s="639"/>
      <c r="M1176" s="639"/>
      <c r="N1176" s="639"/>
    </row>
    <row r="1177" spans="2:14" ht="24" customHeight="1" x14ac:dyDescent="0.2">
      <c r="B1177" s="639" t="s">
        <v>1735</v>
      </c>
      <c r="C1177" s="639"/>
      <c r="D1177" s="639"/>
      <c r="E1177" s="639"/>
      <c r="F1177" s="639"/>
      <c r="G1177" s="639"/>
      <c r="H1177" s="639"/>
      <c r="I1177" s="639"/>
      <c r="J1177" s="639"/>
      <c r="K1177" s="639"/>
      <c r="L1177" s="639"/>
      <c r="M1177" s="639"/>
      <c r="N1177" s="639"/>
    </row>
    <row r="1178" spans="2:14" x14ac:dyDescent="0.2">
      <c r="B1178" s="62" t="s">
        <v>1753</v>
      </c>
      <c r="M1178" s="114"/>
      <c r="N1178" s="114"/>
    </row>
    <row r="1179" spans="2:14" x14ac:dyDescent="0.2">
      <c r="B1179" s="62" t="s">
        <v>1755</v>
      </c>
      <c r="M1179" s="114"/>
      <c r="N1179" s="114"/>
    </row>
    <row r="1180" spans="2:14" x14ac:dyDescent="0.2">
      <c r="B1180" s="62" t="s">
        <v>1757</v>
      </c>
      <c r="M1180" s="114"/>
      <c r="N1180" s="114"/>
    </row>
    <row r="1181" spans="2:14" x14ac:dyDescent="0.2">
      <c r="B1181" s="62" t="s">
        <v>1759</v>
      </c>
      <c r="M1181" s="114"/>
      <c r="N1181" s="114"/>
    </row>
    <row r="1182" spans="2:14" x14ac:dyDescent="0.2">
      <c r="B1182" s="62" t="s">
        <v>1762</v>
      </c>
      <c r="M1182" s="114"/>
      <c r="N1182" s="114"/>
    </row>
    <row r="1183" spans="2:14" x14ac:dyDescent="0.2">
      <c r="M1183" s="114"/>
      <c r="N1183" s="114"/>
    </row>
    <row r="1184" spans="2:14" x14ac:dyDescent="0.2">
      <c r="B1184" s="52" t="s">
        <v>1894</v>
      </c>
      <c r="M1184" s="114"/>
      <c r="N1184" s="114"/>
    </row>
    <row r="1185" spans="2:14" x14ac:dyDescent="0.2">
      <c r="B1185" s="389" t="s">
        <v>1895</v>
      </c>
      <c r="M1185" s="114"/>
      <c r="N1185" s="114"/>
    </row>
    <row r="1186" spans="2:14" x14ac:dyDescent="0.2">
      <c r="B1186" s="52" t="s">
        <v>1896</v>
      </c>
      <c r="M1186" s="114"/>
      <c r="N1186" s="114"/>
    </row>
    <row r="1187" spans="2:14" x14ac:dyDescent="0.2">
      <c r="B1187" s="52" t="s">
        <v>1897</v>
      </c>
      <c r="M1187" s="114"/>
      <c r="N1187" s="114"/>
    </row>
    <row r="1188" spans="2:14" x14ac:dyDescent="0.2">
      <c r="B1188" s="389" t="s">
        <v>1889</v>
      </c>
      <c r="M1188" s="114"/>
      <c r="N1188" s="114"/>
    </row>
    <row r="1189" spans="2:14" x14ac:dyDescent="0.2">
      <c r="B1189" s="52" t="s">
        <v>1898</v>
      </c>
      <c r="M1189" s="114"/>
      <c r="N1189" s="114"/>
    </row>
    <row r="1190" spans="2:14" x14ac:dyDescent="0.2">
      <c r="B1190" s="389" t="s">
        <v>1890</v>
      </c>
      <c r="M1190" s="114"/>
      <c r="N1190" s="114"/>
    </row>
    <row r="1191" spans="2:14" x14ac:dyDescent="0.2">
      <c r="B1191" s="52" t="s">
        <v>1899</v>
      </c>
      <c r="M1191" s="114"/>
      <c r="N1191" s="114"/>
    </row>
    <row r="1192" spans="2:14" x14ac:dyDescent="0.2">
      <c r="B1192" s="52" t="s">
        <v>1900</v>
      </c>
      <c r="M1192" s="114"/>
      <c r="N1192" s="114"/>
    </row>
    <row r="1193" spans="2:14" x14ac:dyDescent="0.2">
      <c r="B1193" s="52" t="s">
        <v>1901</v>
      </c>
      <c r="M1193" s="114"/>
      <c r="N1193" s="114"/>
    </row>
    <row r="1194" spans="2:14" x14ac:dyDescent="0.2">
      <c r="B1194" s="388" t="s">
        <v>1902</v>
      </c>
      <c r="M1194" s="114"/>
      <c r="N1194" s="114"/>
    </row>
    <row r="1195" spans="2:14" x14ac:dyDescent="0.2">
      <c r="B1195" s="390" t="s">
        <v>1929</v>
      </c>
    </row>
    <row r="1196" spans="2:14" x14ac:dyDescent="0.2">
      <c r="B1196" s="390" t="s">
        <v>1930</v>
      </c>
    </row>
    <row r="1197" spans="2:14" x14ac:dyDescent="0.2">
      <c r="B1197" s="390" t="s">
        <v>1931</v>
      </c>
    </row>
    <row r="1198" spans="2:14" x14ac:dyDescent="0.2">
      <c r="B1198" s="390" t="s">
        <v>1926</v>
      </c>
    </row>
    <row r="1199" spans="2:14" x14ac:dyDescent="0.2">
      <c r="B1199" s="390" t="s">
        <v>1932</v>
      </c>
    </row>
    <row r="1200" spans="2:14" x14ac:dyDescent="0.2">
      <c r="B1200" s="390" t="s">
        <v>1933</v>
      </c>
      <c r="M1200" s="114"/>
      <c r="N1200" s="114"/>
    </row>
    <row r="1201" spans="2:14" x14ac:dyDescent="0.2">
      <c r="B1201" s="52" t="s">
        <v>1934</v>
      </c>
      <c r="M1201" s="114"/>
      <c r="N1201" s="114"/>
    </row>
    <row r="1202" spans="2:14" ht="14.25" x14ac:dyDescent="0.2">
      <c r="B1202" s="621" t="s">
        <v>2049</v>
      </c>
      <c r="M1202" s="114"/>
      <c r="N1202" s="114"/>
    </row>
    <row r="1203" spans="2:14" ht="14.25" x14ac:dyDescent="0.2">
      <c r="B1203" s="621" t="s">
        <v>2050</v>
      </c>
      <c r="M1203" s="114"/>
      <c r="N1203" s="114"/>
    </row>
    <row r="1204" spans="2:14" ht="14.25" x14ac:dyDescent="0.2">
      <c r="B1204" s="621" t="s">
        <v>2051</v>
      </c>
      <c r="M1204" s="114"/>
      <c r="N1204" s="114"/>
    </row>
    <row r="1205" spans="2:14" ht="14.25" x14ac:dyDescent="0.2">
      <c r="B1205" s="621" t="s">
        <v>2052</v>
      </c>
      <c r="M1205" s="114"/>
      <c r="N1205" s="114"/>
    </row>
    <row r="1206" spans="2:14" ht="14.25" x14ac:dyDescent="0.2">
      <c r="B1206" s="621" t="s">
        <v>2053</v>
      </c>
      <c r="M1206" s="114"/>
      <c r="N1206" s="114"/>
    </row>
    <row r="1207" spans="2:14" ht="14.25" x14ac:dyDescent="0.2">
      <c r="B1207" s="621" t="s">
        <v>2054</v>
      </c>
      <c r="M1207" s="114"/>
      <c r="N1207" s="114"/>
    </row>
    <row r="1208" spans="2:14" ht="14.25" x14ac:dyDescent="0.2">
      <c r="B1208" s="620" t="s">
        <v>2055</v>
      </c>
      <c r="M1208" s="114"/>
      <c r="N1208" s="114"/>
    </row>
    <row r="1209" spans="2:14" ht="14.25" x14ac:dyDescent="0.2">
      <c r="B1209" s="620" t="s">
        <v>2056</v>
      </c>
      <c r="M1209" s="114"/>
      <c r="N1209" s="114"/>
    </row>
    <row r="1210" spans="2:14" ht="14.25" x14ac:dyDescent="0.2">
      <c r="B1210" s="621" t="s">
        <v>2057</v>
      </c>
      <c r="M1210" s="114"/>
      <c r="N1210" s="114"/>
    </row>
    <row r="1211" spans="2:14" ht="14.25" x14ac:dyDescent="0.2">
      <c r="B1211" s="619" t="s">
        <v>2058</v>
      </c>
      <c r="M1211" s="114"/>
      <c r="N1211" s="114"/>
    </row>
    <row r="1212" spans="2:14" ht="14.25" x14ac:dyDescent="0.2">
      <c r="B1212" s="619" t="s">
        <v>2059</v>
      </c>
      <c r="M1212" s="114"/>
      <c r="N1212" s="114"/>
    </row>
    <row r="1213" spans="2:14" ht="14.25" x14ac:dyDescent="0.2">
      <c r="B1213" s="619" t="s">
        <v>2060</v>
      </c>
      <c r="M1213" s="114"/>
      <c r="N1213" s="114"/>
    </row>
    <row r="1214" spans="2:14" ht="14.25" x14ac:dyDescent="0.2">
      <c r="B1214" s="619" t="s">
        <v>2061</v>
      </c>
      <c r="M1214" s="114"/>
      <c r="N1214" s="114"/>
    </row>
    <row r="1215" spans="2:14" ht="14.25" x14ac:dyDescent="0.2">
      <c r="B1215" s="619" t="s">
        <v>2062</v>
      </c>
      <c r="M1215" s="114"/>
      <c r="N1215" s="114"/>
    </row>
    <row r="1216" spans="2:14" ht="14.25" x14ac:dyDescent="0.2">
      <c r="B1216" s="619" t="s">
        <v>2063</v>
      </c>
      <c r="M1216" s="114"/>
      <c r="N1216" s="114"/>
    </row>
    <row r="1217" spans="2:14" ht="14.25" x14ac:dyDescent="0.2">
      <c r="B1217" s="619" t="s">
        <v>2064</v>
      </c>
      <c r="M1217" s="114"/>
      <c r="N1217" s="114"/>
    </row>
    <row r="1218" spans="2:14" ht="14.25" x14ac:dyDescent="0.2">
      <c r="B1218" s="619" t="s">
        <v>2065</v>
      </c>
      <c r="M1218" s="114"/>
      <c r="N1218" s="114"/>
    </row>
    <row r="1219" spans="2:14" ht="14.25" x14ac:dyDescent="0.2">
      <c r="B1219" s="619" t="s">
        <v>2066</v>
      </c>
      <c r="M1219" s="114"/>
      <c r="N1219" s="114"/>
    </row>
    <row r="1220" spans="2:14" ht="14.25" x14ac:dyDescent="0.2">
      <c r="B1220" s="619" t="s">
        <v>2067</v>
      </c>
      <c r="M1220" s="114"/>
      <c r="N1220" s="114"/>
    </row>
    <row r="1221" spans="2:14" ht="14.25" x14ac:dyDescent="0.2">
      <c r="B1221" s="619" t="s">
        <v>2068</v>
      </c>
      <c r="M1221" s="114"/>
      <c r="N1221" s="114"/>
    </row>
    <row r="1222" spans="2:14" ht="14.25" x14ac:dyDescent="0.2">
      <c r="B1222" s="619" t="s">
        <v>2069</v>
      </c>
      <c r="M1222" s="114"/>
      <c r="N1222" s="114"/>
    </row>
    <row r="1223" spans="2:14" ht="14.25" x14ac:dyDescent="0.2">
      <c r="B1223" s="619" t="s">
        <v>2070</v>
      </c>
      <c r="M1223" s="114"/>
      <c r="N1223" s="114"/>
    </row>
    <row r="1224" spans="2:14" ht="14.25" x14ac:dyDescent="0.2">
      <c r="B1224" s="619" t="s">
        <v>2071</v>
      </c>
    </row>
  </sheetData>
  <mergeCells count="31">
    <mergeCell ref="O1156:U1156"/>
    <mergeCell ref="B1132:L1132"/>
    <mergeCell ref="B1134:L1134"/>
    <mergeCell ref="B1138:L1138"/>
    <mergeCell ref="B1140:D1140"/>
    <mergeCell ref="B1146:L1146"/>
    <mergeCell ref="B1147:L1147"/>
    <mergeCell ref="B1143:D1143"/>
    <mergeCell ref="B1145:L1145"/>
    <mergeCell ref="B1135:L1135"/>
    <mergeCell ref="B1139:L1139"/>
    <mergeCell ref="B1136:N1136"/>
    <mergeCell ref="B1137:L1137"/>
    <mergeCell ref="B1176:N1176"/>
    <mergeCell ref="B1177:N1177"/>
    <mergeCell ref="B1173:N1173"/>
    <mergeCell ref="B1167:M1167"/>
    <mergeCell ref="B1168:K1168"/>
    <mergeCell ref="B4:N4"/>
    <mergeCell ref="B5:N5"/>
    <mergeCell ref="B6:N6"/>
    <mergeCell ref="B7:N7"/>
    <mergeCell ref="B1171:N1171"/>
    <mergeCell ref="B1166:K1166"/>
    <mergeCell ref="B1161:K1161"/>
    <mergeCell ref="B1162:K1162"/>
    <mergeCell ref="B1163:K1163"/>
    <mergeCell ref="B1164:K1164"/>
    <mergeCell ref="B1165:K1165"/>
    <mergeCell ref="B1154:N1154"/>
    <mergeCell ref="B1156:N1156"/>
  </mergeCells>
  <phoneticPr fontId="0" type="noConversion"/>
  <printOptions horizontalCentered="1"/>
  <pageMargins left="0.21" right="0.18" top="0.78740157480314965" bottom="1" header="0.51181102362204722" footer="0.27559055118110237"/>
  <pageSetup paperSize="9" scale="50" orientation="landscape" horizontalDpi="4294967292" r:id="rId1"/>
  <headerFooter alignWithMargins="0"/>
  <rowBreaks count="2" manualBreakCount="2">
    <brk id="84" max="16383" man="1"/>
    <brk id="454" max="16383" man="1"/>
  </rowBreaks>
  <ignoredErrors>
    <ignoredError sqref="N949"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Por Sectores</vt:lpstr>
      <vt:lpstr>'Por Sectores'!Títulos_a_imprimir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DE INFORMATICA</dc:creator>
  <cp:lastModifiedBy>Medina Mañuico, Hector</cp:lastModifiedBy>
  <cp:lastPrinted>2011-07-26T15:45:59Z</cp:lastPrinted>
  <dcterms:created xsi:type="dcterms:W3CDTF">1999-10-15T00:05:50Z</dcterms:created>
  <dcterms:modified xsi:type="dcterms:W3CDTF">2023-02-02T02:56:10Z</dcterms:modified>
</cp:coreProperties>
</file>